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10" yWindow="-110" windowWidth="19420" windowHeight="11020" firstSheet="2" activeTab="2"/>
  </bookViews>
  <sheets>
    <sheet name="Sheet2" sheetId="2" state="hidden" r:id="rId1"/>
    <sheet name="Sheet3" sheetId="3" state="hidden" r:id="rId2"/>
    <sheet name="01" sheetId="7" r:id="rId3"/>
    <sheet name="biểu 111" sheetId="5" state="hidden" r:id="rId4"/>
    <sheet name="biểu 02" sheetId="4" state="hidden" r:id="rId5"/>
    <sheet name="Sheet4" sheetId="6" state="hidden" r:id="rId6"/>
    <sheet name="Sheet1" sheetId="8" state="hidden" r:id="rId7"/>
    <sheet name="02" sheetId="10" r:id="rId8"/>
    <sheet name="03" sheetId="9" r:id="rId9"/>
    <sheet name="biểu 04" sheetId="11" state="hidden" r:id="rId10"/>
    <sheet name="4." sheetId="12" r:id="rId11"/>
  </sheets>
  <externalReferences>
    <externalReference r:id="rId12"/>
  </externalReferences>
  <definedNames>
    <definedName name="_xlnm.Print_Area" localSheetId="2">'01'!$A$1:$X$28</definedName>
    <definedName name="_xlnm.Print_Area" localSheetId="7">'02'!$A$1:$M$27</definedName>
    <definedName name="_xlnm.Print_Area" localSheetId="8">'03'!$A$1:$T$34</definedName>
    <definedName name="_xlnm.Print_Area" localSheetId="10">'4.'!$A$1:$T$16</definedName>
    <definedName name="_xlnm.Print_Area" localSheetId="4">'biểu 02'!$A$1:$N$25</definedName>
    <definedName name="_xlnm.Print_Area" localSheetId="9">'biểu 04'!$A$1:$V$43</definedName>
    <definedName name="_xlnm.Print_Area" localSheetId="3">'biểu 111'!$A$1:$Q$25</definedName>
    <definedName name="_xlnm.Print_Titles" localSheetId="2">'01'!$5:$6</definedName>
    <definedName name="_xlnm.Print_Titles" localSheetId="7">'02'!$5:$6</definedName>
    <definedName name="_xlnm.Print_Titles" localSheetId="8">'03'!$5:$6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7" i="7" l="1"/>
  <c r="V10" i="7"/>
  <c r="W18" i="7"/>
  <c r="U10" i="12" l="1"/>
  <c r="M9" i="12" l="1"/>
  <c r="M8" i="12" s="1"/>
  <c r="J14" i="12"/>
  <c r="K14" i="12"/>
  <c r="L14" i="12"/>
  <c r="M14" i="12"/>
  <c r="I14" i="12"/>
  <c r="I15" i="12"/>
  <c r="I11" i="12"/>
  <c r="I10" i="12"/>
  <c r="N8" i="12"/>
  <c r="O8" i="12"/>
  <c r="P8" i="12"/>
  <c r="Q8" i="12"/>
  <c r="R8" i="12"/>
  <c r="S8" i="12"/>
  <c r="I13" i="12"/>
  <c r="I12" i="12" s="1"/>
  <c r="S12" i="12"/>
  <c r="R12" i="12"/>
  <c r="Q12" i="12"/>
  <c r="P12" i="12"/>
  <c r="O12" i="12"/>
  <c r="N12" i="12"/>
  <c r="L12" i="12"/>
  <c r="K12" i="12"/>
  <c r="J12" i="12"/>
  <c r="S9" i="12"/>
  <c r="R9" i="12"/>
  <c r="Q9" i="12"/>
  <c r="P9" i="12"/>
  <c r="O9" i="12"/>
  <c r="N9" i="12"/>
  <c r="L11" i="12" l="1"/>
  <c r="L9" i="12" s="1"/>
  <c r="L8" i="12" s="1"/>
  <c r="J11" i="12"/>
  <c r="J9" i="12" s="1"/>
  <c r="J8" i="12" s="1"/>
  <c r="I9" i="12"/>
  <c r="I8" i="12" s="1"/>
  <c r="K11" i="12"/>
  <c r="K9" i="12" s="1"/>
  <c r="K8" i="12" s="1"/>
  <c r="K18" i="10"/>
  <c r="K17" i="10" s="1"/>
  <c r="K14" i="10"/>
  <c r="K13" i="10" s="1"/>
  <c r="K12" i="10" s="1"/>
  <c r="K11" i="10" s="1"/>
  <c r="A3" i="10" l="1"/>
  <c r="I27" i="10"/>
  <c r="I26" i="10"/>
  <c r="I25" i="10"/>
  <c r="L24" i="10"/>
  <c r="L23" i="10" s="1"/>
  <c r="L22" i="10" s="1"/>
  <c r="L21" i="10" s="1"/>
  <c r="L20" i="10" s="1"/>
  <c r="I24" i="10"/>
  <c r="J22" i="10"/>
  <c r="J21" i="10" s="1"/>
  <c r="J20" i="10" s="1"/>
  <c r="J7" i="10" s="1"/>
  <c r="I23" i="10"/>
  <c r="I22" i="10" s="1"/>
  <c r="I21" i="10" s="1"/>
  <c r="I20" i="10" s="1"/>
  <c r="L19" i="10"/>
  <c r="I19" i="10"/>
  <c r="I18" i="10"/>
  <c r="L14" i="10"/>
  <c r="L13" i="10" s="1"/>
  <c r="L12" i="10" s="1"/>
  <c r="L11" i="10" s="1"/>
  <c r="L10" i="10" s="1"/>
  <c r="L9" i="10" s="1"/>
  <c r="L8" i="10" s="1"/>
  <c r="I15" i="7"/>
  <c r="W15" i="7" s="1"/>
  <c r="I17" i="7"/>
  <c r="W17" i="7" s="1"/>
  <c r="T16" i="7"/>
  <c r="I16" i="7" s="1"/>
  <c r="T14" i="7"/>
  <c r="T13" i="7" l="1"/>
  <c r="I14" i="7"/>
  <c r="I13" i="10"/>
  <c r="I14" i="10"/>
  <c r="L7" i="10"/>
  <c r="W16" i="7"/>
  <c r="V16" i="7"/>
  <c r="U16" i="7"/>
  <c r="S16" i="7"/>
  <c r="R16" i="7"/>
  <c r="Q16" i="7"/>
  <c r="P16" i="7"/>
  <c r="O16" i="7"/>
  <c r="N16" i="7"/>
  <c r="M16" i="7"/>
  <c r="L16" i="7"/>
  <c r="K16" i="7"/>
  <c r="W14" i="7"/>
  <c r="W13" i="7" s="1"/>
  <c r="W12" i="7" s="1"/>
  <c r="W11" i="7" s="1"/>
  <c r="W10" i="7" s="1"/>
  <c r="W9" i="7" s="1"/>
  <c r="W8" i="7" s="1"/>
  <c r="V14" i="7"/>
  <c r="V13" i="7" s="1"/>
  <c r="V12" i="7" s="1"/>
  <c r="V11" i="7" s="1"/>
  <c r="V9" i="7" s="1"/>
  <c r="V8" i="7" s="1"/>
  <c r="U14" i="7"/>
  <c r="U13" i="7" s="1"/>
  <c r="U12" i="7" s="1"/>
  <c r="S14" i="7"/>
  <c r="S13" i="7" s="1"/>
  <c r="S12" i="7" s="1"/>
  <c r="S11" i="7" s="1"/>
  <c r="S10" i="7" s="1"/>
  <c r="S9" i="7" s="1"/>
  <c r="S8" i="7" s="1"/>
  <c r="R14" i="7"/>
  <c r="R13" i="7" s="1"/>
  <c r="R12" i="7" s="1"/>
  <c r="R11" i="7" s="1"/>
  <c r="R10" i="7" s="1"/>
  <c r="R9" i="7" s="1"/>
  <c r="R8" i="7" s="1"/>
  <c r="Q14" i="7"/>
  <c r="Q13" i="7" s="1"/>
  <c r="Q12" i="7" s="1"/>
  <c r="Q11" i="7" s="1"/>
  <c r="Q10" i="7" s="1"/>
  <c r="Q9" i="7" s="1"/>
  <c r="Q8" i="7" s="1"/>
  <c r="P14" i="7"/>
  <c r="P13" i="7" s="1"/>
  <c r="P12" i="7" s="1"/>
  <c r="P11" i="7" s="1"/>
  <c r="P10" i="7" s="1"/>
  <c r="P9" i="7" s="1"/>
  <c r="P8" i="7" s="1"/>
  <c r="O14" i="7"/>
  <c r="O13" i="7" s="1"/>
  <c r="O12" i="7" s="1"/>
  <c r="O11" i="7" s="1"/>
  <c r="O10" i="7" s="1"/>
  <c r="O9" i="7" s="1"/>
  <c r="O8" i="7" s="1"/>
  <c r="N14" i="7"/>
  <c r="N13" i="7" s="1"/>
  <c r="N12" i="7" s="1"/>
  <c r="N11" i="7" s="1"/>
  <c r="N10" i="7" s="1"/>
  <c r="N9" i="7" s="1"/>
  <c r="N8" i="7" s="1"/>
  <c r="M14" i="7"/>
  <c r="M13" i="7" s="1"/>
  <c r="M12" i="7" s="1"/>
  <c r="M11" i="7" s="1"/>
  <c r="M10" i="7" s="1"/>
  <c r="M9" i="7" s="1"/>
  <c r="M8" i="7" s="1"/>
  <c r="L14" i="7"/>
  <c r="K14" i="7"/>
  <c r="L13" i="7"/>
  <c r="L12" i="7" s="1"/>
  <c r="L11" i="7" s="1"/>
  <c r="L10" i="7" s="1"/>
  <c r="L9" i="7" s="1"/>
  <c r="L8" i="7" s="1"/>
  <c r="K13" i="7"/>
  <c r="K12" i="7" s="1"/>
  <c r="K11" i="7" s="1"/>
  <c r="K10" i="7" s="1"/>
  <c r="K9" i="7" s="1"/>
  <c r="K8" i="7" s="1"/>
  <c r="I13" i="7" l="1"/>
  <c r="T12" i="7"/>
  <c r="U11" i="7"/>
  <c r="U10" i="7" s="1"/>
  <c r="U9" i="7" s="1"/>
  <c r="U8" i="7" s="1"/>
  <c r="I12" i="10"/>
  <c r="J18" i="9"/>
  <c r="I18" i="9" s="1"/>
  <c r="I12" i="7" l="1"/>
  <c r="T11" i="7"/>
  <c r="I11" i="10"/>
  <c r="K10" i="10"/>
  <c r="O38" i="11"/>
  <c r="P38" i="11"/>
  <c r="Q38" i="11"/>
  <c r="R38" i="11"/>
  <c r="S38" i="11"/>
  <c r="T38" i="11"/>
  <c r="J42" i="11"/>
  <c r="K42" i="11"/>
  <c r="L42" i="11"/>
  <c r="M42" i="11"/>
  <c r="N42" i="11"/>
  <c r="O42" i="11"/>
  <c r="P42" i="11"/>
  <c r="Q42" i="11"/>
  <c r="R42" i="11"/>
  <c r="S42" i="11"/>
  <c r="T42" i="11"/>
  <c r="U42" i="11"/>
  <c r="N39" i="11"/>
  <c r="N38" i="11" s="1"/>
  <c r="O39" i="11"/>
  <c r="P39" i="11"/>
  <c r="Q39" i="11"/>
  <c r="R39" i="11"/>
  <c r="S39" i="11"/>
  <c r="T39" i="11"/>
  <c r="U39" i="11"/>
  <c r="U38" i="11" s="1"/>
  <c r="I43" i="11"/>
  <c r="I42" i="11" s="1"/>
  <c r="T10" i="7" l="1"/>
  <c r="I11" i="7"/>
  <c r="K9" i="10"/>
  <c r="I10" i="10"/>
  <c r="I40" i="11"/>
  <c r="U35" i="11"/>
  <c r="I34" i="11"/>
  <c r="I33" i="11"/>
  <c r="M32" i="11"/>
  <c r="L32" i="11"/>
  <c r="K32" i="11"/>
  <c r="J32" i="11"/>
  <c r="I31" i="11"/>
  <c r="I30" i="11"/>
  <c r="I29" i="11"/>
  <c r="I28" i="11"/>
  <c r="U27" i="11"/>
  <c r="T27" i="11"/>
  <c r="S27" i="11"/>
  <c r="S11" i="11" s="1"/>
  <c r="R27" i="11"/>
  <c r="Q27" i="11"/>
  <c r="P27" i="11"/>
  <c r="O27" i="11"/>
  <c r="N27" i="11"/>
  <c r="M27" i="11"/>
  <c r="L27" i="11"/>
  <c r="K27" i="11"/>
  <c r="J27" i="11"/>
  <c r="I26" i="11"/>
  <c r="I25" i="11"/>
  <c r="I24" i="11"/>
  <c r="I23" i="11"/>
  <c r="I22" i="11"/>
  <c r="I21" i="11"/>
  <c r="M20" i="11"/>
  <c r="M19" i="11" s="1"/>
  <c r="U19" i="11"/>
  <c r="T19" i="11"/>
  <c r="S19" i="11"/>
  <c r="R19" i="11"/>
  <c r="Q19" i="11"/>
  <c r="P19" i="11"/>
  <c r="O19" i="11"/>
  <c r="N19" i="11"/>
  <c r="L19" i="11"/>
  <c r="K19" i="11"/>
  <c r="J19" i="11"/>
  <c r="I18" i="11"/>
  <c r="U17" i="11"/>
  <c r="T17" i="11"/>
  <c r="S17" i="11"/>
  <c r="R17" i="11"/>
  <c r="Q17" i="11"/>
  <c r="P17" i="11"/>
  <c r="O17" i="11"/>
  <c r="N17" i="11"/>
  <c r="M17" i="11"/>
  <c r="L17" i="11"/>
  <c r="K17" i="11"/>
  <c r="J17" i="11"/>
  <c r="I17" i="11"/>
  <c r="I16" i="11"/>
  <c r="S15" i="11"/>
  <c r="R15" i="11"/>
  <c r="Q15" i="11"/>
  <c r="P15" i="11"/>
  <c r="O15" i="11"/>
  <c r="N15" i="11"/>
  <c r="M15" i="11"/>
  <c r="I13" i="11"/>
  <c r="I12" i="11"/>
  <c r="U11" i="11"/>
  <c r="T11" i="11"/>
  <c r="I10" i="11"/>
  <c r="I9" i="11"/>
  <c r="U8" i="11"/>
  <c r="T8" i="11"/>
  <c r="S8" i="11"/>
  <c r="R8" i="11"/>
  <c r="Q8" i="11"/>
  <c r="P8" i="11"/>
  <c r="O8" i="11"/>
  <c r="N8" i="11"/>
  <c r="M8" i="11"/>
  <c r="L8" i="11"/>
  <c r="K8" i="11"/>
  <c r="J8" i="11"/>
  <c r="I10" i="7" l="1"/>
  <c r="T9" i="7"/>
  <c r="L11" i="11"/>
  <c r="K11" i="11"/>
  <c r="K37" i="11" s="1"/>
  <c r="K41" i="11" s="1"/>
  <c r="K39" i="11" s="1"/>
  <c r="K38" i="11" s="1"/>
  <c r="I27" i="11"/>
  <c r="I9" i="10"/>
  <c r="K8" i="10"/>
  <c r="I32" i="11"/>
  <c r="I8" i="11"/>
  <c r="P14" i="11"/>
  <c r="M14" i="11"/>
  <c r="J11" i="11"/>
  <c r="J37" i="11" s="1"/>
  <c r="J41" i="11" s="1"/>
  <c r="J39" i="11" s="1"/>
  <c r="J38" i="11" s="1"/>
  <c r="Q14" i="11"/>
  <c r="N14" i="11"/>
  <c r="O14" i="11"/>
  <c r="R11" i="11"/>
  <c r="R35" i="11" s="1"/>
  <c r="P11" i="11"/>
  <c r="P36" i="11" s="1"/>
  <c r="Q11" i="11"/>
  <c r="Q36" i="11" s="1"/>
  <c r="U14" i="11"/>
  <c r="N11" i="11"/>
  <c r="N35" i="11" s="1"/>
  <c r="O11" i="11"/>
  <c r="O36" i="11" s="1"/>
  <c r="J14" i="11"/>
  <c r="K35" i="11"/>
  <c r="K14" i="11"/>
  <c r="I20" i="11"/>
  <c r="I19" i="11" s="1"/>
  <c r="S14" i="11"/>
  <c r="S36" i="11" s="1"/>
  <c r="T14" i="11"/>
  <c r="T36" i="11" s="1"/>
  <c r="T35" i="11" s="1"/>
  <c r="I15" i="11"/>
  <c r="L14" i="11"/>
  <c r="M11" i="11"/>
  <c r="M37" i="11" s="1"/>
  <c r="M41" i="11" s="1"/>
  <c r="M39" i="11" s="1"/>
  <c r="M38" i="11" s="1"/>
  <c r="R14" i="11"/>
  <c r="S35" i="11"/>
  <c r="T8" i="7" l="1"/>
  <c r="I9" i="7"/>
  <c r="L37" i="11"/>
  <c r="L41" i="11" s="1"/>
  <c r="L39" i="11" s="1"/>
  <c r="L38" i="11" s="1"/>
  <c r="L35" i="11"/>
  <c r="I8" i="10"/>
  <c r="I7" i="10" s="1"/>
  <c r="K7" i="10"/>
  <c r="Q35" i="11"/>
  <c r="I37" i="11"/>
  <c r="I41" i="11" s="1"/>
  <c r="I39" i="11" s="1"/>
  <c r="I38" i="11" s="1"/>
  <c r="J35" i="11"/>
  <c r="R36" i="11"/>
  <c r="I11" i="11"/>
  <c r="I35" i="11" s="1"/>
  <c r="I14" i="11"/>
  <c r="O35" i="11"/>
  <c r="M35" i="11"/>
  <c r="N36" i="11"/>
  <c r="P35" i="11"/>
  <c r="T7" i="7" l="1"/>
  <c r="I8" i="7"/>
  <c r="I26" i="7"/>
  <c r="I29" i="9" l="1"/>
  <c r="J29" i="9"/>
  <c r="U24" i="9" l="1"/>
  <c r="U8" i="9" s="1"/>
  <c r="I27" i="9"/>
  <c r="I33" i="9" l="1"/>
  <c r="I32" i="9" s="1"/>
  <c r="J34" i="9"/>
  <c r="J33" i="9" s="1"/>
  <c r="J32" i="9" s="1"/>
  <c r="I30" i="9" l="1"/>
  <c r="I21" i="9"/>
  <c r="V23" i="7" l="1"/>
  <c r="V22" i="7" s="1"/>
  <c r="V21" i="7" s="1"/>
  <c r="J25" i="7"/>
  <c r="K25" i="7"/>
  <c r="K23" i="7" s="1"/>
  <c r="K22" i="7" s="1"/>
  <c r="K21" i="7" s="1"/>
  <c r="K20" i="7" s="1"/>
  <c r="K19" i="7" s="1"/>
  <c r="K7" i="7" s="1"/>
  <c r="L25" i="7"/>
  <c r="L23" i="7" s="1"/>
  <c r="L22" i="7" s="1"/>
  <c r="L21" i="7" s="1"/>
  <c r="L20" i="7" s="1"/>
  <c r="L19" i="7" s="1"/>
  <c r="L7" i="7" s="1"/>
  <c r="M25" i="7"/>
  <c r="M23" i="7" s="1"/>
  <c r="M22" i="7" s="1"/>
  <c r="M21" i="7" s="1"/>
  <c r="M20" i="7" s="1"/>
  <c r="M19" i="7" s="1"/>
  <c r="M7" i="7" s="1"/>
  <c r="N25" i="7"/>
  <c r="N23" i="7" s="1"/>
  <c r="N22" i="7" s="1"/>
  <c r="N21" i="7" s="1"/>
  <c r="N20" i="7" s="1"/>
  <c r="N19" i="7" s="1"/>
  <c r="N7" i="7" s="1"/>
  <c r="O25" i="7"/>
  <c r="O23" i="7" s="1"/>
  <c r="O22" i="7" s="1"/>
  <c r="O21" i="7" s="1"/>
  <c r="O20" i="7" s="1"/>
  <c r="O19" i="7" s="1"/>
  <c r="O7" i="7" s="1"/>
  <c r="P25" i="7"/>
  <c r="P23" i="7" s="1"/>
  <c r="P22" i="7" s="1"/>
  <c r="P21" i="7" s="1"/>
  <c r="P20" i="7" s="1"/>
  <c r="P19" i="7" s="1"/>
  <c r="P7" i="7" s="1"/>
  <c r="Q25" i="7"/>
  <c r="Q23" i="7" s="1"/>
  <c r="Q22" i="7" s="1"/>
  <c r="Q21" i="7" s="1"/>
  <c r="Q20" i="7" s="1"/>
  <c r="Q19" i="7" s="1"/>
  <c r="Q7" i="7" s="1"/>
  <c r="R25" i="7"/>
  <c r="R23" i="7" s="1"/>
  <c r="R22" i="7" s="1"/>
  <c r="R21" i="7" s="1"/>
  <c r="R20" i="7" s="1"/>
  <c r="R19" i="7" s="1"/>
  <c r="R7" i="7" s="1"/>
  <c r="U25" i="7"/>
  <c r="U23" i="7" s="1"/>
  <c r="U22" i="7" s="1"/>
  <c r="U21" i="7" s="1"/>
  <c r="U20" i="7" s="1"/>
  <c r="U19" i="7" s="1"/>
  <c r="U7" i="7" s="1"/>
  <c r="V20" i="7" l="1"/>
  <c r="V19" i="7" s="1"/>
  <c r="V7" i="7" s="1"/>
  <c r="J23" i="7"/>
  <c r="I25" i="7"/>
  <c r="J28" i="9"/>
  <c r="J31" i="9"/>
  <c r="J30" i="9" s="1"/>
  <c r="K27" i="9"/>
  <c r="K26" i="9" s="1"/>
  <c r="L27" i="9"/>
  <c r="L26" i="9" s="1"/>
  <c r="M27" i="9"/>
  <c r="M26" i="9" s="1"/>
  <c r="N27" i="9"/>
  <c r="N26" i="9" s="1"/>
  <c r="O27" i="9"/>
  <c r="O26" i="9" s="1"/>
  <c r="P27" i="9"/>
  <c r="P26" i="9" s="1"/>
  <c r="Q27" i="9"/>
  <c r="Q26" i="9" s="1"/>
  <c r="R27" i="9"/>
  <c r="R26" i="9" s="1"/>
  <c r="I26" i="9"/>
  <c r="I25" i="9" s="1"/>
  <c r="I24" i="9" s="1"/>
  <c r="I23" i="9" s="1"/>
  <c r="T7" i="9"/>
  <c r="J14" i="9"/>
  <c r="J13" i="9" s="1"/>
  <c r="I14" i="9"/>
  <c r="I13" i="9" s="1"/>
  <c r="J17" i="9"/>
  <c r="J16" i="9" s="1"/>
  <c r="K19" i="9"/>
  <c r="L19" i="9"/>
  <c r="M19" i="9"/>
  <c r="N19" i="9"/>
  <c r="O19" i="9"/>
  <c r="P19" i="9"/>
  <c r="Q19" i="9"/>
  <c r="R19" i="9"/>
  <c r="S19" i="9"/>
  <c r="I20" i="9"/>
  <c r="I19" i="9" s="1"/>
  <c r="J20" i="9"/>
  <c r="J19" i="9" s="1"/>
  <c r="J22" i="7" l="1"/>
  <c r="J21" i="7" s="1"/>
  <c r="J20" i="7" s="1"/>
  <c r="J19" i="7" s="1"/>
  <c r="J7" i="7" s="1"/>
  <c r="I23" i="7"/>
  <c r="J27" i="9"/>
  <c r="J26" i="9" s="1"/>
  <c r="J25" i="9" s="1"/>
  <c r="J24" i="9" s="1"/>
  <c r="J23" i="9" s="1"/>
  <c r="J12" i="9"/>
  <c r="I17" i="9"/>
  <c r="I22" i="7" l="1"/>
  <c r="I21" i="7" s="1"/>
  <c r="I20" i="7" s="1"/>
  <c r="I19" i="7" s="1"/>
  <c r="I7" i="7" s="1"/>
  <c r="R25" i="9"/>
  <c r="Q25" i="9"/>
  <c r="P25" i="9"/>
  <c r="O25" i="9"/>
  <c r="N25" i="9"/>
  <c r="M25" i="9"/>
  <c r="L25" i="9"/>
  <c r="K25" i="9"/>
  <c r="S18" i="9"/>
  <c r="R17" i="9"/>
  <c r="R16" i="9" s="1"/>
  <c r="Q17" i="9"/>
  <c r="Q16" i="9" s="1"/>
  <c r="P17" i="9"/>
  <c r="P16" i="9" s="1"/>
  <c r="O17" i="9"/>
  <c r="O16" i="9" s="1"/>
  <c r="N17" i="9"/>
  <c r="N16" i="9" s="1"/>
  <c r="M17" i="9"/>
  <c r="M16" i="9" s="1"/>
  <c r="L17" i="9"/>
  <c r="L16" i="9" s="1"/>
  <c r="K17" i="9"/>
  <c r="K16" i="9" s="1"/>
  <c r="R14" i="9"/>
  <c r="Q14" i="9"/>
  <c r="P14" i="9"/>
  <c r="P13" i="9" s="1"/>
  <c r="O14" i="9"/>
  <c r="N14" i="9"/>
  <c r="N13" i="9" s="1"/>
  <c r="M14" i="9"/>
  <c r="L14" i="9"/>
  <c r="L13" i="9" s="1"/>
  <c r="K14" i="9"/>
  <c r="K13" i="9" s="1"/>
  <c r="L23" i="9" l="1"/>
  <c r="L22" i="9" s="1"/>
  <c r="L12" i="9"/>
  <c r="L11" i="9" s="1"/>
  <c r="L10" i="9" s="1"/>
  <c r="L9" i="9" s="1"/>
  <c r="J11" i="9"/>
  <c r="J10" i="9" s="1"/>
  <c r="J9" i="9" s="1"/>
  <c r="N23" i="9"/>
  <c r="N22" i="9" s="1"/>
  <c r="K12" i="9"/>
  <c r="K11" i="9" s="1"/>
  <c r="K10" i="9" s="1"/>
  <c r="K9" i="9" s="1"/>
  <c r="I16" i="9"/>
  <c r="I12" i="9" s="1"/>
  <c r="S14" i="9"/>
  <c r="M13" i="9"/>
  <c r="M12" i="9" s="1"/>
  <c r="M11" i="9" s="1"/>
  <c r="M10" i="9" s="1"/>
  <c r="M9" i="9" s="1"/>
  <c r="R23" i="9"/>
  <c r="R22" i="9" s="1"/>
  <c r="O13" i="9"/>
  <c r="O12" i="9" s="1"/>
  <c r="O11" i="9" s="1"/>
  <c r="O10" i="9" s="1"/>
  <c r="O9" i="9" s="1"/>
  <c r="N12" i="9"/>
  <c r="N11" i="9" s="1"/>
  <c r="N10" i="9" s="1"/>
  <c r="N9" i="9" s="1"/>
  <c r="P12" i="9"/>
  <c r="P11" i="9" s="1"/>
  <c r="P10" i="9" s="1"/>
  <c r="P9" i="9" s="1"/>
  <c r="P8" i="9" s="1"/>
  <c r="J22" i="9"/>
  <c r="Q13" i="9"/>
  <c r="Q12" i="9" s="1"/>
  <c r="Q11" i="9" s="1"/>
  <c r="Q10" i="9" s="1"/>
  <c r="Q9" i="9" s="1"/>
  <c r="K23" i="9"/>
  <c r="K22" i="9" s="1"/>
  <c r="R13" i="9"/>
  <c r="R12" i="9" s="1"/>
  <c r="R11" i="9" s="1"/>
  <c r="R10" i="9" s="1"/>
  <c r="R9" i="9" s="1"/>
  <c r="R8" i="9" s="1"/>
  <c r="O23" i="9"/>
  <c r="O22" i="9" s="1"/>
  <c r="P23" i="9"/>
  <c r="P22" i="9" s="1"/>
  <c r="Q23" i="9"/>
  <c r="Q22" i="9" s="1"/>
  <c r="S24" i="9"/>
  <c r="S27" i="9"/>
  <c r="S26" i="9" s="1"/>
  <c r="S17" i="9"/>
  <c r="S16" i="9" s="1"/>
  <c r="M23" i="9"/>
  <c r="M22" i="9" s="1"/>
  <c r="M8" i="9" l="1"/>
  <c r="M7" i="9" s="1"/>
  <c r="J8" i="9"/>
  <c r="J7" i="9" s="1"/>
  <c r="K8" i="9"/>
  <c r="K7" i="9" s="1"/>
  <c r="N8" i="9"/>
  <c r="Q8" i="9"/>
  <c r="Q7" i="9" s="1"/>
  <c r="O8" i="9"/>
  <c r="O7" i="9" s="1"/>
  <c r="L8" i="9"/>
  <c r="L7" i="9" s="1"/>
  <c r="N7" i="9"/>
  <c r="R7" i="9"/>
  <c r="S25" i="9"/>
  <c r="I11" i="9"/>
  <c r="I10" i="9" s="1"/>
  <c r="S13" i="9"/>
  <c r="S12" i="9" s="1"/>
  <c r="P7" i="9"/>
  <c r="I9" i="9" l="1"/>
  <c r="S11" i="9"/>
  <c r="S10" i="9" s="1"/>
  <c r="S23" i="9"/>
  <c r="S22" i="9" s="1"/>
  <c r="I22" i="9"/>
  <c r="U25" i="9" s="1"/>
  <c r="U26" i="9" s="1"/>
  <c r="I8" i="9" l="1"/>
  <c r="I7" i="9" s="1"/>
  <c r="U23" i="9"/>
  <c r="S9" i="9"/>
  <c r="S8" i="9" l="1"/>
  <c r="S7" i="9" s="1"/>
  <c r="P30" i="5" l="1"/>
  <c r="P31" i="5" s="1"/>
  <c r="P28" i="5"/>
  <c r="P27" i="5"/>
  <c r="P29" i="5" s="1"/>
  <c r="U13" i="5" l="1"/>
  <c r="T8" i="5"/>
  <c r="U8" i="5" s="1"/>
  <c r="T10" i="5"/>
  <c r="U10" i="5" s="1"/>
  <c r="T11" i="5"/>
  <c r="U11" i="5" s="1"/>
  <c r="T13" i="5"/>
  <c r="T15" i="5"/>
  <c r="U15" i="5" s="1"/>
  <c r="T17" i="5"/>
  <c r="U17" i="5" s="1"/>
  <c r="T20" i="5"/>
  <c r="U20" i="5" s="1"/>
  <c r="T22" i="5"/>
  <c r="U22" i="5" s="1"/>
  <c r="T24" i="5"/>
  <c r="U24" i="5" s="1"/>
  <c r="G24" i="5" l="1"/>
  <c r="O25" i="5"/>
  <c r="Y22" i="7" l="1"/>
  <c r="K31" i="8" l="1"/>
  <c r="K9" i="8" s="1"/>
  <c r="J31" i="8"/>
  <c r="J9" i="8" s="1"/>
  <c r="E31" i="8"/>
  <c r="D31" i="8"/>
  <c r="E26" i="8"/>
  <c r="D26" i="8"/>
  <c r="D25" i="8" s="1"/>
  <c r="M25" i="8"/>
  <c r="L25" i="8"/>
  <c r="E25" i="8"/>
  <c r="E24" i="8"/>
  <c r="D24" i="8"/>
  <c r="E23" i="8"/>
  <c r="D23" i="8"/>
  <c r="E22" i="8"/>
  <c r="D22" i="8"/>
  <c r="E21" i="8"/>
  <c r="D21" i="8"/>
  <c r="E20" i="8"/>
  <c r="D20" i="8"/>
  <c r="E19" i="8"/>
  <c r="D19" i="8"/>
  <c r="E18" i="8"/>
  <c r="D18" i="8"/>
  <c r="E17" i="8"/>
  <c r="D17" i="8"/>
  <c r="E16" i="8"/>
  <c r="D16" i="8"/>
  <c r="E15" i="8"/>
  <c r="D15" i="8"/>
  <c r="E14" i="8"/>
  <c r="D14" i="8"/>
  <c r="E13" i="8"/>
  <c r="D13" i="8"/>
  <c r="E12" i="8"/>
  <c r="D12" i="8"/>
  <c r="E11" i="8"/>
  <c r="D11" i="8"/>
  <c r="M10" i="8"/>
  <c r="L10" i="8"/>
  <c r="K10" i="8"/>
  <c r="J10" i="8"/>
  <c r="I10" i="8"/>
  <c r="I9" i="8" s="1"/>
  <c r="G10" i="8"/>
  <c r="F10" i="8"/>
  <c r="Q9" i="8"/>
  <c r="P9" i="8"/>
  <c r="N9" i="8"/>
  <c r="H9" i="8"/>
  <c r="F9" i="8"/>
  <c r="E10" i="8" l="1"/>
  <c r="E9" i="8" s="1"/>
  <c r="D10" i="8"/>
  <c r="D9" i="8" s="1"/>
  <c r="G9" i="8"/>
  <c r="M9" i="8"/>
  <c r="L9" i="8"/>
  <c r="Y7" i="5"/>
  <c r="Y8" i="5"/>
  <c r="Z8" i="5"/>
  <c r="Y9" i="5"/>
  <c r="Z9" i="5"/>
  <c r="Y10" i="5"/>
  <c r="Z10" i="5"/>
  <c r="Y11" i="5"/>
  <c r="Z11" i="5"/>
  <c r="Y12" i="5"/>
  <c r="Z12" i="5"/>
  <c r="Y13" i="5"/>
  <c r="Z13" i="5"/>
  <c r="Y14" i="5"/>
  <c r="Z14" i="5"/>
  <c r="Y15" i="5"/>
  <c r="Z15" i="5"/>
  <c r="Y16" i="5"/>
  <c r="Z16" i="5"/>
  <c r="Y17" i="5"/>
  <c r="Z17" i="5"/>
  <c r="Y18" i="5"/>
  <c r="Z18" i="5"/>
  <c r="Y19" i="5"/>
  <c r="Z19" i="5"/>
  <c r="Y20" i="5"/>
  <c r="Z20" i="5"/>
  <c r="Y21" i="5"/>
  <c r="Z21" i="5"/>
  <c r="Y22" i="5"/>
  <c r="Z22" i="5"/>
  <c r="Y23" i="5"/>
  <c r="Z23" i="5"/>
  <c r="Y24" i="5"/>
  <c r="Z24" i="5"/>
  <c r="Z7" i="5"/>
  <c r="X14" i="5"/>
  <c r="W7" i="5"/>
  <c r="X7" i="5" s="1"/>
  <c r="W8" i="5"/>
  <c r="X8" i="5" s="1"/>
  <c r="W9" i="5"/>
  <c r="X9" i="5" s="1"/>
  <c r="W10" i="5"/>
  <c r="X10" i="5" s="1"/>
  <c r="W11" i="5"/>
  <c r="X11" i="5" s="1"/>
  <c r="W12" i="5"/>
  <c r="X12" i="5" s="1"/>
  <c r="W13" i="5"/>
  <c r="X13" i="5" s="1"/>
  <c r="W14" i="5"/>
  <c r="W15" i="5"/>
  <c r="X15" i="5" s="1"/>
  <c r="W16" i="5"/>
  <c r="X16" i="5" s="1"/>
  <c r="W17" i="5"/>
  <c r="X17" i="5" s="1"/>
  <c r="W18" i="5"/>
  <c r="X18" i="5" s="1"/>
  <c r="W19" i="5"/>
  <c r="X19" i="5" s="1"/>
  <c r="W20" i="5"/>
  <c r="X20" i="5" s="1"/>
  <c r="W21" i="5"/>
  <c r="X21" i="5" s="1"/>
  <c r="W22" i="5"/>
  <c r="X22" i="5" s="1"/>
  <c r="W23" i="5"/>
  <c r="X23" i="5" s="1"/>
  <c r="W24" i="5"/>
  <c r="X24" i="5" s="1"/>
  <c r="AA16" i="5" l="1"/>
  <c r="AA15" i="5"/>
  <c r="AB15" i="5" s="1"/>
  <c r="AB16" i="5"/>
  <c r="AA11" i="5"/>
  <c r="AB11" i="5" s="1"/>
  <c r="AA21" i="5"/>
  <c r="AB21" i="5" s="1"/>
  <c r="AA14" i="5"/>
  <c r="AB14" i="5" s="1"/>
  <c r="AA8" i="5"/>
  <c r="AB8" i="5" s="1"/>
  <c r="AA23" i="5"/>
  <c r="AB23" i="5" s="1"/>
  <c r="AA19" i="5"/>
  <c r="AB19" i="5" s="1"/>
  <c r="AA13" i="5"/>
  <c r="AB13" i="5" s="1"/>
  <c r="AA7" i="5"/>
  <c r="AB7" i="5" s="1"/>
  <c r="AA17" i="5"/>
  <c r="AB17" i="5" s="1"/>
  <c r="AA22" i="5"/>
  <c r="AB22" i="5" s="1"/>
  <c r="AA9" i="5"/>
  <c r="AB9" i="5" s="1"/>
  <c r="AA20" i="5"/>
  <c r="AB20" i="5" s="1"/>
  <c r="AA10" i="5"/>
  <c r="AB10" i="5" s="1"/>
  <c r="AA24" i="5"/>
  <c r="AB24" i="5" s="1"/>
  <c r="AA18" i="5"/>
  <c r="AB18" i="5" s="1"/>
  <c r="AA12" i="5"/>
  <c r="AB12" i="5" s="1"/>
  <c r="J24" i="7" l="1"/>
  <c r="I24" i="7" l="1"/>
  <c r="W25" i="7"/>
  <c r="W23" i="7" s="1"/>
  <c r="W22" i="7" s="1"/>
  <c r="W21" i="7" s="1"/>
  <c r="W20" i="7" s="1"/>
  <c r="W19" i="7" s="1"/>
  <c r="W7" i="7" s="1"/>
  <c r="Y7" i="7" s="1"/>
  <c r="S26" i="7"/>
  <c r="S25" i="7" s="1"/>
  <c r="S23" i="7" s="1"/>
  <c r="S22" i="7" s="1"/>
  <c r="S21" i="7" s="1"/>
  <c r="S20" i="7" s="1"/>
  <c r="S19" i="7" s="1"/>
  <c r="S7" i="7" s="1"/>
  <c r="W26" i="7"/>
  <c r="W24" i="7" l="1"/>
  <c r="S24" i="7"/>
  <c r="Y21" i="7"/>
  <c r="G27" i="6" l="1"/>
  <c r="G23" i="6"/>
  <c r="G22" i="6"/>
  <c r="G17" i="6"/>
  <c r="G16" i="6"/>
  <c r="G19" i="6" s="1"/>
  <c r="G28" i="6" l="1"/>
  <c r="G25" i="6"/>
  <c r="L7" i="5"/>
  <c r="M7" i="5" s="1"/>
  <c r="N7" i="5" l="1"/>
  <c r="J25" i="5"/>
  <c r="K25" i="5"/>
  <c r="L10" i="5"/>
  <c r="M10" i="5" s="1"/>
  <c r="L11" i="5"/>
  <c r="M11" i="5" s="1"/>
  <c r="L12" i="5"/>
  <c r="M12" i="5" s="1"/>
  <c r="L13" i="5"/>
  <c r="M13" i="5" s="1"/>
  <c r="L14" i="5"/>
  <c r="M14" i="5" s="1"/>
  <c r="L15" i="5"/>
  <c r="M15" i="5" s="1"/>
  <c r="L16" i="5"/>
  <c r="M16" i="5" s="1"/>
  <c r="L17" i="5"/>
  <c r="M17" i="5" s="1"/>
  <c r="L18" i="5"/>
  <c r="M18" i="5" s="1"/>
  <c r="L19" i="5"/>
  <c r="M19" i="5" s="1"/>
  <c r="L20" i="5"/>
  <c r="M20" i="5" s="1"/>
  <c r="L21" i="5"/>
  <c r="M21" i="5" s="1"/>
  <c r="L22" i="5"/>
  <c r="M22" i="5" s="1"/>
  <c r="L23" i="5"/>
  <c r="M23" i="5" s="1"/>
  <c r="L24" i="5"/>
  <c r="M24" i="5" s="1"/>
  <c r="L8" i="5"/>
  <c r="M8" i="5" s="1"/>
  <c r="L9" i="5"/>
  <c r="M9" i="5" s="1"/>
  <c r="F25" i="5"/>
  <c r="E25" i="5"/>
  <c r="G7" i="5"/>
  <c r="H7" i="5" s="1"/>
  <c r="I7" i="5" s="1"/>
  <c r="F7" i="6"/>
  <c r="F6" i="6"/>
  <c r="F5" i="6"/>
  <c r="E6" i="6"/>
  <c r="E7" i="6"/>
  <c r="E5" i="6"/>
  <c r="H24" i="5"/>
  <c r="I24" i="5" s="1"/>
  <c r="G23" i="5"/>
  <c r="H23" i="5" s="1"/>
  <c r="I23" i="5" s="1"/>
  <c r="G22" i="5"/>
  <c r="H22" i="5" s="1"/>
  <c r="I22" i="5" s="1"/>
  <c r="G21" i="5"/>
  <c r="H21" i="5" s="1"/>
  <c r="I21" i="5" s="1"/>
  <c r="G20" i="5"/>
  <c r="H20" i="5" s="1"/>
  <c r="I20" i="5" s="1"/>
  <c r="G19" i="5"/>
  <c r="H19" i="5" s="1"/>
  <c r="I19" i="5" s="1"/>
  <c r="G18" i="5"/>
  <c r="H18" i="5" s="1"/>
  <c r="I18" i="5" s="1"/>
  <c r="G17" i="5"/>
  <c r="H17" i="5" s="1"/>
  <c r="I17" i="5" s="1"/>
  <c r="G16" i="5"/>
  <c r="H16" i="5" s="1"/>
  <c r="I16" i="5" s="1"/>
  <c r="G15" i="5"/>
  <c r="H15" i="5" s="1"/>
  <c r="I15" i="5" s="1"/>
  <c r="G14" i="5"/>
  <c r="H14" i="5" s="1"/>
  <c r="I14" i="5" s="1"/>
  <c r="G13" i="5"/>
  <c r="H13" i="5" s="1"/>
  <c r="I13" i="5" s="1"/>
  <c r="G12" i="5"/>
  <c r="H12" i="5" s="1"/>
  <c r="I12" i="5" s="1"/>
  <c r="G11" i="5"/>
  <c r="H11" i="5" s="1"/>
  <c r="I11" i="5" s="1"/>
  <c r="G10" i="5"/>
  <c r="H10" i="5" s="1"/>
  <c r="I10" i="5" s="1"/>
  <c r="G9" i="5"/>
  <c r="H9" i="5" s="1"/>
  <c r="I9" i="5" s="1"/>
  <c r="G8" i="5"/>
  <c r="H8" i="5" s="1"/>
  <c r="I8" i="5" s="1"/>
  <c r="H13" i="4"/>
  <c r="H12" i="4" s="1"/>
  <c r="H14" i="4"/>
  <c r="H20" i="4"/>
  <c r="Q13" i="5" l="1"/>
  <c r="Q8" i="5"/>
  <c r="G5" i="6"/>
  <c r="I5" i="6" s="1"/>
  <c r="Q20" i="5"/>
  <c r="Q21" i="5"/>
  <c r="Q19" i="5"/>
  <c r="Q15" i="5"/>
  <c r="V7" i="5"/>
  <c r="G6" i="6"/>
  <c r="I6" i="6" s="1"/>
  <c r="Q9" i="5"/>
  <c r="Q14" i="5"/>
  <c r="Q10" i="5"/>
  <c r="Q23" i="5"/>
  <c r="Q11" i="5"/>
  <c r="Q12" i="5"/>
  <c r="Q17" i="5"/>
  <c r="Q24" i="5"/>
  <c r="Q22" i="5"/>
  <c r="Q18" i="5"/>
  <c r="Q16" i="5"/>
  <c r="Q7" i="5"/>
  <c r="P7" i="5"/>
  <c r="N14" i="5"/>
  <c r="V14" i="5"/>
  <c r="N18" i="5"/>
  <c r="S18" i="5" s="1"/>
  <c r="T18" i="5" s="1"/>
  <c r="U18" i="5" s="1"/>
  <c r="V18" i="5"/>
  <c r="N24" i="5"/>
  <c r="V24" i="5"/>
  <c r="N23" i="5"/>
  <c r="V23" i="5"/>
  <c r="N22" i="5"/>
  <c r="V22" i="5"/>
  <c r="N21" i="5"/>
  <c r="V21" i="5"/>
  <c r="N20" i="5"/>
  <c r="V20" i="5"/>
  <c r="N19" i="5"/>
  <c r="S19" i="5" s="1"/>
  <c r="T19" i="5" s="1"/>
  <c r="U19" i="5" s="1"/>
  <c r="V19" i="5"/>
  <c r="N17" i="5"/>
  <c r="V17" i="5"/>
  <c r="N15" i="5"/>
  <c r="V15" i="5"/>
  <c r="N16" i="5"/>
  <c r="S16" i="5" s="1"/>
  <c r="T16" i="5" s="1"/>
  <c r="V16" i="5"/>
  <c r="N13" i="5"/>
  <c r="V13" i="5"/>
  <c r="N12" i="5"/>
  <c r="S12" i="5" s="1"/>
  <c r="T12" i="5" s="1"/>
  <c r="U12" i="5" s="1"/>
  <c r="V12" i="5"/>
  <c r="N11" i="5"/>
  <c r="V11" i="5"/>
  <c r="N10" i="5"/>
  <c r="V10" i="5"/>
  <c r="N9" i="5"/>
  <c r="S9" i="5" s="1"/>
  <c r="T9" i="5" s="1"/>
  <c r="U9" i="5" s="1"/>
  <c r="V9" i="5"/>
  <c r="N8" i="5"/>
  <c r="S7" i="5" s="1"/>
  <c r="T7" i="5" s="1"/>
  <c r="U7" i="5" s="1"/>
  <c r="V8" i="5"/>
  <c r="Y25" i="5"/>
  <c r="Z25" i="5"/>
  <c r="W25" i="5"/>
  <c r="W26" i="5" s="1"/>
  <c r="G25" i="5"/>
  <c r="H25" i="5"/>
  <c r="M25" i="5"/>
  <c r="L25" i="5"/>
  <c r="G7" i="6"/>
  <c r="I7" i="6" s="1"/>
  <c r="S14" i="5" l="1"/>
  <c r="T14" i="5" s="1"/>
  <c r="U14" i="5" s="1"/>
  <c r="S23" i="5"/>
  <c r="T23" i="5" s="1"/>
  <c r="U23" i="5" s="1"/>
  <c r="X25" i="5"/>
  <c r="X26" i="5" s="1"/>
  <c r="S21" i="5"/>
  <c r="T21" i="5" s="1"/>
  <c r="U21" i="5" s="1"/>
  <c r="V25" i="5"/>
  <c r="V26" i="5" s="1"/>
  <c r="P24" i="5"/>
  <c r="P23" i="5"/>
  <c r="P21" i="5"/>
  <c r="P20" i="5"/>
  <c r="P19" i="5"/>
  <c r="P18" i="5"/>
  <c r="P17" i="5"/>
  <c r="P16" i="5"/>
  <c r="P15" i="5"/>
  <c r="P14" i="5"/>
  <c r="P12" i="5"/>
  <c r="P13" i="5"/>
  <c r="P10" i="5"/>
  <c r="P11" i="5"/>
  <c r="P9" i="5"/>
  <c r="P8" i="5"/>
  <c r="N25" i="5"/>
  <c r="P22" i="5"/>
  <c r="AA25" i="5"/>
  <c r="P25" i="5" l="1"/>
  <c r="Q25" i="5"/>
  <c r="L20" i="4" l="1"/>
  <c r="L12" i="4" s="1"/>
  <c r="A3" i="4" l="1"/>
  <c r="I14" i="4" l="1"/>
  <c r="K22" i="4"/>
  <c r="M22" i="4" s="1"/>
  <c r="K23" i="4"/>
  <c r="M23" i="4" s="1"/>
  <c r="K24" i="4"/>
  <c r="M24" i="4" s="1"/>
  <c r="K25" i="4"/>
  <c r="M25" i="4" s="1"/>
  <c r="K21" i="4"/>
  <c r="I20" i="4"/>
  <c r="J20" i="4"/>
  <c r="I13" i="4"/>
  <c r="J13" i="4"/>
  <c r="K20" i="4" l="1"/>
  <c r="M21" i="4"/>
  <c r="M20" i="4" s="1"/>
  <c r="J12" i="4"/>
  <c r="I12" i="4"/>
  <c r="K12" i="4" s="1"/>
  <c r="M12" i="4" s="1"/>
  <c r="C18" i="3" l="1"/>
  <c r="C33" i="3"/>
  <c r="C30" i="3" s="1"/>
  <c r="C28" i="3"/>
  <c r="C25" i="3"/>
  <c r="C21" i="3"/>
  <c r="C10" i="3"/>
  <c r="C9" i="3" s="1"/>
  <c r="C8" i="3" l="1"/>
  <c r="C7" i="3" s="1"/>
  <c r="E18" i="3"/>
  <c r="D127" i="2" l="1"/>
  <c r="C127" i="2"/>
  <c r="D124" i="2"/>
  <c r="D123" i="2" s="1"/>
  <c r="C124" i="2"/>
  <c r="E122" i="2"/>
  <c r="E121" i="2"/>
  <c r="E120" i="2"/>
  <c r="E119" i="2"/>
  <c r="D118" i="2"/>
  <c r="C118" i="2"/>
  <c r="E117" i="2"/>
  <c r="E116" i="2"/>
  <c r="E115" i="2"/>
  <c r="E114" i="2"/>
  <c r="E113" i="2"/>
  <c r="E112" i="2"/>
  <c r="E111" i="2"/>
  <c r="E110" i="2"/>
  <c r="E109" i="2"/>
  <c r="E108" i="2"/>
  <c r="E107" i="2"/>
  <c r="E106" i="2"/>
  <c r="D105" i="2"/>
  <c r="C105" i="2"/>
  <c r="E104" i="2"/>
  <c r="E103" i="2"/>
  <c r="E102" i="2"/>
  <c r="E101" i="2"/>
  <c r="E100" i="2"/>
  <c r="E99" i="2"/>
  <c r="E98" i="2"/>
  <c r="E97" i="2"/>
  <c r="E96" i="2"/>
  <c r="E95" i="2"/>
  <c r="E94" i="2"/>
  <c r="E93" i="2"/>
  <c r="D92" i="2"/>
  <c r="C92" i="2"/>
  <c r="E91" i="2"/>
  <c r="E90" i="2" s="1"/>
  <c r="D90" i="2"/>
  <c r="C90" i="2"/>
  <c r="E89" i="2"/>
  <c r="E88" i="2"/>
  <c r="E87" i="2"/>
  <c r="E86" i="2"/>
  <c r="E85" i="2"/>
  <c r="E84" i="2"/>
  <c r="E83" i="2"/>
  <c r="E82" i="2"/>
  <c r="E81" i="2"/>
  <c r="E80" i="2"/>
  <c r="E79" i="2"/>
  <c r="E78" i="2"/>
  <c r="E77" i="2"/>
  <c r="E76" i="2"/>
  <c r="E75" i="2"/>
  <c r="E74" i="2"/>
  <c r="D73" i="2"/>
  <c r="C73" i="2"/>
  <c r="E72" i="2"/>
  <c r="E71" i="2"/>
  <c r="E70" i="2"/>
  <c r="E69" i="2"/>
  <c r="E68" i="2"/>
  <c r="D67" i="2"/>
  <c r="C67" i="2"/>
  <c r="E66" i="2"/>
  <c r="E65" i="2"/>
  <c r="E64" i="2" s="1"/>
  <c r="D64" i="2"/>
  <c r="C64" i="2"/>
  <c r="G63" i="2"/>
  <c r="F63" i="2"/>
  <c r="E62" i="2"/>
  <c r="E60" i="2" s="1"/>
  <c r="D60" i="2"/>
  <c r="C60" i="2"/>
  <c r="E59" i="2"/>
  <c r="E58" i="2"/>
  <c r="E57" i="2"/>
  <c r="E56" i="2"/>
  <c r="E55" i="2"/>
  <c r="E54" i="2"/>
  <c r="E53" i="2"/>
  <c r="E52" i="2"/>
  <c r="E51" i="2"/>
  <c r="D50" i="2"/>
  <c r="C50" i="2"/>
  <c r="E49" i="2"/>
  <c r="E48" i="2"/>
  <c r="D47" i="2"/>
  <c r="C47" i="2"/>
  <c r="E46" i="2"/>
  <c r="E45" i="2"/>
  <c r="E44" i="2"/>
  <c r="D43" i="2"/>
  <c r="D42" i="2" s="1"/>
  <c r="C43" i="2"/>
  <c r="C42" i="2" s="1"/>
  <c r="E41" i="2"/>
  <c r="E40" i="2"/>
  <c r="E39" i="2"/>
  <c r="D38" i="2"/>
  <c r="D37" i="2" s="1"/>
  <c r="C38" i="2"/>
  <c r="C37" i="2"/>
  <c r="E35" i="2"/>
  <c r="E34" i="2" s="1"/>
  <c r="D34" i="2"/>
  <c r="C34" i="2"/>
  <c r="E33" i="2"/>
  <c r="E32" i="2"/>
  <c r="E31" i="2" s="1"/>
  <c r="D31" i="2"/>
  <c r="D30" i="2" s="1"/>
  <c r="D29" i="2" s="1"/>
  <c r="C31" i="2"/>
  <c r="E27" i="2"/>
  <c r="E26" i="2" s="1"/>
  <c r="E25" i="2" s="1"/>
  <c r="D26" i="2"/>
  <c r="D25" i="2" s="1"/>
  <c r="C26" i="2"/>
  <c r="C25" i="2" s="1"/>
  <c r="E22" i="2"/>
  <c r="E21" i="2"/>
  <c r="E20" i="2"/>
  <c r="C19" i="2"/>
  <c r="E19" i="2" s="1"/>
  <c r="E18" i="2"/>
  <c r="C17" i="2"/>
  <c r="E17" i="2" s="1"/>
  <c r="E16" i="2"/>
  <c r="E15" i="2"/>
  <c r="C14" i="2"/>
  <c r="E14" i="2" s="1"/>
  <c r="E13" i="2"/>
  <c r="E12" i="2"/>
  <c r="D11" i="2"/>
  <c r="A5" i="2"/>
  <c r="E43" i="2" l="1"/>
  <c r="E42" i="2" s="1"/>
  <c r="E38" i="2"/>
  <c r="E37" i="2" s="1"/>
  <c r="C36" i="2"/>
  <c r="C30" i="2"/>
  <c r="C29" i="2" s="1"/>
  <c r="E47" i="2"/>
  <c r="D36" i="2"/>
  <c r="D28" i="2" s="1"/>
  <c r="D24" i="2" s="1"/>
  <c r="D23" i="2" s="1"/>
  <c r="D10" i="2" s="1"/>
  <c r="E36" i="2"/>
  <c r="E30" i="2"/>
  <c r="E29" i="2" s="1"/>
  <c r="E50" i="2"/>
  <c r="E67" i="2"/>
  <c r="E63" i="2" s="1"/>
  <c r="E105" i="2"/>
  <c r="C123" i="2"/>
  <c r="D63" i="2"/>
  <c r="C11" i="2"/>
  <c r="E73" i="2"/>
  <c r="C63" i="2"/>
  <c r="E92" i="2"/>
  <c r="I92" i="2" s="1"/>
  <c r="E118" i="2"/>
  <c r="E11" i="2"/>
  <c r="C28" i="2" l="1"/>
  <c r="C24" i="2" s="1"/>
  <c r="C23" i="2" s="1"/>
  <c r="C10" i="2" s="1"/>
  <c r="E28" i="2"/>
  <c r="E24" i="2" s="1"/>
  <c r="E23" i="2" s="1"/>
  <c r="E128" i="2" s="1"/>
  <c r="F128" i="2" s="1"/>
  <c r="F127" i="2" s="1"/>
  <c r="E125" i="2"/>
  <c r="E126" i="2"/>
  <c r="F126" i="2" s="1"/>
  <c r="E127" i="2" l="1"/>
  <c r="E10" i="2"/>
  <c r="E129" i="2"/>
  <c r="F129" i="2" s="1"/>
  <c r="E130" i="2"/>
  <c r="F130" i="2" s="1"/>
  <c r="F125" i="2"/>
  <c r="F124" i="2" s="1"/>
  <c r="F123" i="2" s="1"/>
  <c r="E124" i="2"/>
  <c r="A3" i="9"/>
  <c r="E123" i="2" l="1"/>
  <c r="A3" i="11"/>
  <c r="A3" i="12"/>
</calcChain>
</file>

<file path=xl/sharedStrings.xml><?xml version="1.0" encoding="utf-8"?>
<sst xmlns="http://schemas.openxmlformats.org/spreadsheetml/2006/main" count="658" uniqueCount="446">
  <si>
    <t>STT</t>
  </si>
  <si>
    <t>Nội Dung</t>
  </si>
  <si>
    <t>Số tiền</t>
  </si>
  <si>
    <t>Ghi chú</t>
  </si>
  <si>
    <t>-</t>
  </si>
  <si>
    <t>Tổng cộng</t>
  </si>
  <si>
    <t>Đơn vị tính: Đồng</t>
  </si>
  <si>
    <t>Chương</t>
  </si>
  <si>
    <t>Loại</t>
  </si>
  <si>
    <t xml:space="preserve">Khoản </t>
  </si>
  <si>
    <t>Nguồn</t>
  </si>
  <si>
    <t>Mã CTMT DA</t>
  </si>
  <si>
    <t xml:space="preserve">Mã QHNS </t>
  </si>
  <si>
    <t>PHƯƠNG ÁN SỬ DỤNG KINH PHÍ TĂNG THU,  TIẾT KIỆM CHI NGÂN SÁCH NĂM 2025, CHUYỂN NGUỒN SANG NĂM 2026 SỬ DỤNG</t>
  </si>
  <si>
    <t>(Kèm theo Quyết định số      QĐ-UBND ngày     /      /2023 của UBND huyện Nậm Nhùn)</t>
  </si>
  <si>
    <t>(Kèm theo Tờ trình số       TTr-UBND ngày      /4/2024 của UBND huyện Nậm Nhùn)</t>
  </si>
  <si>
    <t>(Kèm theo Nghị quyết số      NQ-HĐND ngày     /      /2023 của HĐND huyện Nậm Nhùn)</t>
  </si>
  <si>
    <t>(Kèm theo Tờ trình số       /TTr-PKT ngày       /3/2026 của Phòng kinh tế xã Nậm Hàng)</t>
  </si>
  <si>
    <t>Đơn vị: Đồng</t>
  </si>
  <si>
    <t>(Kèm theo Tờ trình số       /TTr-UBND ngày       /3/2026 của Ủy ban Nhân dân xã Nậm Hàng)</t>
  </si>
  <si>
    <t>Nội dung chi</t>
  </si>
  <si>
    <t xml:space="preserve">Tổng dự toán </t>
  </si>
  <si>
    <t>Kinh phí đã thực hiện</t>
  </si>
  <si>
    <t>Kinh phí còn lại</t>
  </si>
  <si>
    <t>Chuyển nguồn dự toán</t>
  </si>
  <si>
    <t>A</t>
  </si>
  <si>
    <t>B</t>
  </si>
  <si>
    <t>PHẦN I: TỔNG KINH PHÍ TĂNG THU, TIẾT KIỆM CHI NĂM 2025</t>
  </si>
  <si>
    <t>TĂNG THU NGÂN SÁCH</t>
  </si>
  <si>
    <t>Dự toán thu ngân sách không kể tiền thu sử dụng đất năm 2025</t>
  </si>
  <si>
    <t>Lệ phí trước bạ</t>
  </si>
  <si>
    <t>Các loại phí, lệ phí</t>
  </si>
  <si>
    <t>Thu phí, lệ phí huyện</t>
  </si>
  <si>
    <t>Thu phí, lệ phí xã</t>
  </si>
  <si>
    <t>Các khoản thu về nhà, đất</t>
  </si>
  <si>
    <t>Thuế sử dụng đất phi nông nghiệp</t>
  </si>
  <si>
    <t>Thu khác ngân sách</t>
  </si>
  <si>
    <t>Thu hồi các khoản chi năm trước</t>
  </si>
  <si>
    <t>Thu khác còn lại</t>
  </si>
  <si>
    <t>Thu từ quỹ đất công ích và thu hoa lợi công sản khác</t>
  </si>
  <si>
    <t>Thu từ quỹ đất công ích, thu hoa lợi, công sản tại xã (không bao gồm thu hỗ trợ khi Nhà nước thu hồi đất công ích của xã, phường theo chếđộ quy định)</t>
  </si>
  <si>
    <t>TIẾT KIỆM CHI NGÂN SÁCH</t>
  </si>
  <si>
    <t>I</t>
  </si>
  <si>
    <t>CÂN ĐỐI NGÂN SÁCH</t>
  </si>
  <si>
    <t>Chi đầu tư phát triển</t>
  </si>
  <si>
    <t>a)</t>
  </si>
  <si>
    <t>3. Chi đầu tư từ nguồn xổ số kiến thiết</t>
  </si>
  <si>
    <t>Đường vào nghĩa địa bản Nậm Dòn, xã Nậm Hàng (Nguồn thu sổ xố kiến thiết) (Mã DA: 8122288)</t>
  </si>
  <si>
    <t>Chi thường xuyên</t>
  </si>
  <si>
    <t>1. Sự nghiệp kinh tế</t>
  </si>
  <si>
    <t>1.1. Theo định mức 7% chi thường xuyên</t>
  </si>
  <si>
    <t xml:space="preserve">a) Sự nghiệp giao thông </t>
  </si>
  <si>
    <t>Duy tu bảo dưỡng thường xuyên các tuyến đường bộ và  08 cầu treo dân sinh do huyện quản lý năm 2025</t>
  </si>
  <si>
    <t>Hỗ trợ kinh phí duy tu, bảo dưỡng, phát quang các tuyến đường do xã quản lý</t>
  </si>
  <si>
    <t xml:space="preserve">b) Sự nghiệp kinh tế khác </t>
  </si>
  <si>
    <t>+ Kinh phí vệ sinh môi trường</t>
  </si>
  <si>
    <t>2.Chi sự nghiệp giáo dục - đào tạo và dạy nghề</t>
  </si>
  <si>
    <t xml:space="preserve"> 2.1 Sự nghiệp giáo dục</t>
  </si>
  <si>
    <t>Phòng Văn hóa xã Hội</t>
  </si>
  <si>
    <t>- Kịnh phí vận chuyển gạo</t>
  </si>
  <si>
    <t>- Hỗ trợ kinh phí sửa chữa, mua sắm trang thiết bị dạy học cho các trường vùng ĐBKK, trường dự kiến đạt chuẩn quốc gia, duy trì trường chuẩn và cơ sở vật chất các trường, lớp học (Đã bao gồm kinh phí thực hiện Đề án dạy và học ngoại ngữ trong hệ thống giáo dục quốc dân giai đoạn 2017 - 2025 theo Quyết định số 1728/QĐ-UBND ngày 28/12/2018 của UBND tỉnh; kinh phí đối ứng thực hiện các Chương trình MTQG)</t>
  </si>
  <si>
    <t>- Kinh phí khen thưởng</t>
  </si>
  <si>
    <t xml:space="preserve"> 2.2 Sự nghiệp đào tạo và dạy nghề</t>
  </si>
  <si>
    <t>Trường chính trị Nậm Hàng</t>
  </si>
  <si>
    <t xml:space="preserve"> Kinh phí đào tạo, bồi dưỡng cán bộ, công chức, viên chức theo kế hoạch của cấp thẩm quyền và kinh phí thực hiện chính sách hỗ trợ đào tạo, bồi dưỡng, cán bộ, công chức, viên chức người dân tộc thiểu số trên địa bàn tỉnh theo Nghị quyết số 23/2023/NQ-HĐND ngày 13/7/2023 của Hội đồng nhân dân tỉnh</t>
  </si>
  <si>
    <t>Hỗ trợ cho các cơ sở đào tạo, bồi dưỡng những người không hưởng lương từ ngân sách nhà nước tham gia công tác đào tạo lý luận chính trị, bồi dưỡng nghiệp vụ trên địa bàn tỉnh theo Nghị quyết số 43/2023/NQ-HĐND ngày 17/10/2023 của Hội đồng nhân dân tỉnh.</t>
  </si>
  <si>
    <t xml:space="preserve">Hội nghị báo cáo viên cấp huyện </t>
  </si>
  <si>
    <t>3. Sự nghiệp văn hoá - thông tin</t>
  </si>
  <si>
    <t>-Kinh phí tiết kiệm 10% chi thường xuyên thực hiện CCTL</t>
  </si>
  <si>
    <t>- Kinh phí tự chủ</t>
  </si>
  <si>
    <t>4. Sự nghiệp truyền thanh - truyền hình</t>
  </si>
  <si>
    <t>- Kinh phí tiết kiệm 10% chi thường xuyên thực hiện CCTL</t>
  </si>
  <si>
    <t>- Chế độ khen thưởng theo NĐ 73</t>
  </si>
  <si>
    <t>- Chi bồi dưỡng hiện vật</t>
  </si>
  <si>
    <t>- Hỗ trợ tiền điện trạm Mường Mô, Trung tâm, các cụm loa, thẻ K+</t>
  </si>
  <si>
    <t>- Kinh phí đồng phục, trang phục, bảo hộ</t>
  </si>
  <si>
    <t>- Bảo hiểm phòng cháy, chữa cháy</t>
  </si>
  <si>
    <t xml:space="preserve">- Chi hỗ trợ tiền nhuận bút </t>
  </si>
  <si>
    <t>- Kinh phí hoạt động công tác Đảng của các tổ chức cơ sở đảng theo QĐ số 99-QĐ/TW ngày 30/5/2012 của Ban Chấp hành trung ương Đảng</t>
  </si>
  <si>
    <t xml:space="preserve">5. Sự nghiệp thể dục thể thao </t>
  </si>
  <si>
    <t>'- Kinh phí tiết kiệm 10% chi thường xuyên thực hiện CCTL</t>
  </si>
  <si>
    <t>- Kinh phí tham gia các hoạt động thể thao, các giải thi đấu cấp tỉnh</t>
  </si>
  <si>
    <r>
      <t>6. Quản lý hành chính</t>
    </r>
    <r>
      <rPr>
        <b/>
        <vertAlign val="superscript"/>
        <sz val="12"/>
        <rFont val="Times New Roman"/>
        <family val="1"/>
      </rPr>
      <t xml:space="preserve"> </t>
    </r>
  </si>
  <si>
    <t>Văn phòng Văn hóa xã hội</t>
  </si>
  <si>
    <t>-  Kinh phí quản lý, duy tu bảo dưỡng nghĩa trang, hoạt động thăm viếng nghĩa trang liệt sỹ huyện và tổ chức các hoạt động binh liệt sỹ</t>
  </si>
  <si>
    <t>- Kinh phí trung tâm học tập cộng đồng</t>
  </si>
  <si>
    <t>Phòng Kinh Tế</t>
  </si>
  <si>
    <t xml:space="preserve">Nâng cấp sửa chữa máy móc trang thiết bị </t>
  </si>
  <si>
    <t>- Kinh phí nâng cấp, bảo trì, cài đặt các phần mềm phục vụ công tác chuyên môn theo quy định</t>
  </si>
  <si>
    <t>Kinh phí mua sắm bổ xung trang thiết bị làm việc tại trụ sở làm việc(QĐ số 805/341/12) (TT Nậm Nhùn)</t>
  </si>
  <si>
    <t>Kinh phí khắc phục hư hỏng sau mưa mùa lũ năm 2024 công trình thủy lợi Na Co Hát, thị trấn Nậm Nhùn(805/283/12)</t>
  </si>
  <si>
    <t>Khắc phục hư hỏng sau mùa lu năm 2024 công trinh thuy lợi Nậm pồ xã Nậm manh</t>
  </si>
  <si>
    <t xml:space="preserve">Văn phòng HDND - UBND </t>
  </si>
  <si>
    <t xml:space="preserve">- Kinh phí chi cho công tác khảo sát, giám sát </t>
  </si>
  <si>
    <t>- Kinh phí viết bài tham bồi dưỡng, phục vụ các cuộc họp thường trực và các ban của HĐND</t>
  </si>
  <si>
    <t>- Kinh phí sửa chữa, bảo dưỡng, bảo hiểm, đăng kiểm, thay dầu, rửa xe ô tô</t>
  </si>
  <si>
    <t>- Kinh phí đặc thù: Xăng xe, tiếp khách, công tác phí, vật tư văn phòng, văn phòng phẩm, sửa chữa trang thiết bị, cước phí Internet, cước phí dịch vụ hội nghị truyền hình trực tuyến phục vụ hoạt động chung của Văn phòng HĐND - UBND huyện và một số nhiệm vụ khác do Thường trực HĐND - UBND huyện quyết định</t>
  </si>
  <si>
    <t>- Kinh phí thuê dọn dẹp vệ sinh trụ sở HĐND-UBND huyện; tiền điện trụ sở Huyện ủy, HĐND-UBND huyện; tiền nước trụ sở HĐND-UBND huyện</t>
  </si>
  <si>
    <t>- Kinh phí vận hành, duy trì máy phát điện</t>
  </si>
  <si>
    <t>- Kinh phí xây dựng dự thảo, sửa đổi bổ sung, ban hành mới thay thế văn bản quy phạm pháp luật theo Nghị quyết số 09/2023/NQ-HĐND ngày 20/3/2023</t>
  </si>
  <si>
    <t>- Phụ cấp đại biểu HĐND</t>
  </si>
  <si>
    <t>- Kinh phí hoạt động của HĐND</t>
  </si>
  <si>
    <t>- Kinh phí tiếp công dân, xử lý đơn thư khiếu nại, tố cáo, kiến nghị, phản ánh trên địa bàn tỉnh Lai Châu theo QĐ số 39/2017/QĐ-UBND.</t>
  </si>
  <si>
    <t>- Kinh phí hội đồng giáo dục pháp luật xã</t>
  </si>
  <si>
    <t>- Kinh phí hỗ trợ hoạt động của tổ hòa giải</t>
  </si>
  <si>
    <t>- Kinh phí tổ chức Đại hội Đảng bộ các cấp nhiệm kỳ 2025-2030</t>
  </si>
  <si>
    <t>Kinh phí làm cửa sắt để đảm bảo an toàn cho vũ khí Quân sự</t>
  </si>
  <si>
    <t>Làm bảng biểu, biển hiệu, biển chức danh xã mới và mua Ghế lãnh đạo HĐND - UBND; sửa chữa phòng khách của HĐND - UBND xã</t>
  </si>
  <si>
    <t>Trung tâm PC Hàng Chính công</t>
  </si>
  <si>
    <t xml:space="preserve">- Kinh phí đảm bảo hoạt động  kiểm soát thủ tục hành chính theo QĐ 24/2013/QĐ-UBND. </t>
  </si>
  <si>
    <t>Văn phòng Đảng ủy xã Nậm Hàng</t>
  </si>
  <si>
    <t>Kinh phí khen thưởng Đảng viên, tổ chức Đảng</t>
  </si>
  <si>
    <t>- Đặc thù: Xăng dầu, công tác phí, văn phòng phẩm, sửa chữa, lắp đặt trang thiết bị văn phòng, tiếp khách và thực hiện một số nhiệm vụ chi khác do Thường trực Huyện ủy quyết định.</t>
  </si>
  <si>
    <t>- Kinh phí BCĐ công tác tôn giáo</t>
  </si>
  <si>
    <t>- Hỗ trợ may đo trang phục</t>
  </si>
  <si>
    <t>- Kinh phí các cuộc kiểm tra, giám sát của cấp ủy</t>
  </si>
  <si>
    <t>- Kinh phí thực hiện Nghị quyết 15/NQ-TU của Tỉnh ủy về xóa bỏ hủ tục, phong tục tập quán lạc hậu xây dựng các nếp sống văn minh trong nhân dân các dân tộc tỉnh Lai Châu giai đoạn 2024-2030</t>
  </si>
  <si>
    <t>- Kinh phí hoạt động BCĐ 35</t>
  </si>
  <si>
    <t>- Kinh phí thuê dọn dẹp vệ sinh, tiền nước toà nhà Huyện uỷ</t>
  </si>
  <si>
    <t>- Kinh phí hoạt động quy chế dân chủ</t>
  </si>
  <si>
    <t>- Kinh phí chi trả chế độ hỗ trợ hàng tháng cho đảng viên được tặng Huy hiệu đảng từ 40 năm tuổi đảng trở lên theo Nghị quyết số 27/2022/NQ-HĐND ngày 20/7/2022 của Hội đồng nhân dân tỉnh</t>
  </si>
  <si>
    <t>ỦY BAN MTTQ xã</t>
  </si>
  <si>
    <t>Kinh phí tuyên truyền nghị quyết đại hội MTTQ xã và các đoàn thể</t>
  </si>
  <si>
    <t>Kinh phí Tổ chức Hội nghị Ủy viên Ủy ban MTTQVN xã  Và Tổ chức Hội nghị Ban Chấp hành các tổ chức chính trị- xã hội(Đoàn TN, Hội PN, HND và Cựu Chiến binh</t>
  </si>
  <si>
    <t>- Kinh phí đảm bảo thực hiện cuộc vận động của UBMTTQ VN cấp xã</t>
  </si>
  <si>
    <t>- Kinh phí hỗ trợ đối với Ban công tác mặt trận khu dân cư thực hiện cuộc vận động và các phong trào được phát động ở địa phương theo Nghị quyết số 22/2018/NQ-HĐND ngày 8/12/2018của HĐND tỉnh</t>
  </si>
  <si>
    <t>- Kinh phí đảm bảo hoạt động của ban thanh tra nhân dân</t>
  </si>
  <si>
    <t xml:space="preserve">Kỷ niệm 95 năm  ngày thành lập MTTQ VN cấp xã </t>
  </si>
  <si>
    <t>Tổng kết MTTQ và đoàn thể</t>
  </si>
  <si>
    <t>Tổ chức Tết Trung thu.</t>
  </si>
  <si>
    <t>Kinh phí Hội thao kỷ niệm 20/10/2025</t>
  </si>
  <si>
    <t>Hội nghị tổng kết đề án 939</t>
  </si>
  <si>
    <t>Hội nghị tổng kết đề án 1893</t>
  </si>
  <si>
    <t xml:space="preserve">Kinh phí thực hiện Đại hội đại biểu (MTTQ, HPN, HND,HCCB,ĐTN) </t>
  </si>
  <si>
    <t>7. Dự phòng ngân sách</t>
  </si>
  <si>
    <t>Khắc phục hậu quả thiên tai điểm sắp xếp ổn định dân cư bản Nậm Pồ, xã Nậm Manh</t>
  </si>
  <si>
    <t>Hỗ trợ kinh phí mua ống nước, rọ thép bản Nậm Dòn, Nậm Ty, Huổi Chát 01 để khắc phục thủy lợi cấp nước cho cây lúa</t>
  </si>
  <si>
    <t>Sửa chữa công trình nước sinh hoạt bản Nậm Pồ, bản huổi chát 01</t>
  </si>
  <si>
    <t>Hỗ trợ kinh phí tuyển quân, làm bản đồ tác chiến, vận chuyển trang phục dân quân tự vệ</t>
  </si>
  <si>
    <t>PHẦN II: PHƯƠNG ÁN SỬ DỤNG KINH PHÍ TĂNG THU, TIẾT KIỆM CHI NGÂN SÁCH 2025,</t>
  </si>
  <si>
    <t>TĂNG THU NGÂN SÁCH ĐỊA PHƯƠNG NĂM 2025</t>
  </si>
  <si>
    <t>Sử dụng 70% tạo nguồn cải cách tiền lương</t>
  </si>
  <si>
    <t>II</t>
  </si>
  <si>
    <t>Sử dụng 30% để thực hiện các nhiệm vụ theo quy định tại khoản 2, Điều 61, Luật ngân sách Nhà nước</t>
  </si>
  <si>
    <t>TIẾT KIỆM CHI NGÂN SÁCH NĂM 2025</t>
  </si>
  <si>
    <t>Để thực hiện các nhiệm vụ theo quy định tại khoản 2 điều 61 Luật ngân sách Nhà nước</t>
  </si>
  <si>
    <t>Sử dụng 30% để thực hiện các nhiệm vụ theo quy định tại khoản 2, Điều 59, Luật ngân sách Nhà nước</t>
  </si>
  <si>
    <t>BIỂU TỔNG HỢP CHI CHUYỂN NGUỒNG NGUỒN KINH PHÍ PHÂN BỔ CHƯA TIẾT NĂM 2025 SANG NĂM 2026</t>
  </si>
  <si>
    <t>( Kèm theo quyết định số         / QĐ- UBND ngày      tháng 2 năm 2026)</t>
  </si>
  <si>
    <t>s</t>
  </si>
  <si>
    <t>Tổng kinh phí</t>
  </si>
  <si>
    <t>CHI CÂN ĐỐI NGÂN SÁCH</t>
  </si>
  <si>
    <t xml:space="preserve">Các khoản tăng thu, tiết kiệm chi được phép chuyển năm sau theo quy định </t>
  </si>
  <si>
    <t>Theo Quyết định 639/QĐ- UBND ngày 11/11/2025</t>
  </si>
  <si>
    <t>Nguồn Dự phòng</t>
  </si>
  <si>
    <t>Trích lập từ nguồn chi thường xuyên</t>
  </si>
  <si>
    <t>UBND xã Nậm Hàng</t>
  </si>
  <si>
    <t>UBND TT Nậm Nhùn</t>
  </si>
  <si>
    <t>Tiết kiệm 10% chi thường xuyên, 50% chi hội nghị 6 tháng cuối năm 2021</t>
  </si>
  <si>
    <t>UBND xã Nậm Manh</t>
  </si>
  <si>
    <t>Kinh phí tăng thu tiết kiệm chi theo Khoản 2 Điều 59 Luật NSNN</t>
  </si>
  <si>
    <t xml:space="preserve"> Kinh phí thực hiện mua sắm trang thiết bị Trung tâm hành chính công và một số nội dung cần thiết khác khi thực hiện mô hình tổ chức chính quyền địa phương 02 cấp (các xã sau sắp xếp, hợp nhất) </t>
  </si>
  <si>
    <t>70% tăng thu để thực hiện cải cách tiền lương</t>
  </si>
  <si>
    <t>Tiết kiệm chi năm 2023 còn dư chuyển sang năm 2025</t>
  </si>
  <si>
    <t>Tiết kiệm chi năm 2024 còn dư chuyển 2025</t>
  </si>
  <si>
    <t>Nguồn giao trong năm 2025</t>
  </si>
  <si>
    <t>Hỗ trợ kinh phí thực hiện nhiệm vụ kiến thiết thị chính</t>
  </si>
  <si>
    <t>Số 3176/QĐ- UBND  ngày 25/12/2025 ( QĐ 848/QĐ - UBND ngày 29/12/2025)</t>
  </si>
  <si>
    <t>Phân bổ khắc phục hậu quả tiên tai , sạt lở năm 2025</t>
  </si>
  <si>
    <t>Quyết định số 3308/ QĐ UBND ngày 31/12/.2025</t>
  </si>
  <si>
    <t xml:space="preserve">Kinh phí chưa phân bổ </t>
  </si>
  <si>
    <t>Theo QĐ 640/QĐ- UBND ngày 11/11/2025, số 115/ QĐ -  UBND ngày 1/8/2025</t>
  </si>
  <si>
    <t>Phân hết cho tiêm phòng</t>
  </si>
  <si>
    <t>Phân hết</t>
  </si>
  <si>
    <t>Phòng Kinh tế</t>
  </si>
  <si>
    <t>ĐƠN VỊ: VĂN PHÒNG ĐẢNG ỦY XÃ NẬM HÀNG</t>
  </si>
  <si>
    <t>Mã đơn vị QHNS: 1160143</t>
  </si>
  <si>
    <t>Mã Kho bạc Nhà nước nơi giao dịch: 3168</t>
  </si>
  <si>
    <t>Mã địa bàn hành chính: 03434</t>
  </si>
  <si>
    <t>ĐVT:  đồng</t>
  </si>
  <si>
    <t xml:space="preserve">Nội dung </t>
  </si>
  <si>
    <t>Khoản</t>
  </si>
  <si>
    <t>Dự toán sau
điều chỉnh</t>
  </si>
  <si>
    <t>Ghi Chú</t>
  </si>
  <si>
    <t>Dự toán chuyển nguồn năm 2024 sang</t>
  </si>
  <si>
    <t xml:space="preserve">Giảm
(-)
</t>
  </si>
  <si>
    <t>Tăng
(+)</t>
  </si>
  <si>
    <t>TỔNG SỐ</t>
  </si>
  <si>
    <t>(Kèm theo Quyết định  số: 848/QĐ - UBND   ngày 29 tháng 12 năm 2025 của UBND xã Nậm Hàng)</t>
  </si>
  <si>
    <t>(Kèm theo tờ trình số :            /Ttr - UBND   ngày       tháng   3  năm 2026 của UBND xã Nậm Hàng)</t>
  </si>
  <si>
    <t xml:space="preserve">Mã QH Ngân sách </t>
  </si>
  <si>
    <t>Hỗ trợ nhiệm vụ Quốc phòng Địa phương (Đm 15.000đ/người/năm)</t>
  </si>
  <si>
    <t>Hỗ trợ dân quân tự vệ</t>
  </si>
  <si>
    <t>Chế độ phụ cấp chức vụ của DQTV theo NĐ 16/2025/NĐ-CP, Nghị định 72/2020/NĐ-CP</t>
  </si>
  <si>
    <t>Hỗ trợ các huyện, thành phố có dân số dưới 13.500 người</t>
  </si>
  <si>
    <t>Hỗ trợ kinh phí diễn tập phòng thủ dân sự ứng phó thiên tai, ứng phó cháy rừng và tìm kiếm cứu nạn (500 trđ/xã/năm)</t>
  </si>
  <si>
    <t xml:space="preserve">Văn HĐND - UBND </t>
  </si>
  <si>
    <t>Quốc phòng</t>
  </si>
  <si>
    <t>Ban Chi huy Quân sự Xã</t>
  </si>
  <si>
    <t>Số liệu điều chỉnh</t>
  </si>
  <si>
    <t>(Kèm theo Tờ trình  số:            /Ttr - UBND   ngày         tháng 03 năm 2026 của UBND xã Nậm Hàng)</t>
  </si>
  <si>
    <t>BIỂU KINH PHÍ ĐIỀU CHỈNH DỰ TOÁN NĂM 2026</t>
  </si>
  <si>
    <t>1163284</t>
  </si>
  <si>
    <t>011</t>
  </si>
  <si>
    <t>Biểu số 02</t>
  </si>
  <si>
    <t>9135827</t>
  </si>
  <si>
    <t>Dự toán đã sử dụng</t>
  </si>
  <si>
    <t xml:space="preserve">Dự toán còn lại </t>
  </si>
  <si>
    <t>5=3-4</t>
  </si>
  <si>
    <t>010</t>
  </si>
  <si>
    <t xml:space="preserve">VỐN THỰC HIỆN CHƯƠNG TRÌNH MỤC TIÊU QUỐC GIA </t>
  </si>
  <si>
    <t>Vốn sự nghiệp</t>
  </si>
  <si>
    <t>Dự án 1: Hỗ trợ đầu tư phát triển hạ tầng kinh tế - xã hội các huyện nghèo</t>
  </si>
  <si>
    <t>Tiểu dự án 1: Duy tu, bảo dưỡng công trình</t>
  </si>
  <si>
    <t>Nội dung 01: Xây dựng, nâng cấp hạ tầng thiết yếu, thủy lợi, điện, nước sinh hoạt, trường học, trạm y tế, chợ, công trình văn hóa, công trình phục vụ sản xuất..)</t>
  </si>
  <si>
    <t>Nội dung thành phần số 02: Phát triển hạ tầng KT-XH, cơ bản đồng bộ, hiện đại, đảm bảo kết nối nông thôn - đô thị và kết nối các vùng miền</t>
  </si>
  <si>
    <t xml:space="preserve">Chương trình mục tiêu quốc gia phát triển kinh tế xã hội vùng đồng bào dân tộc thiểu số và miền núi </t>
  </si>
  <si>
    <t>Dự án 4: Đầu tư cơ sở hạ tầng thiết yếu phục vụ sản xuất, đời sống trong vùng đồng bào dân tộc thiểu số và miền núi</t>
  </si>
  <si>
    <t>Tiểu dự án 1: Đầu tư cơ sở hạ tầng thiết yếu (Duy tu, bảo dưỡng công trình cơ sở hạ tầng trên địa bàn đặc biệt khó khăn)</t>
  </si>
  <si>
    <t>Đầu tư cơ sở hạ tầng thiết yếu vùng đồng bào dân tộc thiểu số và miền núi, ưu tiên đối với các xã đặc biệt khó khắn, thôn bản đặc biệt khó khăn</t>
  </si>
  <si>
    <t>Phòng kinh tế</t>
  </si>
  <si>
    <t>Phòng văn hóa - xã hội xã Nậm Hàng</t>
  </si>
  <si>
    <t>Dự án 9: Đầu tư phát triển nhóm dân tộc thiểu số rất ít người và nhóm dân tộc còn nhiều khó khăn</t>
  </si>
  <si>
    <t>Tiểu dự án 1: Đầu tư phát triển kinh tế - xã hội các dân tộc còn gặp nhiều khó khăn, dân tộc có khó khăn đặc thù</t>
  </si>
  <si>
    <t xml:space="preserve">Đã giải ngân tới thười điềm hiện tại </t>
  </si>
  <si>
    <t>Lê Thị Nga</t>
  </si>
  <si>
    <t>Phục Vụ</t>
  </si>
  <si>
    <t>Lò Văn Thực</t>
  </si>
  <si>
    <t>Bảo vệ</t>
  </si>
  <si>
    <t xml:space="preserve">Vàng Văn Tâm </t>
  </si>
  <si>
    <t>MN Nậm Manh</t>
  </si>
  <si>
    <t>Bảo Vệ</t>
  </si>
  <si>
    <t>Cà Văn Đoàn</t>
  </si>
  <si>
    <t>TH Nậm Hàng</t>
  </si>
  <si>
    <t>Điêu Văn Hiệu</t>
  </si>
  <si>
    <t>Mào Văn Tướng</t>
  </si>
  <si>
    <t>Điêu Văn Long</t>
  </si>
  <si>
    <t>TH Nậm Manh</t>
  </si>
  <si>
    <t>Nguyễn Đức Khen</t>
  </si>
  <si>
    <t>Vũ Duy Đương</t>
  </si>
  <si>
    <t>TH Nậm Nhùn</t>
  </si>
  <si>
    <t>Khoàng Văn Phính</t>
  </si>
  <si>
    <t>THCS Nậm Nhùn</t>
  </si>
  <si>
    <t>Mào Văn Quýn</t>
  </si>
  <si>
    <t>THCS Nậm Manh</t>
  </si>
  <si>
    <t>Lò Văn Hào</t>
  </si>
  <si>
    <t>Lò Văn Quân</t>
  </si>
  <si>
    <t>THCS Nậm Hàng</t>
  </si>
  <si>
    <t>Phạm Thị Nguyệt</t>
  </si>
  <si>
    <t>Vũ Đức Mạnh</t>
  </si>
  <si>
    <t>Tổng cộng</t>
  </si>
  <si>
    <t>TT</t>
  </si>
  <si>
    <t>Họ và tên</t>
  </si>
  <si>
    <t xml:space="preserve">Đơn Vị </t>
  </si>
  <si>
    <t>CV</t>
  </si>
  <si>
    <t>Mức lương theo hợp đồng</t>
  </si>
  <si>
    <t>Trích nộp Bảo hiểm (21,5%)</t>
  </si>
  <si>
    <t>Tổng tiền</t>
  </si>
  <si>
    <t>Pờ Khù Pư</t>
  </si>
  <si>
    <t>Trường MN Sông đà</t>
  </si>
  <si>
    <t>Tạp vụ</t>
  </si>
  <si>
    <t>Lý Văn Toan</t>
  </si>
  <si>
    <t>|Mào Văn Thụ</t>
  </si>
  <si>
    <t>Trường MN Nậm Hàng</t>
  </si>
  <si>
    <t>Nội dung</t>
  </si>
  <si>
    <t>Số người</t>
  </si>
  <si>
    <t>Tổng kinh phí (đồng)</t>
  </si>
  <si>
    <t>Hợp đồng bảo vệ</t>
  </si>
  <si>
    <t>Hợp đồng tạp vụ</t>
  </si>
  <si>
    <t>Kinh phí khác theo hợp đồng</t>
  </si>
  <si>
    <t>Mức kinh phí/người/Tháng  (đồng)</t>
  </si>
  <si>
    <t xml:space="preserve">Số tháng </t>
  </si>
  <si>
    <t xml:space="preserve">Phụ cấp khu vực </t>
  </si>
  <si>
    <t xml:space="preserve">Các khoản đóng BHXH, BHYT, BHTN (21,5%) </t>
  </si>
  <si>
    <t>4=2*21,5%</t>
  </si>
  <si>
    <t>5=2+3+4</t>
  </si>
  <si>
    <t>Mức kinh phí ký hợp đồng/người/Tháng  (đồng)</t>
  </si>
  <si>
    <t>7=5*6</t>
  </si>
  <si>
    <t xml:space="preserve">PHƯƠNG ÁN PHÂN BỔ </t>
  </si>
  <si>
    <t>Phụ cấp</t>
  </si>
  <si>
    <t>3=1*21,5%</t>
  </si>
  <si>
    <t>4=1+2+3</t>
  </si>
  <si>
    <t>8=1+2+3</t>
  </si>
  <si>
    <t>7=5*21,5%</t>
  </si>
  <si>
    <t>Mức hiện tại ký hợp đồng</t>
  </si>
  <si>
    <t>Mức dự kiến điều chỉnh Theo HS Lương tối tiểu vùng</t>
  </si>
  <si>
    <t>Mức lương Tối thiểu vùng</t>
  </si>
  <si>
    <t xml:space="preserve">Số lần </t>
  </si>
  <si>
    <t>Tổng tiền/ người/ tháng/ đồng</t>
  </si>
  <si>
    <t>Huấn luyện dân quân</t>
  </si>
  <si>
    <t>dân quân cơ đông</t>
  </si>
  <si>
    <t>Thoát ly (NQ 37)</t>
  </si>
  <si>
    <t>Tiền ăn (</t>
  </si>
  <si>
    <t>Ngày</t>
  </si>
  <si>
    <t xml:space="preserve">dân quân tại chỗ </t>
  </si>
  <si>
    <t>Dự toán sau
điều chỉnh, Phân Bổ</t>
  </si>
  <si>
    <t xml:space="preserve">Số vốn còn lại </t>
  </si>
  <si>
    <t xml:space="preserve">Thực lĩnh </t>
  </si>
  <si>
    <t>BH Mức cũ</t>
  </si>
  <si>
    <t>Mức mơi</t>
  </si>
  <si>
    <t xml:space="preserve">Lương </t>
  </si>
  <si>
    <t>BH</t>
  </si>
  <si>
    <t>T. lĩnh</t>
  </si>
  <si>
    <t>Tổng 12 tháng đã phân</t>
  </si>
  <si>
    <t>PHỤ LỤC:</t>
  </si>
  <si>
    <t xml:space="preserve"> BÁO CÁO CẬP NHẬT TÌNH HÌNH DỊCH BỆNH DỊCH TẢ LỢN CHÂU PHI TẠI XÃ NẬM HÀNG NĂM 2026</t>
  </si>
  <si>
    <t>Bản, Họ và tên</t>
  </si>
  <si>
    <t>Ngày, tháng,năm
 tiêu hủy</t>
  </si>
  <si>
    <t>Số động vật mắc bệnh, chết, tiêu hủy do mắc bệnh</t>
  </si>
  <si>
    <t>Tổng đàn nguy cơ của xã, bản (con)</t>
  </si>
  <si>
    <t>Kết quả phòng, chống dịch bệnh</t>
  </si>
  <si>
    <t>Tổng số con tiêu hủy 
(con)</t>
  </si>
  <si>
    <t>Tổng trọng lượng tiêu hủy (kg)</t>
  </si>
  <si>
    <t>Lợn nái</t>
  </si>
  <si>
    <t>Lợn đực giống</t>
  </si>
  <si>
    <t>Lợn thịt</t>
  </si>
  <si>
    <t>Lợn sữa</t>
  </si>
  <si>
    <t>Tiêm phòng</t>
  </si>
  <si>
    <t>Hóa chất</t>
  </si>
  <si>
    <t>Vôi bột</t>
  </si>
  <si>
    <t>Số chốt kiểm dịch</t>
  </si>
  <si>
    <t>Số tổ tiêu hủy…</t>
  </si>
  <si>
    <t>Số 
lượng
(Con)</t>
  </si>
  <si>
    <t>Trọng lượng 
(kg)</t>
  </si>
  <si>
    <t>Số lượng
(Con)</t>
  </si>
  <si>
    <t>TỔNG CỘNG</t>
  </si>
  <si>
    <t>Bản Nậm Ty</t>
  </si>
  <si>
    <t>Lò Văn Trịnh</t>
  </si>
  <si>
    <t>Lò Văn Kiếm</t>
  </si>
  <si>
    <t>Lò Văn Cơi</t>
  </si>
  <si>
    <t>Vàng Văn Sáng</t>
  </si>
  <si>
    <t>Lò Văn Trọng</t>
  </si>
  <si>
    <t>Tao Văn Nguyện</t>
  </si>
  <si>
    <t>Tao Văn Mới</t>
  </si>
  <si>
    <t>TDP Nậm Hàng</t>
  </si>
  <si>
    <t>Lò Văn Hiền</t>
  </si>
  <si>
    <t>TDP Noong Kiêng</t>
  </si>
  <si>
    <t>Khoàng Thị Nên</t>
  </si>
  <si>
    <t>20/4/2026</t>
  </si>
  <si>
    <t>Ghi chú :</t>
  </si>
  <si>
    <t>Tổng số bản có dịch: 03 Bản/Tổng số bản của xã 18 Bản</t>
  </si>
  <si>
    <t>Tổng số hộ có dịch: 09 Hộ</t>
  </si>
  <si>
    <t xml:space="preserve">Số phát sinh trong ngày BC: </t>
  </si>
  <si>
    <r>
      <t xml:space="preserve">     - Số bản có lợn tiêu hủy phát sinh trong ngày BC: 01bản. </t>
    </r>
    <r>
      <rPr>
        <sz val="14"/>
        <rFont val="Times New Roman"/>
        <family val="1"/>
      </rPr>
      <t>Trong đó: Số bản mới có dịch phát sinh:</t>
    </r>
    <r>
      <rPr>
        <b/>
        <sz val="14"/>
        <rFont val="Times New Roman"/>
        <family val="1"/>
      </rPr>
      <t xml:space="preserve"> 0 bản </t>
    </r>
    <r>
      <rPr>
        <sz val="14"/>
        <rFont val="Times New Roman"/>
        <family val="1"/>
      </rPr>
      <t>và số bản cũ có lợn tiêu hủy thêm:</t>
    </r>
    <r>
      <rPr>
        <b/>
        <sz val="14"/>
        <rFont val="Times New Roman"/>
        <family val="1"/>
      </rPr>
      <t xml:space="preserve"> 0 bản</t>
    </r>
  </si>
  <si>
    <r>
      <t xml:space="preserve">     - Tổng số hộ có lợn tiêu hủy phát sinh trong ngày BC: 01 hộ. </t>
    </r>
    <r>
      <rPr>
        <sz val="14"/>
        <rFont val="Times New Roman"/>
        <family val="1"/>
      </rPr>
      <t xml:space="preserve">Trong đó: Số hộ mới có dịch phát sinh:0 </t>
    </r>
    <r>
      <rPr>
        <b/>
        <sz val="14"/>
        <rFont val="Times New Roman"/>
        <family val="1"/>
      </rPr>
      <t xml:space="preserve">hộ </t>
    </r>
    <r>
      <rPr>
        <sz val="14"/>
        <rFont val="Times New Roman"/>
        <family val="1"/>
      </rPr>
      <t>và số hộ cũ có lợn tiêu hủy thêm:</t>
    </r>
    <r>
      <rPr>
        <b/>
        <sz val="14"/>
        <rFont val="Times New Roman"/>
        <family val="1"/>
      </rPr>
      <t xml:space="preserve">  01 hộ</t>
    </r>
  </si>
  <si>
    <t xml:space="preserve">     - Tổng số lợn tiêu hủy trong ngày:   06 con, trọng lượng  63Kg. Trong đó:</t>
  </si>
  <si>
    <r>
      <t xml:space="preserve">Lợn nái:   </t>
    </r>
    <r>
      <rPr>
        <b/>
        <sz val="14"/>
        <rFont val="Times New Roman"/>
        <family val="1"/>
      </rPr>
      <t xml:space="preserve">con, </t>
    </r>
    <r>
      <rPr>
        <sz val="14"/>
        <rFont val="Times New Roman"/>
        <family val="1"/>
      </rPr>
      <t xml:space="preserve">trọng lượng    </t>
    </r>
    <r>
      <rPr>
        <b/>
        <sz val="14"/>
        <rFont val="Times New Roman"/>
        <family val="1"/>
      </rPr>
      <t>kg</t>
    </r>
  </si>
  <si>
    <r>
      <t>Lợn đực:  c</t>
    </r>
    <r>
      <rPr>
        <b/>
        <sz val="14"/>
        <rFont val="Times New Roman"/>
        <family val="1"/>
      </rPr>
      <t>on</t>
    </r>
    <r>
      <rPr>
        <sz val="14"/>
        <rFont val="Times New Roman"/>
        <family val="1"/>
      </rPr>
      <t xml:space="preserve"> trọng lượng</t>
    </r>
    <r>
      <rPr>
        <b/>
        <sz val="14"/>
        <rFont val="Times New Roman"/>
        <family val="1"/>
      </rPr>
      <t xml:space="preserve">  kg</t>
    </r>
  </si>
  <si>
    <r>
      <t xml:space="preserve">Lợn thịt, lợn con  6 </t>
    </r>
    <r>
      <rPr>
        <b/>
        <sz val="14"/>
        <rFont val="Times New Roman"/>
        <family val="1"/>
      </rPr>
      <t>con</t>
    </r>
    <r>
      <rPr>
        <sz val="14"/>
        <rFont val="Times New Roman"/>
        <family val="1"/>
      </rPr>
      <t xml:space="preserve">, trọng lượng 63 </t>
    </r>
    <r>
      <rPr>
        <b/>
        <sz val="14"/>
        <rFont val="Times New Roman"/>
        <family val="1"/>
      </rPr>
      <t>kg</t>
    </r>
  </si>
  <si>
    <t>Đã giao</t>
  </si>
  <si>
    <t xml:space="preserve">Tổng lương 12 tháng </t>
  </si>
  <si>
    <t xml:space="preserve">Định chi khác </t>
  </si>
  <si>
    <t xml:space="preserve">TỔNG CẤP KINH PHÍ </t>
  </si>
  <si>
    <t>9=8-4</t>
  </si>
  <si>
    <t>So sánh chênh lệch / tháng</t>
  </si>
  <si>
    <t>BIỂU PHƯƠNG ÁN PHÂN BỔ THEO NĐ 111 NGUỒN SỰ NGHIỆP GIÁO DỤC</t>
  </si>
  <si>
    <t>ĐVT: đồng</t>
  </si>
  <si>
    <t>1.1</t>
  </si>
  <si>
    <t>1.2</t>
  </si>
  <si>
    <t>Kèm theo  Quyết định số   695 /QĐ - UBND   ngày  10  tháng  07  năm 2026 của UBND  xã Nậm Hàng</t>
  </si>
  <si>
    <t>Nguồn Chuyển nguồn năm 2025 chuyển sang 2026</t>
  </si>
  <si>
    <t>Duy tu sửa chữa điểm trường Mầm non Huổi Pết trường Mầm non Nậm Hàng</t>
  </si>
  <si>
    <t>Duy tu sửa chữa đường nội bản Nậm Lay xã Nậm Hàng</t>
  </si>
  <si>
    <t>Duy tu, Sửa chữa đường nội bản Nậm Cầy xã Nậm Hàng</t>
  </si>
  <si>
    <t>Dự án 7:Nâng cao năng lực thực hiện Chương trình</t>
  </si>
  <si>
    <t>Giám sát, đánh giá thực hiện Chương trình</t>
  </si>
  <si>
    <t xml:space="preserve">Duy tu sử chữa đường nội bản, rãnh thoát nước, vỉa hè đường Lò Văn Hặc bản Nậm Hàng xã Nậm Hàng </t>
  </si>
  <si>
    <t>Hỗ trợ phát triển sản xuất Đối với các hộ dân tộc thiểu số còn nhiểu khó khăn</t>
  </si>
  <si>
    <r>
      <t xml:space="preserve">Phòng Kinh Tế xã Nậm Hàng </t>
    </r>
    <r>
      <rPr>
        <b/>
        <i/>
        <sz val="12"/>
        <rFont val="Times New Roman"/>
        <family val="1"/>
      </rPr>
      <t>( Mã QHNS: 1163290)</t>
    </r>
  </si>
  <si>
    <t>10519</t>
  </si>
  <si>
    <t>Dự án 5: Phát triển giáo dục và đào tạo nâng cao chất lượng nguồn nhân lực</t>
  </si>
  <si>
    <t>Tiểu dự án 1: Đổi mới hoạt động, củng cố phát triển các trường phổ thông dân tộc nội trú, trường phổ thông dân tộc bán trú, trường PTDT có học sinh ở bán trú và xóa mù chữ cho người dân vùng đồng bào dân tộc thiểu số</t>
  </si>
  <si>
    <t>+ Mua sắm trang thiết bị, đồ dùng bán trú các trường bán trú</t>
  </si>
  <si>
    <t xml:space="preserve">Từ nguồn TW
bổ sung cho
NSĐP năm
2025 chuyển
nguồn sang
năm 2026 ( Đã phân bổ QĐ 131 QĐ - UBND ngày 09/2/2026) </t>
  </si>
  <si>
    <t>Chương trình mục tiêu quốc gia giảm nghèo bền vững</t>
  </si>
  <si>
    <t xml:space="preserve"> Duy tu sửa chữa đường nội đồng bãi 3 bản Nậm Manh xã Nậm Hàng</t>
  </si>
  <si>
    <t>*Phòng kinh tế xã Nậm Hàng</t>
  </si>
  <si>
    <t>Phòng Văn hóa - Xã hội</t>
  </si>
  <si>
    <t>BIỂU TỔNG HỢP PHÂN BỔ NGUỒN KINH PHÍ CÒN DƯ VỐN SỰ NGHIỆP NĂM 2025
CHUYỂN NGUỒN SANG NĂM 2026 THỰC HIỆN CÁC CHƯƠNG TRÌNH MỤC TIÊU QUỐC GIA</t>
  </si>
  <si>
    <t>Nguồn Chuyển nguồn năm 2025 chuyển sang</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</si>
  <si>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</si>
  <si>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 và MN</t>
  </si>
  <si>
    <t>Nội dung 1: Hỗ trợ phát triển sản xuất theo chuỗi giá trị</t>
  </si>
  <si>
    <t>Dự án hỗ trợ phát triển chăn nuôi gia súc</t>
  </si>
  <si>
    <t xml:space="preserve">Dự án 8: Thực hiện bình đẳng giới và giải quyết những vấn đề cấp thiết đối với phụ nữ và trẻ em </t>
  </si>
  <si>
    <t>Mặt trận tổ quốc xã</t>
  </si>
  <si>
    <t>Duy tu, sửa chữa nhà văn hóa các bản Nậm Ty, Huổi Đanh, Lồng Ngài, Nậm Nhùn xã Nậm Hàng</t>
  </si>
  <si>
    <t>Phòng Kinh tế xã Nậm Hàng</t>
  </si>
  <si>
    <t>Duy tu, sửa chữa các công trình thủy lợi: Na Tở 2, Na Cuông, Huổi Pết, Nậm Ty, Nậm Manh (bãi 3)</t>
  </si>
  <si>
    <t>Kèm theo tờ trình số  301 /TTr- PKT ngày  03   tháng   08  năm 2026 của Phòng Kinh tế xã Nậm Hàng)</t>
  </si>
  <si>
    <t>Biểu số 01</t>
  </si>
  <si>
    <t>Biểu  số 03</t>
  </si>
  <si>
    <t>BIỂU PHÂN BỔ NGUỒN DỰ PHÒNG NGÂN SÁCH NĂM 2026</t>
  </si>
  <si>
    <t>Nguồn vốn</t>
  </si>
  <si>
    <t xml:space="preserve">Nguồn giao đầu  năm 2026 </t>
  </si>
  <si>
    <t>Kinh phí bổ sung trong năm 2026</t>
  </si>
  <si>
    <t>Nguồn tăng thu, tiết kiệm chi chưa phân bổ chi tiết năm 2024 chuyển sang</t>
  </si>
  <si>
    <t>Tổng vốn năm 2026</t>
  </si>
  <si>
    <t xml:space="preserve">Nguồn năm trước chuyển sang </t>
  </si>
  <si>
    <t xml:space="preserve">Nguồn giao trong năm </t>
  </si>
  <si>
    <t>Nguồn vốn đã phân bổ</t>
  </si>
  <si>
    <t>Phu tiêu độc, khử trùng môi trường đợt 1,2</t>
  </si>
  <si>
    <t>Kinh phí tiêm vắc xin phòng bệnh gia súc đợt 1, 2 năm 2026</t>
  </si>
  <si>
    <t xml:space="preserve">III </t>
  </si>
  <si>
    <t>Nguồn vốn phân bổ kỳ này</t>
  </si>
  <si>
    <t xml:space="preserve">Kinh phí huấn luyện dân tự vệ năm 2026 </t>
  </si>
  <si>
    <t>+</t>
  </si>
  <si>
    <t>Ban chi huy quân sự xã</t>
  </si>
  <si>
    <t>Hỗ trợ kinh phí diễn tập phòng thủ dân sự ứng phó thiên tai, ứng phó cháy rừng và tìm kiếm cứu nạn</t>
  </si>
  <si>
    <t>Kinh phí hỗ trợ nhà ở, di chuyển do ảnh hưởng của thiên tai, bão lũ</t>
  </si>
  <si>
    <t xml:space="preserve">Khoàng văn Quyn </t>
  </si>
  <si>
    <t>Vàng Thị Noi</t>
  </si>
  <si>
    <t>Vàng Văn Lân</t>
  </si>
  <si>
    <t>Vàng A Sư ( Bản Nậm Pồ)</t>
  </si>
  <si>
    <t>Vàng A Sơ  ( Bản Nậm Pồ)</t>
  </si>
  <si>
    <t>Vàng A Phía (B)  ( Bản Nậm Pồ)</t>
  </si>
  <si>
    <t xml:space="preserve">Trung tâm DV Tổng hợp </t>
  </si>
  <si>
    <t xml:space="preserve">Kinh phí hỗ trợ dịch tả lợn trâu phi </t>
  </si>
  <si>
    <t>Kinh phí Kinh phí công tiêu hủy Lợn và phun khử trùng</t>
  </si>
  <si>
    <t>Khắc phục, sửa chữa đường bến đò bản Nậm Ty</t>
  </si>
  <si>
    <t>Khắc phục, sửa chữa đường nội đồng Na Bắc Cang, đường ra nghĩa địa TDP Pá Kéo</t>
  </si>
  <si>
    <t>IV</t>
  </si>
  <si>
    <t>Kinh phí còn lại I-II-III</t>
  </si>
  <si>
    <t xml:space="preserve">Kinh phí dự kiến Phân Bổ </t>
  </si>
  <si>
    <t>Kinh phí khắc phục hậu quả thiên tai do mưa lũ ngây ra  tuyến đường bản Noong kiêng, Nậm cầy, Huổi van xã Nậm Hàng</t>
  </si>
  <si>
    <t>Dự kiến tổng mức 3.500 triệu đồng</t>
  </si>
  <si>
    <t>Biểu Số: 04</t>
  </si>
  <si>
    <t>Hỗ trợ kinh phí mua  rọ thép bản Nậm Pồ khắc phục  kè bảo vệ lúa</t>
  </si>
  <si>
    <t>kinh phí thực hiện phòng, chống dịch bệnh dịch tả lợn Châu Phi, trên địa bàn xã Nậm Hàng</t>
  </si>
  <si>
    <t>NGUỒN VỐN THUỘC CTMTQG GIAI ĐOẠN 2021-2026 NGUỒN CHUYỂN NGUỒN NĂM 2025 SANG NĂM 2026</t>
  </si>
  <si>
    <t xml:space="preserve">VỐN GIAO KẾ HOẠCH NĂM  2026 </t>
  </si>
  <si>
    <t xml:space="preserve">Trong đó </t>
  </si>
  <si>
    <t>ĐVT : đồng</t>
  </si>
  <si>
    <t>Nguồn vốn giao năm 2026</t>
  </si>
  <si>
    <t xml:space="preserve"> vốn năm 2026</t>
  </si>
  <si>
    <t>Công an xã Nậm Hàng</t>
  </si>
  <si>
    <t>Kinh phí thực hiện các nhiệm vụ an ninh Quốc phòng tài địa phương</t>
  </si>
  <si>
    <t>ĐVT: Đồng</t>
  </si>
  <si>
    <t>Kèm theo Nghị Quyết số             /NQ- HĐND  ngày       tháng   08   năm 2026 của HĐND  xã Nậm Hàng</t>
  </si>
  <si>
    <t xml:space="preserve">Vốn sự nghiệp </t>
  </si>
  <si>
    <t>Vốn sự nghiệp đầu tư cơ sở vật chất</t>
  </si>
  <si>
    <t>NGUỒN VỐN THUỘC CTMTQG GIAI ĐOẠN 2021-2025 NGUỒN CHUYỂN NGUỒN NĂM 2025 SANG NĂM 2026</t>
  </si>
  <si>
    <t xml:space="preserve"> BIỂU ĐIỀU CHỈNH  NGUỒN VỐN THUỘC CTMTQG GIAI ĐOẠN 2021-2025 NGUỒN CHUYỂN NGUỒN NĂM 2025 SANG NĂM 2026 VÀ VỐN GIAO KẾ HOẠCH NĂM  2026  DO HẾT NHIỆM VỤ CHI SẢN XUẤT SANG ĐẦU TƯ CƠ SỞ VẬT CHẤT</t>
  </si>
  <si>
    <t xml:space="preserve"> BIỂU PHÂN BỔ NGUỒN VỐN THUỘC CTMTQG GIAI ĐOẠN 2021-2025 NGUỒN CHUYỂN NGUỒN NĂM 2025 SANG NĂM 2026 VÀ VỐN GIAO KẾ HOẠCH NĂM  2026  ĐẦU TƯ CƠ SỞ VẬT CHẤT</t>
  </si>
  <si>
    <t xml:space="preserve">Từ nguồn TW
bổ sung cho
NSĐP năm
2025 chuyển
nguồn sang
năm 2026 ( Đã phân bổ QĐ 131QĐ - UBND ngày 09/2/2026) </t>
  </si>
  <si>
    <t>(Kèm theo Nghị quyết số:        /NQ-HĐND ngày   tháng 8 năm 2026 của HĐND xã Nậm Hàng)</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</si>
</sst>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_);_(* \(#,##0.00\);_(* &quot;-&quot;??_);_(@_)"/>
    <numFmt numFmtId="165" formatCode="#,##0;\-#,##0"/>
    <numFmt numFmtId="166" formatCode="_(* #,##0_);_(* \(#,##0\);_(* &quot;-&quot;??_);_(@_)"/>
    <numFmt numFmtId="167" formatCode="_-&quot;£&quot;* #,##0.00_-;\-&quot;£&quot;* #,##0.00_-;_-&quot;£&quot;* &quot;-&quot;??_-;_-@_-"/>
    <numFmt numFmtId="168" formatCode="_-* #,##0.00_-;\-* #,##0.00_-;_-* &quot;-&quot;??_-;_-@_-"/>
    <numFmt numFmtId="169" formatCode="_-* #,##0_-;\-* #,##0_-;_-* &quot;-&quot;??_-;_-@_-"/>
    <numFmt numFmtId="170" formatCode="_-* #,##0\ _₫_-;\-* #,##0\ _₫_-;_-* &quot;-&quot;??\ _₫_-;_-@"/>
    <numFmt numFmtId="171" formatCode="_(* #,##0.0_);_(* \(#,##0.0\);_(* &quot;-&quot;?_);_(@_)"/>
    <numFmt numFmtId="172" formatCode="_(* #,##0_);_(* \(#,##0\);_(* &quot;-&quot;?_);_(@_)"/>
    <numFmt numFmtId="173" formatCode="#,##0.0"/>
    <numFmt numFmtId="174" formatCode="_(* #,##0.0_);_(* \(#,##0.0\);_(* &quot;-&quot;??_);_(@_)"/>
    <numFmt numFmtId="175" formatCode="0.0"/>
  </numFmts>
  <fonts count="71">
    <font>
      <sz val="11"/>
      <color theme="1"/>
      <name val="Arial"/>
      <family val="2"/>
      <scheme val="minor"/>
    </font>
    <font>
      <b/>
      <sz val="11"/>
      <color theme="1"/>
      <name val="Times New Roman"/>
      <family val="1"/>
    </font>
    <font>
      <sz val="11"/>
      <color theme="1"/>
      <name val="Times New Roman"/>
      <family val="1"/>
    </font>
    <font>
      <sz val="11"/>
      <color theme="1"/>
      <name val="Arial"/>
      <family val="2"/>
      <scheme val="minor"/>
    </font>
    <font>
      <i/>
      <sz val="11"/>
      <color theme="1"/>
      <name val="Times New Roman"/>
      <family val="1"/>
    </font>
    <font>
      <b/>
      <i/>
      <sz val="11"/>
      <color theme="1"/>
      <name val="Times New Roman"/>
      <family val="1"/>
    </font>
    <font>
      <b/>
      <sz val="12"/>
      <name val="Times New Roman"/>
      <family val="1"/>
    </font>
    <font>
      <sz val="11"/>
      <color rgb="FFFF0000"/>
      <name val="Arial"/>
      <family val="2"/>
      <scheme val="minor"/>
    </font>
    <font>
      <sz val="11"/>
      <color theme="1"/>
      <name val="Arial"/>
      <family val="2"/>
      <charset val="163"/>
      <scheme val="minor"/>
    </font>
    <font>
      <b/>
      <sz val="8"/>
      <name val="Times New Roman"/>
      <family val="1"/>
    </font>
    <font>
      <b/>
      <sz val="8"/>
      <color theme="1"/>
      <name val="Times New Roman"/>
      <family val="1"/>
    </font>
    <font>
      <sz val="8"/>
      <name val="Times New Roman"/>
      <family val="1"/>
    </font>
    <font>
      <sz val="12"/>
      <name val=".VnTime"/>
      <family val="2"/>
    </font>
    <font>
      <b/>
      <sz val="11"/>
      <name val="Times New Roman"/>
      <family val="1"/>
    </font>
    <font>
      <i/>
      <sz val="11"/>
      <name val="Times New Roman"/>
      <family val="1"/>
    </font>
    <font>
      <sz val="11"/>
      <name val="Times New Roman"/>
      <family val="1"/>
    </font>
    <font>
      <sz val="11"/>
      <color rgb="FFFF0000"/>
      <name val="Times New Roman"/>
      <family val="1"/>
    </font>
    <font>
      <sz val="12"/>
      <name val="Times New Roman"/>
      <family val="1"/>
    </font>
    <font>
      <i/>
      <sz val="11"/>
      <color rgb="FFFF0000"/>
      <name val="Times New Roman"/>
      <family val="1"/>
    </font>
    <font>
      <sz val="10"/>
      <color rgb="FFFF0000"/>
      <name val="Times New Roman"/>
      <family val="1"/>
    </font>
    <font>
      <b/>
      <sz val="10"/>
      <name val="Times New Roman"/>
      <family val="1"/>
    </font>
    <font>
      <sz val="10"/>
      <name val="Times New Roman"/>
      <family val="1"/>
    </font>
    <font>
      <b/>
      <vertAlign val="superscript"/>
      <sz val="12"/>
      <name val="Times New Roman"/>
      <family val="1"/>
    </font>
    <font>
      <sz val="12"/>
      <color theme="1"/>
      <name val="Times New Roman"/>
      <family val="1"/>
    </font>
    <font>
      <b/>
      <i/>
      <sz val="11"/>
      <name val="Times New Roman"/>
      <family val="1"/>
    </font>
    <font>
      <sz val="10"/>
      <name val="Arial"/>
      <family val="2"/>
    </font>
    <font>
      <sz val="8"/>
      <color theme="1"/>
      <name val="Times New Roman"/>
      <family val="1"/>
    </font>
    <font>
      <sz val="9"/>
      <name val="Times New Roman"/>
      <family val="1"/>
    </font>
    <font>
      <sz val="9"/>
      <color theme="1"/>
      <name val="Times New Roman"/>
      <family val="1"/>
    </font>
    <font>
      <b/>
      <i/>
      <sz val="11"/>
      <color rgb="FFFF0000"/>
      <name val="Times New Roman"/>
      <family val="1"/>
    </font>
    <font>
      <sz val="10"/>
      <color theme="1"/>
      <name val="Times New Roman"/>
      <family val="1"/>
    </font>
    <font>
      <sz val="14"/>
      <name val=".VnArial Narrow"/>
      <family val="2"/>
    </font>
    <font>
      <b/>
      <sz val="12"/>
      <color theme="1"/>
      <name val="Times New Roman"/>
      <family val="1"/>
    </font>
    <font>
      <i/>
      <sz val="12"/>
      <name val="Times New Roman"/>
      <family val="1"/>
    </font>
    <font>
      <i/>
      <sz val="12"/>
      <color theme="1"/>
      <name val="Times New Roman"/>
      <family val="1"/>
    </font>
    <font>
      <sz val="12"/>
      <color rgb="FFFF0000"/>
      <name val="Times New Roman"/>
      <family val="1"/>
    </font>
    <font>
      <b/>
      <sz val="12"/>
      <color rgb="FF000000"/>
      <name val="Times New Roman"/>
      <family val="1"/>
    </font>
    <font>
      <i/>
      <sz val="12"/>
      <color rgb="FF000000"/>
      <name val="Times New Roman"/>
      <family val="1"/>
    </font>
    <font>
      <b/>
      <sz val="11"/>
      <color rgb="FF000000"/>
      <name val="Times New Roman"/>
      <family val="1"/>
    </font>
    <font>
      <b/>
      <sz val="10"/>
      <color rgb="FF000000"/>
      <name val="Times New Roman"/>
      <family val="1"/>
    </font>
    <font>
      <b/>
      <i/>
      <sz val="12"/>
      <color rgb="FF000000"/>
      <name val="Times New Roman"/>
      <family val="1"/>
    </font>
    <font>
      <sz val="11"/>
      <color rgb="FF000000"/>
      <name val="Times New Roman"/>
      <family val="1"/>
    </font>
    <font>
      <sz val="12"/>
      <color rgb="FF000000"/>
      <name val="Times New Roman"/>
      <family val="1"/>
    </font>
    <font>
      <b/>
      <sz val="11"/>
      <color rgb="FFFF0000"/>
      <name val="Times New Roman"/>
      <family val="1"/>
    </font>
    <font>
      <b/>
      <sz val="9"/>
      <color rgb="FF000000"/>
      <name val="Times New Roman"/>
      <family val="1"/>
    </font>
    <font>
      <sz val="9"/>
      <color rgb="FF000000"/>
      <name val="Times New Roman"/>
      <family val="1"/>
    </font>
    <font>
      <b/>
      <sz val="10"/>
      <color rgb="FFFF0000"/>
      <name val="Times New Roman"/>
      <family val="1"/>
    </font>
    <font>
      <sz val="10"/>
      <color rgb="FF000000"/>
      <name val="Times New Roman"/>
      <family val="1"/>
    </font>
    <font>
      <sz val="12"/>
      <color indexed="8"/>
      <name val="Times New Roman"/>
      <family val="2"/>
    </font>
    <font>
      <b/>
      <i/>
      <sz val="10"/>
      <name val="Times New Roman"/>
      <family val="1"/>
    </font>
    <font>
      <b/>
      <u/>
      <sz val="10"/>
      <name val="Times New Roman"/>
      <family val="1"/>
    </font>
    <font>
      <b/>
      <sz val="11"/>
      <color theme="1"/>
      <name val="Arial"/>
      <family val="2"/>
      <scheme val="minor"/>
    </font>
    <font>
      <b/>
      <sz val="12"/>
      <color indexed="8"/>
      <name val="Times New Roman"/>
      <family val="1"/>
    </font>
    <font>
      <b/>
      <sz val="13"/>
      <color theme="1"/>
      <name val="Times New Roman"/>
      <family val="1"/>
    </font>
    <font>
      <sz val="11"/>
      <color indexed="8"/>
      <name val="Arial"/>
      <family val="2"/>
    </font>
    <font>
      <b/>
      <sz val="12"/>
      <color rgb="FFFF0000"/>
      <name val="Times New Roman"/>
      <family val="1"/>
    </font>
    <font>
      <sz val="12"/>
      <color rgb="FFFFFF00"/>
      <name val="Times New Roman"/>
      <family val="1"/>
    </font>
    <font>
      <b/>
      <i/>
      <u/>
      <sz val="14"/>
      <color theme="1"/>
      <name val="Times New Roman"/>
      <family val="1"/>
    </font>
    <font>
      <sz val="14"/>
      <color theme="1"/>
      <name val="Times New Roman"/>
      <family val="1"/>
    </font>
    <font>
      <b/>
      <sz val="14"/>
      <color theme="1"/>
      <name val="Times New Roman"/>
      <family val="1"/>
    </font>
    <font>
      <b/>
      <i/>
      <sz val="14"/>
      <name val="Times New Roman"/>
      <family val="1"/>
    </font>
    <font>
      <b/>
      <sz val="14"/>
      <name val="Times New Roman"/>
      <family val="1"/>
    </font>
    <font>
      <sz val="14"/>
      <color indexed="10"/>
      <name val="Times New Roman"/>
      <family val="1"/>
    </font>
    <font>
      <sz val="14"/>
      <name val="Times New Roman"/>
      <family val="1"/>
    </font>
    <font>
      <b/>
      <sz val="14"/>
      <color indexed="10"/>
      <name val="Times New Roman"/>
      <family val="1"/>
    </font>
    <font>
      <sz val="11"/>
      <name val="Arial"/>
      <family val="2"/>
      <scheme val="minor"/>
    </font>
    <font>
      <b/>
      <i/>
      <sz val="12"/>
      <name val="Times New Roman"/>
      <family val="1"/>
    </font>
    <font>
      <b/>
      <sz val="9"/>
      <color theme="1"/>
      <name val="Times New Roman"/>
      <family val="1"/>
    </font>
    <font>
      <b/>
      <u/>
      <sz val="11"/>
      <color theme="1"/>
      <name val="Times New Roman"/>
      <family val="1"/>
    </font>
    <font>
      <i/>
      <sz val="9"/>
      <name val="Times New Roman"/>
      <family val="1"/>
    </font>
    <font>
      <b/>
      <sz val="10"/>
      <color theme="1"/>
      <name val="Times New Roman"/>
      <family val="1"/>
    </font>
  </fonts>
  <fills count="8">
    <fill>
      <patternFill patternType="none"/>
    </fill>
    <fill>
      <patternFill patternType="gray125"/>
    </fill>
    <fill>
      <patternFill patternType="solid">
        <fgColor theme="0"/>
        <bgColor indexed="64"/>
      </patternFill>
    </fill>
    <fill>
      <patternFill patternType="solid">
        <fgColor rgb="FFFFFFFF"/>
      </patternFill>
    </fill>
    <fill>
      <patternFill patternType="solid">
        <fgColor rgb="FFFFFF00"/>
        <bgColor indexed="64"/>
      </patternFill>
    </fill>
    <fill>
      <patternFill patternType="solid">
        <fgColor rgb="FFFFFFFF"/>
        <bgColor indexed="64"/>
      </patternFill>
    </fill>
    <fill>
      <patternFill patternType="solid">
        <fgColor indexed="9"/>
        <bgColor indexed="64"/>
      </patternFill>
    </fill>
    <fill>
      <patternFill patternType="solid">
        <fgColor rgb="FFFFC0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bottom/>
      <diagonal/>
    </border>
  </borders>
  <cellStyleXfs count="13">
    <xf numFmtId="0" fontId="0" fillId="0" borderId="0"/>
    <xf numFmtId="164" fontId="3" fillId="0" borderId="0" applyFont="0" applyFill="0" applyBorder="0" applyAlignment="0" applyProtection="0"/>
    <xf numFmtId="0" fontId="8" fillId="0" borderId="0"/>
    <xf numFmtId="0" fontId="12" fillId="0" borderId="0"/>
    <xf numFmtId="0" fontId="25" fillId="0" borderId="0"/>
    <xf numFmtId="167" fontId="31" fillId="0" borderId="0">
      <alignment horizontal="right" vertical="center"/>
    </xf>
    <xf numFmtId="168" fontId="8" fillId="0" borderId="0" applyFont="0" applyFill="0" applyBorder="0" applyAlignment="0" applyProtection="0"/>
    <xf numFmtId="0" fontId="8" fillId="0" borderId="0"/>
    <xf numFmtId="0" fontId="23" fillId="0" borderId="0"/>
    <xf numFmtId="0" fontId="48" fillId="0" borderId="0"/>
    <xf numFmtId="164" fontId="54"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cellStyleXfs>
  <cellXfs count="505">
    <xf numFmtId="0" fontId="0" fillId="0" borderId="0" xfId="0"/>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0" xfId="0" applyFont="1" applyAlignment="1">
      <alignment horizontal="center" vertical="center"/>
    </xf>
    <xf numFmtId="3" fontId="1" fillId="0" borderId="1" xfId="0" applyNumberFormat="1" applyFont="1" applyBorder="1" applyAlignment="1">
      <alignment vertical="center"/>
    </xf>
    <xf numFmtId="3" fontId="2" fillId="0" borderId="1" xfId="0" applyNumberFormat="1" applyFont="1" applyBorder="1" applyAlignment="1">
      <alignment vertical="center"/>
    </xf>
    <xf numFmtId="0" fontId="1" fillId="0" borderId="1" xfId="0"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3" fontId="1" fillId="0" borderId="1" xfId="0" applyNumberFormat="1" applyFont="1" applyBorder="1" applyAlignment="1">
      <alignment vertical="center" wrapText="1"/>
    </xf>
    <xf numFmtId="0" fontId="1" fillId="0" borderId="0" xfId="0" applyFont="1" applyAlignment="1">
      <alignment vertical="center" wrapText="1"/>
    </xf>
    <xf numFmtId="3" fontId="1" fillId="0" borderId="0" xfId="0" applyNumberFormat="1" applyFont="1" applyAlignment="1">
      <alignment vertical="center" wrapText="1"/>
    </xf>
    <xf numFmtId="0" fontId="5" fillId="3" borderId="7" xfId="0" applyFont="1" applyFill="1" applyBorder="1" applyAlignment="1">
      <alignment horizontal="left" vertical="center" wrapText="1"/>
    </xf>
    <xf numFmtId="165" fontId="2" fillId="3" borderId="8" xfId="0" applyNumberFormat="1" applyFont="1" applyFill="1" applyBorder="1" applyAlignment="1">
      <alignment horizontal="right" vertical="center" wrapText="1"/>
    </xf>
    <xf numFmtId="0" fontId="2" fillId="3" borderId="7" xfId="0" applyFont="1" applyFill="1" applyBorder="1" applyAlignment="1">
      <alignment horizontal="left" vertical="center" wrapText="1"/>
    </xf>
    <xf numFmtId="3" fontId="2"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3" fontId="4" fillId="0" borderId="1" xfId="0" applyNumberFormat="1" applyFont="1" applyBorder="1" applyAlignment="1">
      <alignment vertical="center" wrapText="1"/>
    </xf>
    <xf numFmtId="3" fontId="9" fillId="4" borderId="1" xfId="2" applyNumberFormat="1" applyFont="1" applyFill="1" applyBorder="1" applyAlignment="1">
      <alignment horizontal="left" vertical="center" wrapText="1"/>
    </xf>
    <xf numFmtId="0" fontId="4" fillId="0" borderId="1" xfId="0" quotePrefix="1" applyFont="1" applyBorder="1" applyAlignment="1">
      <alignment horizontal="center" vertical="center" wrapText="1"/>
    </xf>
    <xf numFmtId="3" fontId="9" fillId="0" borderId="1" xfId="2" applyNumberFormat="1" applyFont="1" applyBorder="1" applyAlignment="1">
      <alignment horizontal="left" vertical="center" wrapText="1"/>
    </xf>
    <xf numFmtId="3" fontId="10" fillId="0" borderId="1" xfId="2" quotePrefix="1" applyNumberFormat="1" applyFont="1" applyBorder="1" applyAlignment="1">
      <alignment horizontal="justify" vertical="center" wrapText="1"/>
    </xf>
    <xf numFmtId="3" fontId="11" fillId="0" borderId="1" xfId="2" quotePrefix="1" applyNumberFormat="1" applyFont="1" applyBorder="1" applyAlignment="1">
      <alignment horizontal="justify" vertical="center" wrapText="1"/>
    </xf>
    <xf numFmtId="3" fontId="11" fillId="0" borderId="1" xfId="0" quotePrefix="1" applyNumberFormat="1" applyFont="1" applyBorder="1" applyAlignment="1">
      <alignment vertical="center" wrapText="1"/>
    </xf>
    <xf numFmtId="3" fontId="9" fillId="0" borderId="1" xfId="2" quotePrefix="1" applyNumberFormat="1" applyFont="1" applyBorder="1" applyAlignment="1">
      <alignment horizontal="justify" vertical="center" wrapText="1"/>
    </xf>
    <xf numFmtId="3" fontId="11" fillId="0" borderId="1" xfId="3" quotePrefix="1" applyNumberFormat="1" applyFont="1" applyBorder="1" applyAlignment="1">
      <alignment horizontal="justify" vertical="center" wrapText="1"/>
    </xf>
    <xf numFmtId="166" fontId="11" fillId="0" borderId="1" xfId="1" applyNumberFormat="1" applyFont="1" applyFill="1" applyBorder="1" applyAlignment="1">
      <alignment horizontal="center" vertical="center"/>
    </xf>
    <xf numFmtId="3" fontId="6" fillId="4" borderId="1" xfId="3" quotePrefix="1" applyNumberFormat="1" applyFont="1" applyFill="1" applyBorder="1" applyAlignment="1">
      <alignment horizontal="justify" vertical="center" wrapText="1"/>
    </xf>
    <xf numFmtId="3" fontId="2" fillId="4" borderId="1" xfId="0" applyNumberFormat="1" applyFont="1" applyFill="1" applyBorder="1" applyAlignment="1">
      <alignment vertical="center" wrapText="1"/>
    </xf>
    <xf numFmtId="0" fontId="2" fillId="4" borderId="1" xfId="0" applyFont="1" applyFill="1" applyBorder="1" applyAlignment="1">
      <alignment vertical="center" wrapText="1"/>
    </xf>
    <xf numFmtId="3" fontId="13" fillId="4" borderId="1" xfId="0" applyNumberFormat="1" applyFont="1" applyFill="1" applyBorder="1" applyAlignment="1">
      <alignment vertical="center" wrapText="1"/>
    </xf>
    <xf numFmtId="3" fontId="14" fillId="0" borderId="1" xfId="3" quotePrefix="1" applyNumberFormat="1" applyFont="1" applyBorder="1" applyAlignment="1">
      <alignment horizontal="justify" vertical="center" wrapText="1"/>
    </xf>
    <xf numFmtId="3" fontId="15" fillId="2" borderId="1" xfId="2" quotePrefix="1" applyNumberFormat="1" applyFont="1" applyFill="1" applyBorder="1" applyAlignment="1">
      <alignment horizontal="justify" vertical="center" wrapText="1"/>
    </xf>
    <xf numFmtId="3" fontId="15" fillId="2" borderId="1" xfId="2" quotePrefix="1" applyNumberFormat="1" applyFont="1" applyFill="1" applyBorder="1" applyAlignment="1">
      <alignment horizontal="left" vertical="center" wrapText="1"/>
    </xf>
    <xf numFmtId="3" fontId="16" fillId="2" borderId="1" xfId="2" quotePrefix="1" applyNumberFormat="1" applyFont="1" applyFill="1" applyBorder="1" applyAlignment="1">
      <alignment horizontal="justify" vertical="center" wrapText="1"/>
    </xf>
    <xf numFmtId="0" fontId="2" fillId="0" borderId="0" xfId="0" applyFont="1"/>
    <xf numFmtId="3" fontId="17" fillId="4" borderId="1" xfId="0" applyNumberFormat="1" applyFont="1" applyFill="1" applyBorder="1" applyAlignment="1">
      <alignment horizontal="justify" vertical="center" wrapText="1"/>
    </xf>
    <xf numFmtId="3" fontId="16" fillId="2" borderId="1" xfId="0" quotePrefix="1" applyNumberFormat="1" applyFont="1" applyFill="1" applyBorder="1" applyAlignment="1">
      <alignment horizontal="right" vertical="center" wrapText="1"/>
    </xf>
    <xf numFmtId="0" fontId="4" fillId="2" borderId="1" xfId="0" applyFont="1" applyFill="1" applyBorder="1"/>
    <xf numFmtId="3" fontId="18" fillId="2" borderId="1" xfId="0" quotePrefix="1" applyNumberFormat="1" applyFont="1" applyFill="1" applyBorder="1" applyAlignment="1">
      <alignment horizontal="center" vertical="center" wrapText="1"/>
    </xf>
    <xf numFmtId="3" fontId="19" fillId="2" borderId="1" xfId="0" quotePrefix="1" applyNumberFormat="1" applyFont="1" applyFill="1" applyBorder="1" applyAlignment="1">
      <alignment horizontal="justify" vertical="center" wrapText="1"/>
    </xf>
    <xf numFmtId="166" fontId="11" fillId="0" borderId="1" xfId="0" applyNumberFormat="1" applyFont="1" applyBorder="1" applyAlignment="1">
      <alignment horizontal="center" vertical="center"/>
    </xf>
    <xf numFmtId="3" fontId="20" fillId="4" borderId="1" xfId="2" applyNumberFormat="1" applyFont="1" applyFill="1" applyBorder="1" applyAlignment="1">
      <alignment horizontal="justify" vertical="center" wrapText="1"/>
    </xf>
    <xf numFmtId="3" fontId="21" fillId="2" borderId="1" xfId="2" quotePrefix="1" applyNumberFormat="1" applyFont="1" applyFill="1" applyBorder="1" applyAlignment="1">
      <alignment horizontal="justify" vertical="center" wrapText="1"/>
    </xf>
    <xf numFmtId="166" fontId="9" fillId="0" borderId="1" xfId="1" quotePrefix="1"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3" fontId="19" fillId="4" borderId="1" xfId="2" quotePrefix="1" applyNumberFormat="1" applyFont="1" applyFill="1" applyBorder="1" applyAlignment="1">
      <alignment horizontal="justify" vertical="center" wrapText="1"/>
    </xf>
    <xf numFmtId="3" fontId="19" fillId="2" borderId="1" xfId="2" quotePrefix="1" applyNumberFormat="1" applyFont="1" applyFill="1" applyBorder="1" applyAlignment="1">
      <alignment horizontal="justify" vertical="center" wrapText="1"/>
    </xf>
    <xf numFmtId="0" fontId="2" fillId="4" borderId="0" xfId="0" applyFont="1" applyFill="1" applyAlignment="1">
      <alignment vertical="center" wrapText="1"/>
    </xf>
    <xf numFmtId="3" fontId="6" fillId="4" borderId="1" xfId="2" applyNumberFormat="1" applyFont="1" applyFill="1" applyBorder="1" applyAlignment="1">
      <alignment horizontal="justify" vertical="center" wrapText="1"/>
    </xf>
    <xf numFmtId="3" fontId="23" fillId="4" borderId="1" xfId="0" applyNumberFormat="1" applyFont="1" applyFill="1" applyBorder="1" applyAlignment="1">
      <alignment vertical="center" wrapText="1"/>
    </xf>
    <xf numFmtId="3" fontId="24" fillId="4" borderId="1" xfId="2" applyNumberFormat="1" applyFont="1" applyFill="1" applyBorder="1" applyAlignment="1">
      <alignment horizontal="justify" vertical="center" wrapText="1"/>
    </xf>
    <xf numFmtId="3" fontId="5" fillId="0" borderId="1" xfId="0" applyNumberFormat="1" applyFont="1" applyBorder="1" applyAlignment="1">
      <alignment vertical="center" wrapText="1"/>
    </xf>
    <xf numFmtId="0" fontId="11" fillId="0" borderId="1" xfId="0" applyFont="1" applyBorder="1" applyAlignment="1">
      <alignment vertical="center" wrapText="1"/>
    </xf>
    <xf numFmtId="2" fontId="26" fillId="0" borderId="1" xfId="4" applyNumberFormat="1" applyFont="1" applyBorder="1" applyAlignment="1">
      <alignment vertical="center" wrapText="1"/>
    </xf>
    <xf numFmtId="3" fontId="4" fillId="4" borderId="1" xfId="0" applyNumberFormat="1" applyFont="1" applyFill="1" applyBorder="1" applyAlignment="1">
      <alignment vertical="center" wrapText="1"/>
    </xf>
    <xf numFmtId="3" fontId="27" fillId="2" borderId="1" xfId="2" quotePrefix="1" applyNumberFormat="1" applyFont="1" applyFill="1" applyBorder="1" applyAlignment="1">
      <alignment horizontal="justify" vertical="center" wrapText="1"/>
    </xf>
    <xf numFmtId="3" fontId="28" fillId="2" borderId="1" xfId="0" quotePrefix="1" applyNumberFormat="1" applyFont="1" applyFill="1" applyBorder="1" applyAlignment="1">
      <alignment horizontal="left" vertical="center" wrapText="1"/>
    </xf>
    <xf numFmtId="0" fontId="21" fillId="2" borderId="1" xfId="0" applyFont="1" applyFill="1" applyBorder="1" applyAlignment="1">
      <alignment horizontal="justify" vertical="center" wrapText="1"/>
    </xf>
    <xf numFmtId="0" fontId="28" fillId="2" borderId="1" xfId="0" applyFont="1" applyFill="1" applyBorder="1" applyAlignment="1">
      <alignment vertical="center" wrapText="1"/>
    </xf>
    <xf numFmtId="3" fontId="29" fillId="4" borderId="1" xfId="2" quotePrefix="1" applyNumberFormat="1" applyFont="1" applyFill="1" applyBorder="1" applyAlignment="1">
      <alignment horizontal="justify" vertical="center" wrapText="1"/>
    </xf>
    <xf numFmtId="3" fontId="5" fillId="4" borderId="1" xfId="0" applyNumberFormat="1" applyFont="1" applyFill="1" applyBorder="1" applyAlignment="1">
      <alignment vertical="center" wrapText="1"/>
    </xf>
    <xf numFmtId="0" fontId="4" fillId="4" borderId="1" xfId="0" applyFont="1" applyFill="1" applyBorder="1" applyAlignment="1">
      <alignment vertical="center" wrapText="1"/>
    </xf>
    <xf numFmtId="3" fontId="2" fillId="0" borderId="0" xfId="0" applyNumberFormat="1" applyFont="1" applyAlignment="1">
      <alignment vertical="center" wrapText="1"/>
    </xf>
    <xf numFmtId="3" fontId="30" fillId="0" borderId="1" xfId="0" applyNumberFormat="1" applyFont="1" applyBorder="1" applyAlignment="1">
      <alignment vertical="center" wrapText="1"/>
    </xf>
    <xf numFmtId="0" fontId="30" fillId="0" borderId="1" xfId="0" applyFont="1" applyBorder="1" applyAlignment="1">
      <alignment vertical="center" wrapText="1"/>
    </xf>
    <xf numFmtId="0" fontId="21" fillId="0" borderId="1" xfId="0" applyFont="1" applyBorder="1" applyAlignment="1">
      <alignment horizontal="left" vertical="center" wrapText="1"/>
    </xf>
    <xf numFmtId="3" fontId="21" fillId="0" borderId="1" xfId="2" applyNumberFormat="1" applyFont="1" applyBorder="1" applyAlignment="1">
      <alignment horizontal="justify" vertical="center" wrapText="1"/>
    </xf>
    <xf numFmtId="3" fontId="15" fillId="2" borderId="1" xfId="3" applyNumberFormat="1" applyFont="1" applyFill="1" applyBorder="1" applyAlignment="1">
      <alignment horizontal="left" vertical="center" wrapText="1"/>
    </xf>
    <xf numFmtId="167" fontId="15" fillId="2" borderId="1" xfId="5" applyFont="1" applyFill="1" applyBorder="1" applyAlignment="1" applyProtection="1">
      <alignment horizontal="left" vertical="center" wrapText="1"/>
      <protection hidden="1"/>
    </xf>
    <xf numFmtId="3" fontId="15" fillId="0" borderId="1" xfId="2" applyNumberFormat="1" applyFont="1" applyBorder="1" applyAlignment="1">
      <alignment horizontal="justify" vertical="center" wrapText="1"/>
    </xf>
    <xf numFmtId="0" fontId="13" fillId="4" borderId="1" xfId="0" applyFont="1" applyFill="1" applyBorder="1" applyAlignment="1">
      <alignment horizontal="left" vertical="center"/>
    </xf>
    <xf numFmtId="3" fontId="1" fillId="4" borderId="1" xfId="0" applyNumberFormat="1" applyFont="1" applyFill="1" applyBorder="1" applyAlignment="1">
      <alignment vertical="center" wrapText="1"/>
    </xf>
    <xf numFmtId="3" fontId="2" fillId="0" borderId="1" xfId="0" applyNumberFormat="1" applyFont="1" applyBorder="1" applyAlignment="1">
      <alignment horizontal="left" vertical="center" wrapText="1"/>
    </xf>
    <xf numFmtId="0" fontId="2" fillId="2" borderId="1" xfId="0" applyFont="1" applyFill="1" applyBorder="1" applyAlignment="1">
      <alignment vertical="center" wrapText="1"/>
    </xf>
    <xf numFmtId="166" fontId="2" fillId="0" borderId="1" xfId="1" applyNumberFormat="1" applyFont="1" applyBorder="1" applyAlignment="1">
      <alignment vertical="center" wrapText="1"/>
    </xf>
    <xf numFmtId="0" fontId="23"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6" fillId="0" borderId="1" xfId="0" applyFont="1" applyBorder="1" applyAlignment="1">
      <alignment vertical="center" wrapText="1"/>
    </xf>
    <xf numFmtId="3" fontId="6" fillId="0" borderId="1" xfId="0" applyNumberFormat="1" applyFont="1" applyBorder="1" applyAlignment="1">
      <alignment horizontal="center" vertical="center"/>
    </xf>
    <xf numFmtId="0" fontId="17" fillId="0" borderId="4" xfId="0" applyFont="1" applyBorder="1" applyAlignment="1">
      <alignment horizontal="center" vertical="center"/>
    </xf>
    <xf numFmtId="3" fontId="32" fillId="0" borderId="1" xfId="4" quotePrefix="1" applyNumberFormat="1" applyFont="1" applyBorder="1" applyAlignment="1">
      <alignment horizontal="center" vertical="center" wrapText="1"/>
    </xf>
    <xf numFmtId="2" fontId="32" fillId="2" borderId="1" xfId="4" applyNumberFormat="1" applyFont="1" applyFill="1" applyBorder="1" applyAlignment="1">
      <alignment vertical="center" wrapText="1"/>
    </xf>
    <xf numFmtId="3" fontId="23" fillId="2" borderId="1" xfId="6" applyNumberFormat="1" applyFont="1" applyFill="1" applyBorder="1" applyAlignment="1">
      <alignment horizontal="right" vertical="center" wrapText="1"/>
    </xf>
    <xf numFmtId="3" fontId="23" fillId="0" borderId="1" xfId="4" quotePrefix="1" applyNumberFormat="1" applyFont="1" applyBorder="1" applyAlignment="1">
      <alignment horizontal="center" vertical="center" wrapText="1"/>
    </xf>
    <xf numFmtId="2" fontId="23" fillId="0" borderId="1" xfId="4" applyNumberFormat="1" applyFont="1" applyBorder="1" applyAlignment="1">
      <alignment vertical="center" wrapText="1"/>
    </xf>
    <xf numFmtId="3" fontId="34" fillId="0" borderId="1" xfId="7" applyNumberFormat="1" applyFont="1" applyBorder="1" applyAlignment="1">
      <alignment vertical="center" wrapText="1"/>
    </xf>
    <xf numFmtId="3" fontId="34" fillId="2" borderId="1" xfId="4" applyNumberFormat="1" applyFont="1" applyFill="1" applyBorder="1" applyAlignment="1">
      <alignment horizontal="right" vertical="center" wrapText="1"/>
    </xf>
    <xf numFmtId="3" fontId="23" fillId="0" borderId="1" xfId="4" applyNumberFormat="1" applyFont="1" applyBorder="1" applyAlignment="1">
      <alignment horizontal="center" vertical="center" wrapText="1"/>
    </xf>
    <xf numFmtId="3" fontId="23" fillId="2" borderId="1" xfId="4" applyNumberFormat="1" applyFont="1" applyFill="1" applyBorder="1" applyAlignment="1">
      <alignment horizontal="right" vertical="center" wrapText="1"/>
    </xf>
    <xf numFmtId="3" fontId="23" fillId="0" borderId="1" xfId="7" applyNumberFormat="1" applyFont="1" applyBorder="1" applyAlignment="1">
      <alignment vertical="center" wrapText="1"/>
    </xf>
    <xf numFmtId="2" fontId="23" fillId="0" borderId="1" xfId="4" quotePrefix="1" applyNumberFormat="1" applyFont="1" applyBorder="1" applyAlignment="1">
      <alignment vertical="center" wrapText="1"/>
    </xf>
    <xf numFmtId="0" fontId="23" fillId="0" borderId="1" xfId="0" applyFont="1" applyBorder="1"/>
    <xf numFmtId="2" fontId="32" fillId="0" borderId="1" xfId="4" quotePrefix="1" applyNumberFormat="1" applyFont="1" applyBorder="1" applyAlignment="1">
      <alignment vertical="center" wrapText="1"/>
    </xf>
    <xf numFmtId="3" fontId="32" fillId="2" borderId="1" xfId="4" applyNumberFormat="1" applyFont="1" applyFill="1" applyBorder="1" applyAlignment="1">
      <alignment horizontal="right" vertical="center" wrapText="1"/>
    </xf>
    <xf numFmtId="0" fontId="23" fillId="0" borderId="1" xfId="0" applyFont="1" applyBorder="1" applyAlignment="1">
      <alignment horizontal="center" vertical="center"/>
    </xf>
    <xf numFmtId="0" fontId="23" fillId="0" borderId="1" xfId="0" applyFont="1" applyBorder="1" applyAlignment="1">
      <alignment horizontal="left" vertical="center"/>
    </xf>
    <xf numFmtId="166" fontId="23" fillId="0" borderId="1" xfId="1" applyNumberFormat="1" applyFont="1" applyBorder="1" applyAlignment="1">
      <alignment horizontal="left" vertical="center"/>
    </xf>
    <xf numFmtId="0" fontId="23" fillId="0" borderId="1" xfId="0" applyFont="1" applyBorder="1" applyAlignment="1">
      <alignment horizontal="left" vertical="center" wrapText="1"/>
    </xf>
    <xf numFmtId="0" fontId="23" fillId="0" borderId="1" xfId="0" applyFont="1" applyBorder="1" applyAlignment="1">
      <alignment vertical="center"/>
    </xf>
    <xf numFmtId="166" fontId="23" fillId="0" borderId="1" xfId="1" applyNumberFormat="1" applyFont="1" applyBorder="1" applyAlignment="1">
      <alignment vertical="center"/>
    </xf>
    <xf numFmtId="0" fontId="23" fillId="0" borderId="1" xfId="0" applyFont="1" applyBorder="1" applyAlignment="1">
      <alignment vertical="center" wrapText="1"/>
    </xf>
    <xf numFmtId="3" fontId="35" fillId="0" borderId="1" xfId="4" quotePrefix="1" applyNumberFormat="1" applyFont="1" applyBorder="1" applyAlignment="1">
      <alignment horizontal="center" vertical="center" wrapText="1"/>
    </xf>
    <xf numFmtId="2" fontId="35" fillId="0" borderId="1" xfId="4" applyNumberFormat="1" applyFont="1" applyBorder="1" applyAlignment="1">
      <alignment vertical="center" wrapText="1"/>
    </xf>
    <xf numFmtId="3" fontId="35" fillId="2" borderId="1" xfId="6" applyNumberFormat="1" applyFont="1" applyFill="1" applyBorder="1" applyAlignment="1">
      <alignment horizontal="right" vertical="center" wrapText="1"/>
    </xf>
    <xf numFmtId="0" fontId="7" fillId="0" borderId="0" xfId="0" applyFont="1"/>
    <xf numFmtId="2" fontId="35" fillId="0" borderId="1" xfId="4" applyNumberFormat="1" applyFont="1" applyBorder="1" applyAlignment="1">
      <alignment horizontal="left" vertical="center" wrapText="1"/>
    </xf>
    <xf numFmtId="3" fontId="35" fillId="2" borderId="1" xfId="4" applyNumberFormat="1" applyFont="1" applyFill="1" applyBorder="1" applyAlignment="1">
      <alignment horizontal="right" vertical="center" wrapText="1"/>
    </xf>
    <xf numFmtId="3" fontId="35" fillId="0" borderId="1" xfId="7" quotePrefix="1" applyNumberFormat="1" applyFont="1" applyBorder="1" applyAlignment="1">
      <alignment vertical="center" wrapText="1"/>
    </xf>
    <xf numFmtId="3" fontId="35" fillId="0" borderId="1" xfId="4" applyNumberFormat="1" applyFont="1" applyBorder="1" applyAlignment="1">
      <alignment horizontal="center" vertical="center" wrapText="1"/>
    </xf>
    <xf numFmtId="3" fontId="7" fillId="0" borderId="0" xfId="0" applyNumberFormat="1" applyFont="1" applyAlignment="1">
      <alignment vertical="center"/>
    </xf>
    <xf numFmtId="170" fontId="39" fillId="5" borderId="1" xfId="8" applyNumberFormat="1" applyFont="1" applyFill="1" applyBorder="1" applyAlignment="1">
      <alignment horizontal="center" vertical="center" wrapText="1"/>
    </xf>
    <xf numFmtId="170" fontId="38" fillId="5" borderId="1" xfId="8" applyNumberFormat="1" applyFont="1" applyFill="1" applyBorder="1" applyAlignment="1">
      <alignment horizontal="center" vertical="center" wrapText="1"/>
    </xf>
    <xf numFmtId="0" fontId="41" fillId="5" borderId="1" xfId="8" applyFont="1" applyFill="1" applyBorder="1" applyAlignment="1">
      <alignment horizontal="center" vertical="center" wrapText="1"/>
    </xf>
    <xf numFmtId="171" fontId="38" fillId="5" borderId="1" xfId="8" applyNumberFormat="1" applyFont="1" applyFill="1" applyBorder="1" applyAlignment="1">
      <alignment horizontal="center" vertical="center" wrapText="1"/>
    </xf>
    <xf numFmtId="172" fontId="38" fillId="5" borderId="1" xfId="8" applyNumberFormat="1" applyFont="1" applyFill="1" applyBorder="1" applyAlignment="1">
      <alignment horizontal="center" vertical="center" wrapText="1"/>
    </xf>
    <xf numFmtId="169" fontId="6" fillId="2" borderId="1" xfId="1" applyNumberFormat="1" applyFont="1" applyFill="1" applyBorder="1" applyAlignment="1">
      <alignment horizontal="justify" vertical="center" wrapText="1"/>
    </xf>
    <xf numFmtId="0" fontId="30" fillId="2" borderId="1" xfId="0" applyFont="1" applyFill="1" applyBorder="1" applyAlignment="1">
      <alignment vertical="center" wrapText="1"/>
    </xf>
    <xf numFmtId="0" fontId="16" fillId="0" borderId="1" xfId="0" applyFont="1" applyBorder="1" applyAlignment="1">
      <alignment horizontal="center" vertical="center"/>
    </xf>
    <xf numFmtId="169" fontId="16" fillId="0" borderId="1" xfId="1" applyNumberFormat="1" applyFont="1" applyBorder="1" applyAlignment="1">
      <alignment horizontal="center" vertical="center"/>
    </xf>
    <xf numFmtId="0" fontId="43" fillId="0" borderId="1" xfId="0" applyFont="1" applyBorder="1" applyAlignment="1">
      <alignment horizontal="center" vertical="center"/>
    </xf>
    <xf numFmtId="169" fontId="17" fillId="0" borderId="1" xfId="1" applyNumberFormat="1" applyFont="1" applyBorder="1" applyAlignment="1">
      <alignment horizontal="center" vertical="center"/>
    </xf>
    <xf numFmtId="169" fontId="15" fillId="0" borderId="1" xfId="1" applyNumberFormat="1" applyFont="1" applyBorder="1" applyAlignment="1">
      <alignment horizontal="center" vertical="center"/>
    </xf>
    <xf numFmtId="0" fontId="0" fillId="0" borderId="0" xfId="0" applyAlignment="1">
      <alignment vertical="center"/>
    </xf>
    <xf numFmtId="0" fontId="42" fillId="0" borderId="1" xfId="0" applyFont="1" applyBorder="1" applyAlignment="1">
      <alignment horizontal="center" vertical="center"/>
    </xf>
    <xf numFmtId="0" fontId="0" fillId="0" borderId="0" xfId="0" applyAlignment="1">
      <alignment horizontal="center" vertical="center"/>
    </xf>
    <xf numFmtId="0" fontId="38" fillId="5" borderId="1" xfId="8" quotePrefix="1" applyFont="1" applyFill="1" applyBorder="1" applyAlignment="1">
      <alignment horizontal="center" vertical="center" wrapText="1"/>
    </xf>
    <xf numFmtId="166" fontId="44" fillId="5" borderId="1" xfId="1" applyNumberFormat="1" applyFont="1" applyFill="1" applyBorder="1" applyAlignment="1" applyProtection="1">
      <alignment horizontal="center" vertical="center" wrapText="1"/>
    </xf>
    <xf numFmtId="166" fontId="44" fillId="0" borderId="1" xfId="1" applyNumberFormat="1" applyFont="1" applyBorder="1" applyAlignment="1">
      <alignment vertical="center"/>
    </xf>
    <xf numFmtId="166" fontId="45" fillId="5" borderId="1" xfId="1" applyNumberFormat="1" applyFont="1" applyFill="1" applyBorder="1" applyAlignment="1" applyProtection="1">
      <alignment horizontal="center" vertical="center" wrapText="1"/>
    </xf>
    <xf numFmtId="166" fontId="28" fillId="0" borderId="1" xfId="1" applyNumberFormat="1" applyFont="1" applyBorder="1" applyAlignment="1">
      <alignment vertical="center"/>
    </xf>
    <xf numFmtId="169" fontId="20" fillId="2" borderId="1" xfId="1" applyNumberFormat="1" applyFont="1" applyFill="1" applyBorder="1" applyAlignment="1">
      <alignment horizontal="justify" vertical="center" wrapText="1"/>
    </xf>
    <xf numFmtId="0" fontId="46" fillId="0" borderId="1" xfId="0" applyFont="1" applyBorder="1" applyAlignment="1">
      <alignment horizontal="center" vertical="center"/>
    </xf>
    <xf numFmtId="172" fontId="39" fillId="5" borderId="1" xfId="8" quotePrefix="1" applyNumberFormat="1" applyFont="1" applyFill="1" applyBorder="1" applyAlignment="1">
      <alignment horizontal="center" vertical="center" wrapText="1"/>
    </xf>
    <xf numFmtId="172" fontId="39" fillId="5" borderId="1" xfId="8" applyNumberFormat="1" applyFont="1" applyFill="1" applyBorder="1" applyAlignment="1">
      <alignment horizontal="center" vertical="center" wrapText="1"/>
    </xf>
    <xf numFmtId="166" fontId="39" fillId="5" borderId="1" xfId="1" applyNumberFormat="1" applyFont="1" applyFill="1" applyBorder="1" applyAlignment="1" applyProtection="1">
      <alignment horizontal="center" vertical="center" wrapText="1"/>
    </xf>
    <xf numFmtId="169" fontId="21" fillId="0" borderId="1" xfId="1" applyNumberFormat="1" applyFont="1" applyBorder="1" applyAlignment="1">
      <alignment horizontal="center" vertical="center"/>
    </xf>
    <xf numFmtId="0" fontId="19" fillId="0" borderId="1" xfId="0" applyFont="1" applyBorder="1" applyAlignment="1">
      <alignment horizontal="center" vertical="center"/>
    </xf>
    <xf numFmtId="169" fontId="19" fillId="0" borderId="1" xfId="1" applyNumberFormat="1" applyFont="1" applyBorder="1" applyAlignment="1">
      <alignment horizontal="center" vertical="center"/>
    </xf>
    <xf numFmtId="166" fontId="47" fillId="5" borderId="1" xfId="1" applyNumberFormat="1" applyFont="1" applyFill="1" applyBorder="1" applyAlignment="1" applyProtection="1">
      <alignment horizontal="center" vertical="center" wrapText="1"/>
    </xf>
    <xf numFmtId="0" fontId="30" fillId="0" borderId="1" xfId="0" applyFont="1" applyBorder="1" applyAlignment="1">
      <alignment vertical="center"/>
    </xf>
    <xf numFmtId="0" fontId="30" fillId="0" borderId="1" xfId="0" applyFont="1" applyBorder="1" applyAlignment="1">
      <alignment horizontal="center" vertical="center"/>
    </xf>
    <xf numFmtId="166" fontId="30" fillId="0" borderId="1" xfId="1" applyNumberFormat="1" applyFont="1" applyBorder="1" applyAlignment="1">
      <alignment vertical="center"/>
    </xf>
    <xf numFmtId="169" fontId="20" fillId="2" borderId="1" xfId="1" applyNumberFormat="1" applyFont="1" applyFill="1" applyBorder="1" applyAlignment="1">
      <alignment horizontal="left" vertical="center" wrapText="1"/>
    </xf>
    <xf numFmtId="169" fontId="20" fillId="2" borderId="1" xfId="1" quotePrefix="1" applyNumberFormat="1" applyFont="1" applyFill="1" applyBorder="1" applyAlignment="1">
      <alignment horizontal="center" vertical="center" wrapText="1"/>
    </xf>
    <xf numFmtId="0" fontId="30" fillId="2" borderId="1" xfId="0" applyFont="1" applyFill="1" applyBorder="1" applyAlignment="1">
      <alignment horizontal="center" vertical="center" wrapText="1"/>
    </xf>
    <xf numFmtId="0" fontId="46" fillId="0" borderId="1" xfId="0" quotePrefix="1" applyFont="1" applyBorder="1" applyAlignment="1">
      <alignment horizontal="center" vertical="center"/>
    </xf>
    <xf numFmtId="166" fontId="2" fillId="0" borderId="0" xfId="1" applyNumberFormat="1" applyFont="1" applyFill="1" applyAlignment="1">
      <alignment vertical="center"/>
    </xf>
    <xf numFmtId="0" fontId="38" fillId="5" borderId="1" xfId="8" applyFont="1" applyFill="1" applyBorder="1" applyAlignment="1">
      <alignment horizontal="center" vertical="center" wrapText="1"/>
    </xf>
    <xf numFmtId="0" fontId="1" fillId="0" borderId="0" xfId="0" applyFont="1" applyAlignment="1">
      <alignment horizontal="center" vertical="center" wrapText="1"/>
    </xf>
    <xf numFmtId="166" fontId="2" fillId="0" borderId="0" xfId="1" applyNumberFormat="1" applyFont="1" applyAlignment="1">
      <alignment vertical="center" wrapText="1"/>
    </xf>
    <xf numFmtId="166" fontId="2" fillId="0" borderId="0" xfId="1" applyNumberFormat="1" applyFont="1" applyAlignment="1">
      <alignment horizontal="center" vertical="center" wrapText="1"/>
    </xf>
    <xf numFmtId="166" fontId="2" fillId="0" borderId="0" xfId="0" applyNumberFormat="1" applyFont="1" applyAlignment="1">
      <alignment horizontal="center" vertical="center" wrapText="1"/>
    </xf>
    <xf numFmtId="166" fontId="0" fillId="0" borderId="0" xfId="1" applyNumberFormat="1" applyFont="1"/>
    <xf numFmtId="0" fontId="20" fillId="2" borderId="1" xfId="9" applyFont="1" applyFill="1" applyBorder="1" applyAlignment="1" applyProtection="1">
      <alignment horizontal="center" vertical="center" wrapText="1"/>
      <protection hidden="1"/>
    </xf>
    <xf numFmtId="0" fontId="20" fillId="2" borderId="5" xfId="9" applyFont="1" applyFill="1" applyBorder="1" applyAlignment="1" applyProtection="1">
      <alignment horizontal="center" vertical="center" wrapText="1"/>
      <protection hidden="1"/>
    </xf>
    <xf numFmtId="0" fontId="20" fillId="2" borderId="3" xfId="9" applyFont="1" applyFill="1" applyBorder="1" applyAlignment="1" applyProtection="1">
      <alignment horizontal="center" vertical="center" wrapText="1"/>
      <protection hidden="1"/>
    </xf>
    <xf numFmtId="3" fontId="21" fillId="0" borderId="1" xfId="9" applyNumberFormat="1" applyFont="1" applyBorder="1" applyAlignment="1">
      <alignment horizontal="center" vertical="center"/>
    </xf>
    <xf numFmtId="3" fontId="21" fillId="0" borderId="1" xfId="9" applyNumberFormat="1" applyFont="1" applyBorder="1" applyAlignment="1">
      <alignment horizontal="left" vertical="center"/>
    </xf>
    <xf numFmtId="3" fontId="21" fillId="4" borderId="1" xfId="9" applyNumberFormat="1" applyFont="1" applyFill="1" applyBorder="1" applyAlignment="1">
      <alignment horizontal="center" vertical="center"/>
    </xf>
    <xf numFmtId="0" fontId="21" fillId="0" borderId="1" xfId="0" applyFont="1" applyBorder="1" applyAlignment="1">
      <alignment vertical="center"/>
    </xf>
    <xf numFmtId="0" fontId="21" fillId="0" borderId="0" xfId="0" applyFont="1" applyAlignment="1">
      <alignment vertical="center"/>
    </xf>
    <xf numFmtId="3" fontId="50" fillId="6" borderId="1" xfId="9" applyNumberFormat="1" applyFont="1" applyFill="1" applyBorder="1" applyAlignment="1">
      <alignment horizontal="center" vertical="center"/>
    </xf>
    <xf numFmtId="3" fontId="50" fillId="6" borderId="1" xfId="9" applyNumberFormat="1" applyFont="1" applyFill="1" applyBorder="1" applyAlignment="1">
      <alignment vertical="center"/>
    </xf>
    <xf numFmtId="3" fontId="20" fillId="4" borderId="1" xfId="9" applyNumberFormat="1" applyFont="1" applyFill="1" applyBorder="1" applyAlignment="1">
      <alignment vertical="center"/>
    </xf>
    <xf numFmtId="166" fontId="0" fillId="0" borderId="0" xfId="0" applyNumberFormat="1"/>
    <xf numFmtId="0" fontId="0" fillId="0" borderId="0" xfId="0" applyAlignment="1">
      <alignment horizontal="center"/>
    </xf>
    <xf numFmtId="166" fontId="0" fillId="0" borderId="0" xfId="1" applyNumberFormat="1" applyFont="1" applyAlignment="1">
      <alignment horizontal="center"/>
    </xf>
    <xf numFmtId="3" fontId="21" fillId="0" borderId="1" xfId="9" applyNumberFormat="1" applyFont="1" applyBorder="1" applyAlignment="1">
      <alignment horizontal="center" vertical="center" wrapText="1"/>
    </xf>
    <xf numFmtId="0" fontId="20" fillId="0" borderId="0" xfId="9" applyFont="1" applyAlignment="1">
      <alignment horizontal="center"/>
    </xf>
    <xf numFmtId="0" fontId="49" fillId="0" borderId="0" xfId="9" applyFont="1" applyAlignment="1">
      <alignment horizontal="center"/>
    </xf>
    <xf numFmtId="0" fontId="20" fillId="4" borderId="3" xfId="9" applyFont="1" applyFill="1" applyBorder="1" applyAlignment="1" applyProtection="1">
      <alignment horizontal="center" vertical="center" wrapText="1"/>
      <protection hidden="1"/>
    </xf>
    <xf numFmtId="0" fontId="32" fillId="2" borderId="1" xfId="10" applyNumberFormat="1" applyFont="1" applyFill="1" applyBorder="1" applyAlignment="1">
      <alignment horizontal="center" vertical="center" wrapText="1"/>
    </xf>
    <xf numFmtId="0" fontId="32" fillId="2" borderId="15" xfId="0" applyFont="1" applyFill="1" applyBorder="1" applyAlignment="1">
      <alignment horizontal="center" vertical="center" wrapText="1"/>
    </xf>
    <xf numFmtId="0" fontId="32" fillId="2" borderId="16" xfId="0" applyFont="1" applyFill="1" applyBorder="1" applyAlignment="1">
      <alignment horizontal="center" vertical="center" wrapText="1"/>
    </xf>
    <xf numFmtId="0" fontId="53" fillId="2" borderId="16" xfId="0" applyFont="1" applyFill="1" applyBorder="1" applyAlignment="1">
      <alignment horizontal="center" vertical="center" wrapText="1"/>
    </xf>
    <xf numFmtId="0" fontId="32" fillId="2" borderId="5" xfId="10" applyNumberFormat="1" applyFont="1" applyFill="1" applyBorder="1" applyAlignment="1">
      <alignment horizontal="center" vertical="center" wrapText="1"/>
    </xf>
    <xf numFmtId="3" fontId="32" fillId="2" borderId="5" xfId="10" applyNumberFormat="1" applyFont="1" applyFill="1" applyBorder="1" applyAlignment="1">
      <alignment horizontal="center" vertical="center" wrapText="1"/>
    </xf>
    <xf numFmtId="166" fontId="32" fillId="2" borderId="5" xfId="10" applyNumberFormat="1" applyFont="1" applyFill="1" applyBorder="1" applyAlignment="1">
      <alignment horizontal="center" vertical="center" wrapText="1"/>
    </xf>
    <xf numFmtId="166" fontId="32" fillId="2" borderId="16"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1" xfId="0" applyFont="1" applyFill="1" applyBorder="1" applyAlignment="1">
      <alignment vertical="center" wrapText="1"/>
    </xf>
    <xf numFmtId="3" fontId="55" fillId="2" borderId="5" xfId="10" applyNumberFormat="1" applyFont="1" applyFill="1" applyBorder="1" applyAlignment="1">
      <alignment horizontal="center" vertical="center" wrapText="1"/>
    </xf>
    <xf numFmtId="166" fontId="32" fillId="2" borderId="1" xfId="11" applyNumberFormat="1" applyFont="1" applyFill="1" applyBorder="1" applyAlignment="1">
      <alignment horizontal="center" vertical="center" wrapText="1"/>
    </xf>
    <xf numFmtId="166" fontId="10" fillId="2" borderId="1" xfId="11" applyNumberFormat="1" applyFont="1" applyFill="1" applyBorder="1" applyAlignment="1">
      <alignment horizontal="center" vertical="center" wrapText="1"/>
    </xf>
    <xf numFmtId="14" fontId="23" fillId="2" borderId="1" xfId="0" applyNumberFormat="1" applyFont="1" applyFill="1" applyBorder="1" applyAlignment="1">
      <alignment vertical="center" wrapText="1"/>
    </xf>
    <xf numFmtId="166" fontId="23" fillId="2" borderId="1" xfId="11" applyNumberFormat="1" applyFont="1" applyFill="1" applyBorder="1" applyAlignment="1">
      <alignment horizontal="center" vertical="center" wrapText="1"/>
    </xf>
    <xf numFmtId="166" fontId="26" fillId="2" borderId="1" xfId="11" applyNumberFormat="1" applyFont="1" applyFill="1" applyBorder="1" applyAlignment="1">
      <alignment horizontal="center" vertical="center" wrapText="1"/>
    </xf>
    <xf numFmtId="175" fontId="23" fillId="2" borderId="1" xfId="11" applyNumberFormat="1" applyFont="1" applyFill="1" applyBorder="1" applyAlignment="1">
      <alignment horizontal="right" vertical="center" wrapText="1"/>
    </xf>
    <xf numFmtId="0" fontId="2" fillId="2" borderId="0" xfId="0" applyFont="1" applyFill="1"/>
    <xf numFmtId="14" fontId="23" fillId="0" borderId="1" xfId="0" applyNumberFormat="1" applyFont="1" applyBorder="1" applyAlignment="1">
      <alignment vertical="center" wrapText="1"/>
    </xf>
    <xf numFmtId="166" fontId="23" fillId="0" borderId="1" xfId="11" applyNumberFormat="1" applyFont="1" applyFill="1" applyBorder="1" applyAlignment="1">
      <alignment horizontal="center" vertical="center" wrapText="1"/>
    </xf>
    <xf numFmtId="175" fontId="23" fillId="0" borderId="1" xfId="11" applyNumberFormat="1" applyFont="1" applyFill="1" applyBorder="1" applyAlignment="1">
      <alignment horizontal="right" vertical="center" wrapText="1"/>
    </xf>
    <xf numFmtId="0" fontId="23" fillId="2" borderId="1" xfId="0" applyFont="1" applyFill="1" applyBorder="1" applyAlignment="1">
      <alignment horizontal="center" vertical="center" wrapText="1"/>
    </xf>
    <xf numFmtId="0" fontId="23" fillId="2" borderId="1" xfId="0" applyFont="1" applyFill="1" applyBorder="1" applyAlignment="1">
      <alignment horizontal="left" vertical="center" wrapText="1"/>
    </xf>
    <xf numFmtId="14" fontId="23" fillId="2" borderId="1" xfId="0" applyNumberFormat="1" applyFont="1" applyFill="1" applyBorder="1" applyAlignment="1">
      <alignment horizontal="right" vertical="center" wrapText="1"/>
    </xf>
    <xf numFmtId="14" fontId="23" fillId="0" borderId="1" xfId="0" applyNumberFormat="1" applyFont="1" applyBorder="1" applyAlignment="1">
      <alignment horizontal="right" vertical="center" wrapText="1"/>
    </xf>
    <xf numFmtId="166" fontId="56" fillId="2" borderId="1" xfId="11" applyNumberFormat="1" applyFont="1" applyFill="1" applyBorder="1" applyAlignment="1">
      <alignment horizontal="center" vertical="center" wrapText="1"/>
    </xf>
    <xf numFmtId="0" fontId="32" fillId="2" borderId="1" xfId="0" applyFont="1" applyFill="1" applyBorder="1" applyAlignment="1">
      <alignment horizontal="left" vertical="center" wrapText="1"/>
    </xf>
    <xf numFmtId="14" fontId="32" fillId="2" borderId="1" xfId="0" applyNumberFormat="1" applyFont="1" applyFill="1" applyBorder="1" applyAlignment="1">
      <alignment horizontal="right" vertical="center" wrapText="1"/>
    </xf>
    <xf numFmtId="14" fontId="23" fillId="4" borderId="1" xfId="0" applyNumberFormat="1" applyFont="1" applyFill="1" applyBorder="1" applyAlignment="1">
      <alignment horizontal="right" vertical="center" wrapText="1"/>
    </xf>
    <xf numFmtId="166" fontId="23" fillId="4" borderId="1" xfId="11" applyNumberFormat="1" applyFont="1" applyFill="1" applyBorder="1" applyAlignment="1">
      <alignment horizontal="center" vertical="center" wrapText="1"/>
    </xf>
    <xf numFmtId="166" fontId="51" fillId="2" borderId="1" xfId="11" applyNumberFormat="1" applyFont="1" applyFill="1" applyBorder="1" applyAlignment="1">
      <alignment horizontal="center" vertical="center" wrapText="1"/>
    </xf>
    <xf numFmtId="14" fontId="23" fillId="2" borderId="1" xfId="0" quotePrefix="1" applyNumberFormat="1" applyFont="1" applyFill="1" applyBorder="1" applyAlignment="1">
      <alignment horizontal="right" vertical="center" wrapText="1"/>
    </xf>
    <xf numFmtId="0" fontId="23" fillId="2" borderId="0" xfId="0" applyFont="1" applyFill="1" applyAlignment="1">
      <alignment horizontal="center" vertical="center" wrapText="1"/>
    </xf>
    <xf numFmtId="0" fontId="23" fillId="2" borderId="0" xfId="0" applyFont="1" applyFill="1" applyAlignment="1">
      <alignment horizontal="left" vertical="center" wrapText="1"/>
    </xf>
    <xf numFmtId="14" fontId="23" fillId="2" borderId="0" xfId="0" applyNumberFormat="1" applyFont="1" applyFill="1" applyAlignment="1">
      <alignment horizontal="right" vertical="center" wrapText="1"/>
    </xf>
    <xf numFmtId="166" fontId="23" fillId="2" borderId="0" xfId="11" applyNumberFormat="1" applyFont="1" applyFill="1" applyBorder="1" applyAlignment="1">
      <alignment horizontal="center" vertical="center" wrapText="1"/>
    </xf>
    <xf numFmtId="166" fontId="26" fillId="2" borderId="0" xfId="11" applyNumberFormat="1" applyFont="1" applyFill="1" applyBorder="1" applyAlignment="1">
      <alignment horizontal="center" vertical="center" wrapText="1"/>
    </xf>
    <xf numFmtId="0" fontId="2" fillId="2" borderId="0" xfId="0" applyFont="1" applyFill="1" applyAlignment="1">
      <alignment horizontal="center"/>
    </xf>
    <xf numFmtId="0" fontId="57" fillId="2" borderId="0" xfId="0" applyFont="1" applyFill="1"/>
    <xf numFmtId="0" fontId="58" fillId="2" borderId="0" xfId="0" applyFont="1" applyFill="1"/>
    <xf numFmtId="14" fontId="58" fillId="2" borderId="0" xfId="0" applyNumberFormat="1" applyFont="1" applyFill="1"/>
    <xf numFmtId="0" fontId="61" fillId="2" borderId="0" xfId="0" applyFont="1" applyFill="1" applyAlignment="1">
      <alignment vertical="center" wrapText="1"/>
    </xf>
    <xf numFmtId="0" fontId="62" fillId="2" borderId="0" xfId="12" applyNumberFormat="1" applyFont="1" applyFill="1" applyBorder="1" applyAlignment="1">
      <alignment horizontal="right" vertical="center" wrapText="1"/>
    </xf>
    <xf numFmtId="174" fontId="62" fillId="2" borderId="0" xfId="12" applyNumberFormat="1" applyFont="1" applyFill="1" applyBorder="1" applyAlignment="1">
      <alignment horizontal="right" vertical="center" wrapText="1"/>
    </xf>
    <xf numFmtId="174" fontId="63" fillId="2" borderId="0" xfId="12" applyNumberFormat="1" applyFont="1" applyFill="1" applyBorder="1" applyAlignment="1">
      <alignment horizontal="right" vertical="center" wrapText="1"/>
    </xf>
    <xf numFmtId="0" fontId="61" fillId="2" borderId="0" xfId="0" applyFont="1" applyFill="1" applyAlignment="1">
      <alignment horizontal="left" vertical="center" wrapText="1"/>
    </xf>
    <xf numFmtId="0" fontId="64" fillId="2" borderId="0" xfId="12" applyNumberFormat="1" applyFont="1" applyFill="1" applyBorder="1" applyAlignment="1">
      <alignment horizontal="right" vertical="center" wrapText="1"/>
    </xf>
    <xf numFmtId="174" fontId="64" fillId="2" borderId="0" xfId="12" applyNumberFormat="1" applyFont="1" applyFill="1" applyBorder="1" applyAlignment="1">
      <alignment horizontal="right" vertical="center" wrapText="1"/>
    </xf>
    <xf numFmtId="174" fontId="61" fillId="2" borderId="0" xfId="12" applyNumberFormat="1" applyFont="1" applyFill="1" applyBorder="1" applyAlignment="1">
      <alignment horizontal="right" vertical="center" wrapText="1"/>
    </xf>
    <xf numFmtId="174" fontId="63" fillId="2" borderId="0" xfId="12" applyNumberFormat="1" applyFont="1" applyFill="1" applyBorder="1" applyAlignment="1">
      <alignment horizontal="center" vertical="center" wrapText="1"/>
    </xf>
    <xf numFmtId="0" fontId="23" fillId="2" borderId="0" xfId="0" applyFont="1" applyFill="1"/>
    <xf numFmtId="0" fontId="0" fillId="4" borderId="0" xfId="0" applyFill="1"/>
    <xf numFmtId="166" fontId="0" fillId="4" borderId="0" xfId="0" applyNumberFormat="1" applyFill="1"/>
    <xf numFmtId="0" fontId="20" fillId="2" borderId="0" xfId="9" applyFont="1" applyFill="1" applyAlignment="1" applyProtection="1">
      <alignment horizontal="center" vertical="center" wrapText="1"/>
      <protection hidden="1"/>
    </xf>
    <xf numFmtId="0" fontId="20" fillId="7" borderId="0" xfId="9" applyFont="1" applyFill="1" applyAlignment="1" applyProtection="1">
      <alignment horizontal="center" vertical="center" wrapText="1"/>
      <protection hidden="1"/>
    </xf>
    <xf numFmtId="3" fontId="21" fillId="7" borderId="0" xfId="9" applyNumberFormat="1" applyFont="1" applyFill="1" applyAlignment="1">
      <alignment horizontal="center" vertical="center"/>
    </xf>
    <xf numFmtId="3" fontId="20" fillId="4" borderId="0" xfId="9" applyNumberFormat="1" applyFont="1" applyFill="1" applyAlignment="1">
      <alignment vertical="center"/>
    </xf>
    <xf numFmtId="0" fontId="20" fillId="2" borderId="14" xfId="9" applyFont="1" applyFill="1" applyBorder="1" applyAlignment="1" applyProtection="1">
      <alignment horizontal="center" vertical="center" wrapText="1"/>
      <protection hidden="1"/>
    </xf>
    <xf numFmtId="3" fontId="21" fillId="2" borderId="1" xfId="9" applyNumberFormat="1" applyFont="1" applyFill="1" applyBorder="1" applyAlignment="1">
      <alignment horizontal="right" vertical="center"/>
    </xf>
    <xf numFmtId="3" fontId="21" fillId="2" borderId="1" xfId="9" applyNumberFormat="1" applyFont="1" applyFill="1" applyBorder="1" applyAlignment="1">
      <alignment horizontal="center" vertical="center"/>
    </xf>
    <xf numFmtId="166" fontId="21" fillId="2" borderId="1" xfId="1" applyNumberFormat="1" applyFont="1" applyFill="1" applyBorder="1" applyAlignment="1">
      <alignment horizontal="right" vertical="center"/>
    </xf>
    <xf numFmtId="166" fontId="21" fillId="2" borderId="1" xfId="1" applyNumberFormat="1" applyFont="1" applyFill="1" applyBorder="1" applyAlignment="1">
      <alignment horizontal="center" vertical="center"/>
    </xf>
    <xf numFmtId="3" fontId="21" fillId="2" borderId="1" xfId="0" applyNumberFormat="1" applyFont="1" applyFill="1" applyBorder="1" applyAlignment="1">
      <alignment horizontal="right" vertical="center"/>
    </xf>
    <xf numFmtId="3" fontId="21" fillId="2" borderId="1" xfId="0" applyNumberFormat="1" applyFont="1" applyFill="1" applyBorder="1" applyAlignment="1">
      <alignment horizontal="center" vertical="center"/>
    </xf>
    <xf numFmtId="3" fontId="20" fillId="2" borderId="1" xfId="9" applyNumberFormat="1" applyFont="1" applyFill="1" applyBorder="1" applyAlignment="1">
      <alignment vertical="center"/>
    </xf>
    <xf numFmtId="0" fontId="0" fillId="2" borderId="0" xfId="0" applyFill="1"/>
    <xf numFmtId="166" fontId="0" fillId="2" borderId="0" xfId="1" applyNumberFormat="1" applyFont="1" applyFill="1"/>
    <xf numFmtId="0" fontId="21" fillId="0" borderId="1" xfId="9" applyFont="1" applyBorder="1" applyAlignment="1">
      <alignment horizontal="center" vertical="center"/>
    </xf>
    <xf numFmtId="166" fontId="65" fillId="0" borderId="0" xfId="0" applyNumberFormat="1" applyFont="1"/>
    <xf numFmtId="174" fontId="65" fillId="0" borderId="0" xfId="1" applyNumberFormat="1" applyFont="1"/>
    <xf numFmtId="164" fontId="65" fillId="0" borderId="0" xfId="1" applyFont="1"/>
    <xf numFmtId="164" fontId="65" fillId="0" borderId="0" xfId="0" applyNumberFormat="1" applyFont="1"/>
    <xf numFmtId="0" fontId="65" fillId="0" borderId="0" xfId="0" applyFont="1"/>
    <xf numFmtId="0" fontId="20" fillId="4" borderId="0" xfId="9" applyFont="1" applyFill="1" applyAlignment="1">
      <alignment horizontal="center"/>
    </xf>
    <xf numFmtId="0" fontId="49" fillId="4" borderId="0" xfId="9" applyFont="1" applyFill="1" applyAlignment="1">
      <alignment horizontal="center"/>
    </xf>
    <xf numFmtId="0" fontId="20" fillId="4" borderId="1" xfId="9" applyFont="1" applyFill="1" applyBorder="1" applyAlignment="1" applyProtection="1">
      <alignment horizontal="center" vertical="center" wrapText="1"/>
      <protection hidden="1"/>
    </xf>
    <xf numFmtId="0" fontId="20" fillId="4" borderId="1" xfId="9" applyFont="1" applyFill="1" applyBorder="1" applyAlignment="1" applyProtection="1">
      <alignment vertical="center" wrapText="1"/>
      <protection hidden="1"/>
    </xf>
    <xf numFmtId="173" fontId="21" fillId="4" borderId="1" xfId="9" applyNumberFormat="1" applyFont="1" applyFill="1" applyBorder="1" applyAlignment="1">
      <alignment horizontal="center" vertical="center"/>
    </xf>
    <xf numFmtId="3" fontId="21" fillId="4" borderId="9" xfId="9" applyNumberFormat="1" applyFont="1" applyFill="1" applyBorder="1" applyAlignment="1">
      <alignment horizontal="center" vertical="center"/>
    </xf>
    <xf numFmtId="3" fontId="21" fillId="4" borderId="0" xfId="9" applyNumberFormat="1" applyFont="1" applyFill="1" applyAlignment="1">
      <alignment horizontal="center" vertical="center"/>
    </xf>
    <xf numFmtId="166" fontId="0" fillId="4" borderId="0" xfId="1" applyNumberFormat="1" applyFont="1" applyFill="1"/>
    <xf numFmtId="3" fontId="0" fillId="4" borderId="0" xfId="0" applyNumberFormat="1" applyFill="1"/>
    <xf numFmtId="0" fontId="1" fillId="0" borderId="0" xfId="0" applyFont="1" applyAlignment="1">
      <alignment vertical="center"/>
    </xf>
    <xf numFmtId="0" fontId="2" fillId="2" borderId="0" xfId="0" applyFont="1" applyFill="1" applyAlignment="1">
      <alignment horizontal="center" vertical="center"/>
    </xf>
    <xf numFmtId="0" fontId="2" fillId="2" borderId="0" xfId="0" applyFont="1" applyFill="1" applyAlignment="1">
      <alignment vertical="center"/>
    </xf>
    <xf numFmtId="166" fontId="2" fillId="2" borderId="0" xfId="1" applyNumberFormat="1" applyFont="1" applyFill="1" applyAlignment="1">
      <alignment vertical="center"/>
    </xf>
    <xf numFmtId="0" fontId="1" fillId="2" borderId="0" xfId="0" applyFont="1" applyFill="1" applyAlignment="1">
      <alignment vertical="center"/>
    </xf>
    <xf numFmtId="0" fontId="4" fillId="2" borderId="6" xfId="0" applyFont="1" applyFill="1" applyBorder="1" applyAlignment="1">
      <alignment horizontal="center" vertical="center"/>
    </xf>
    <xf numFmtId="166" fontId="4" fillId="2" borderId="6" xfId="1" applyNumberFormat="1" applyFont="1" applyFill="1" applyBorder="1" applyAlignment="1">
      <alignment horizontal="center" vertical="center"/>
    </xf>
    <xf numFmtId="170" fontId="39" fillId="2" borderId="1" xfId="8" applyNumberFormat="1" applyFont="1" applyFill="1" applyBorder="1" applyAlignment="1">
      <alignment horizontal="center" vertical="center" wrapText="1"/>
    </xf>
    <xf numFmtId="170" fontId="38" fillId="2" borderId="1" xfId="8"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3" fontId="1" fillId="2" borderId="1" xfId="0" applyNumberFormat="1" applyFont="1" applyFill="1" applyBorder="1" applyAlignment="1">
      <alignment vertical="center"/>
    </xf>
    <xf numFmtId="166" fontId="1" fillId="2" borderId="1" xfId="1" applyNumberFormat="1" applyFont="1" applyFill="1" applyBorder="1" applyAlignment="1">
      <alignment vertical="center"/>
    </xf>
    <xf numFmtId="3" fontId="0" fillId="2" borderId="0" xfId="0" applyNumberFormat="1" applyFill="1"/>
    <xf numFmtId="0" fontId="1" fillId="2" borderId="1" xfId="0" applyFont="1" applyFill="1" applyBorder="1" applyAlignment="1">
      <alignment vertical="center" wrapText="1"/>
    </xf>
    <xf numFmtId="0" fontId="1" fillId="2" borderId="1" xfId="0" applyFont="1" applyFill="1" applyBorder="1" applyAlignment="1">
      <alignment vertical="center"/>
    </xf>
    <xf numFmtId="0" fontId="2" fillId="2" borderId="1" xfId="0" quotePrefix="1" applyFont="1" applyFill="1" applyBorder="1" applyAlignment="1">
      <alignment horizontal="center" vertical="center"/>
    </xf>
    <xf numFmtId="0" fontId="2" fillId="2" borderId="1" xfId="0" applyFont="1" applyFill="1" applyBorder="1" applyAlignment="1">
      <alignment vertical="center"/>
    </xf>
    <xf numFmtId="166" fontId="2" fillId="2" borderId="1" xfId="1" applyNumberFormat="1" applyFont="1" applyFill="1" applyBorder="1" applyAlignment="1">
      <alignment vertical="center"/>
    </xf>
    <xf numFmtId="3" fontId="2" fillId="2" borderId="1" xfId="0" applyNumberFormat="1" applyFont="1" applyFill="1" applyBorder="1" applyAlignment="1">
      <alignment vertical="center"/>
    </xf>
    <xf numFmtId="166" fontId="2" fillId="2" borderId="1" xfId="1" applyNumberFormat="1" applyFont="1" applyFill="1" applyBorder="1" applyAlignment="1">
      <alignment horizontal="center" vertical="center" wrapText="1"/>
    </xf>
    <xf numFmtId="0" fontId="1" fillId="2" borderId="1" xfId="0" quotePrefix="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vertical="center"/>
    </xf>
    <xf numFmtId="166" fontId="4" fillId="2" borderId="1" xfId="1" applyNumberFormat="1" applyFont="1" applyFill="1" applyBorder="1" applyAlignment="1">
      <alignment vertical="center"/>
    </xf>
    <xf numFmtId="0" fontId="5" fillId="2" borderId="1" xfId="0" applyFont="1" applyFill="1" applyBorder="1" applyAlignment="1">
      <alignment horizontal="center" vertical="center"/>
    </xf>
    <xf numFmtId="166" fontId="1" fillId="2" borderId="1" xfId="0" applyNumberFormat="1" applyFont="1" applyFill="1" applyBorder="1" applyAlignment="1">
      <alignment vertical="center"/>
    </xf>
    <xf numFmtId="3" fontId="1" fillId="2" borderId="1" xfId="0" applyNumberFormat="1" applyFont="1" applyFill="1" applyBorder="1" applyAlignment="1">
      <alignment vertical="center" wrapText="1"/>
    </xf>
    <xf numFmtId="164" fontId="0" fillId="2" borderId="0" xfId="0" applyNumberFormat="1" applyFill="1"/>
    <xf numFmtId="166" fontId="0" fillId="2" borderId="0" xfId="0" applyNumberFormat="1" applyFill="1"/>
    <xf numFmtId="3" fontId="5" fillId="2" borderId="1" xfId="0" applyNumberFormat="1" applyFont="1" applyFill="1" applyBorder="1" applyAlignment="1">
      <alignment vertical="center"/>
    </xf>
    <xf numFmtId="3" fontId="4" fillId="2" borderId="1" xfId="0" applyNumberFormat="1" applyFont="1" applyFill="1" applyBorder="1" applyAlignment="1">
      <alignment vertical="center"/>
    </xf>
    <xf numFmtId="0" fontId="1" fillId="2" borderId="1" xfId="0" applyFont="1" applyFill="1" applyBorder="1" applyAlignment="1">
      <alignment horizontal="center" vertical="center" wrapText="1"/>
    </xf>
    <xf numFmtId="0" fontId="33" fillId="0" borderId="1" xfId="0" applyFont="1" applyBorder="1" applyAlignment="1">
      <alignment vertical="center" wrapText="1"/>
    </xf>
    <xf numFmtId="0" fontId="33" fillId="0" borderId="1" xfId="0" applyFont="1" applyBorder="1" applyAlignment="1">
      <alignment vertical="center"/>
    </xf>
    <xf numFmtId="3" fontId="2" fillId="2" borderId="1" xfId="0" quotePrefix="1" applyNumberFormat="1" applyFont="1" applyFill="1" applyBorder="1" applyAlignment="1">
      <alignment horizontal="center" vertical="center" wrapText="1"/>
    </xf>
    <xf numFmtId="0" fontId="1" fillId="0" borderId="0" xfId="0" applyFont="1"/>
    <xf numFmtId="3" fontId="2" fillId="2" borderId="1" xfId="0" applyNumberFormat="1" applyFont="1" applyFill="1" applyBorder="1" applyAlignment="1">
      <alignment horizontal="right" vertical="center"/>
    </xf>
    <xf numFmtId="0" fontId="2" fillId="0" borderId="0" xfId="0" applyFont="1" applyAlignment="1">
      <alignment horizontal="justify" vertical="center"/>
    </xf>
    <xf numFmtId="3" fontId="4" fillId="2" borderId="1" xfId="0" applyNumberFormat="1" applyFont="1" applyFill="1" applyBorder="1" applyAlignment="1">
      <alignment vertical="center" wrapText="1"/>
    </xf>
    <xf numFmtId="3" fontId="1" fillId="2" borderId="1" xfId="0" applyNumberFormat="1" applyFont="1" applyFill="1" applyBorder="1" applyAlignment="1">
      <alignment horizontal="right" vertical="center"/>
    </xf>
    <xf numFmtId="3" fontId="2" fillId="2" borderId="1" xfId="1" applyNumberFormat="1" applyFont="1" applyFill="1" applyBorder="1" applyAlignment="1">
      <alignment horizontal="right" vertical="center"/>
    </xf>
    <xf numFmtId="3" fontId="1" fillId="2" borderId="1" xfId="1" applyNumberFormat="1" applyFont="1" applyFill="1" applyBorder="1" applyAlignment="1">
      <alignment horizontal="right" vertical="center"/>
    </xf>
    <xf numFmtId="3" fontId="1" fillId="0" borderId="1" xfId="0" applyNumberFormat="1" applyFont="1" applyBorder="1" applyAlignment="1">
      <alignment horizontal="right" vertical="center"/>
    </xf>
    <xf numFmtId="3" fontId="2" fillId="0" borderId="1" xfId="0" applyNumberFormat="1" applyFont="1" applyBorder="1" applyAlignment="1">
      <alignment horizontal="right" vertical="center"/>
    </xf>
    <xf numFmtId="3" fontId="2" fillId="0" borderId="1" xfId="1" applyNumberFormat="1" applyFont="1" applyFill="1" applyBorder="1" applyAlignment="1">
      <alignment horizontal="right" vertical="center"/>
    </xf>
    <xf numFmtId="3" fontId="68" fillId="2" borderId="1" xfId="0" applyNumberFormat="1" applyFont="1" applyFill="1" applyBorder="1" applyAlignment="1">
      <alignment horizontal="right" vertical="center"/>
    </xf>
    <xf numFmtId="3" fontId="2" fillId="2" borderId="1" xfId="0" applyNumberFormat="1" applyFont="1" applyFill="1" applyBorder="1" applyAlignment="1">
      <alignment vertical="center" wrapText="1"/>
    </xf>
    <xf numFmtId="0" fontId="23" fillId="2" borderId="1" xfId="0" applyFont="1" applyFill="1" applyBorder="1" applyAlignment="1">
      <alignment vertical="center" wrapText="1"/>
    </xf>
    <xf numFmtId="0" fontId="2" fillId="2" borderId="1" xfId="0" applyFont="1" applyFill="1" applyBorder="1" applyAlignment="1">
      <alignment horizontal="center" vertical="center" wrapText="1"/>
    </xf>
    <xf numFmtId="166" fontId="1" fillId="2" borderId="1" xfId="1" applyNumberFormat="1" applyFont="1" applyFill="1" applyBorder="1" applyAlignment="1">
      <alignment vertical="center" wrapText="1"/>
    </xf>
    <xf numFmtId="166" fontId="1" fillId="2" borderId="1" xfId="0" applyNumberFormat="1" applyFont="1" applyFill="1" applyBorder="1" applyAlignment="1">
      <alignment vertical="center" wrapText="1"/>
    </xf>
    <xf numFmtId="166" fontId="2" fillId="2" borderId="1" xfId="0" applyNumberFormat="1" applyFont="1" applyFill="1" applyBorder="1" applyAlignment="1">
      <alignment vertical="center" wrapText="1"/>
    </xf>
    <xf numFmtId="0" fontId="5" fillId="2" borderId="1" xfId="0" applyFont="1" applyFill="1" applyBorder="1" applyAlignment="1">
      <alignment horizontal="center" vertical="center" wrapText="1"/>
    </xf>
    <xf numFmtId="166" fontId="2" fillId="2" borderId="1" xfId="1" applyNumberFormat="1" applyFont="1" applyFill="1" applyBorder="1" applyAlignment="1">
      <alignment vertical="center" wrapText="1"/>
    </xf>
    <xf numFmtId="0" fontId="1" fillId="2" borderId="1" xfId="0" quotePrefix="1" applyFont="1" applyFill="1" applyBorder="1" applyAlignment="1">
      <alignment horizontal="center" vertical="center" wrapText="1"/>
    </xf>
    <xf numFmtId="0" fontId="2" fillId="2" borderId="0" xfId="0" applyFont="1" applyFill="1" applyAlignment="1">
      <alignment horizontal="right" vertical="center"/>
    </xf>
    <xf numFmtId="0" fontId="4" fillId="0" borderId="6" xfId="0" applyFont="1" applyBorder="1" applyAlignment="1">
      <alignment horizontal="center" vertical="center"/>
    </xf>
    <xf numFmtId="166" fontId="4" fillId="0" borderId="6" xfId="1" applyNumberFormat="1" applyFont="1" applyFill="1" applyBorder="1" applyAlignment="1">
      <alignment horizontal="center" vertical="center"/>
    </xf>
    <xf numFmtId="0" fontId="1" fillId="0" borderId="12" xfId="0" applyFont="1" applyBorder="1" applyAlignment="1">
      <alignment horizontal="center" vertical="center"/>
    </xf>
    <xf numFmtId="166" fontId="1" fillId="0" borderId="1" xfId="1"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166" fontId="1" fillId="0" borderId="1" xfId="1" applyNumberFormat="1" applyFont="1" applyFill="1" applyBorder="1" applyAlignment="1">
      <alignment vertical="center"/>
    </xf>
    <xf numFmtId="3" fontId="4" fillId="0" borderId="1" xfId="0" applyNumberFormat="1" applyFont="1" applyBorder="1" applyAlignment="1">
      <alignment vertical="center"/>
    </xf>
    <xf numFmtId="166" fontId="4" fillId="0" borderId="1" xfId="1" applyNumberFormat="1" applyFont="1" applyFill="1" applyBorder="1" applyAlignment="1">
      <alignment vertical="center"/>
    </xf>
    <xf numFmtId="0" fontId="4" fillId="0" borderId="1" xfId="0" applyFont="1" applyBorder="1" applyAlignment="1">
      <alignment horizontal="left" vertical="center"/>
    </xf>
    <xf numFmtId="0" fontId="1" fillId="0" borderId="1" xfId="0" applyFont="1" applyBorder="1" applyAlignment="1">
      <alignment horizontal="left" vertical="center"/>
    </xf>
    <xf numFmtId="0" fontId="1" fillId="0" borderId="1" xfId="0" quotePrefix="1" applyFont="1" applyBorder="1" applyAlignment="1">
      <alignment horizontal="center" vertical="center"/>
    </xf>
    <xf numFmtId="166" fontId="5" fillId="0" borderId="1" xfId="1" applyNumberFormat="1" applyFont="1" applyFill="1" applyBorder="1" applyAlignment="1">
      <alignment vertical="center"/>
    </xf>
    <xf numFmtId="166" fontId="1" fillId="0" borderId="1" xfId="1" applyNumberFormat="1" applyFont="1" applyFill="1" applyBorder="1" applyAlignment="1">
      <alignment vertical="center" wrapText="1"/>
    </xf>
    <xf numFmtId="0" fontId="2" fillId="0" borderId="1" xfId="0" quotePrefix="1" applyFont="1" applyBorder="1" applyAlignment="1">
      <alignment horizontal="center" vertical="center"/>
    </xf>
    <xf numFmtId="0" fontId="1" fillId="0" borderId="1" xfId="0" applyFont="1" applyBorder="1" applyAlignment="1">
      <alignment horizontal="left" vertical="center" wrapText="1"/>
    </xf>
    <xf numFmtId="166" fontId="2" fillId="0" borderId="1" xfId="1" applyNumberFormat="1" applyFont="1" applyFill="1" applyBorder="1" applyAlignment="1">
      <alignment vertical="center"/>
    </xf>
    <xf numFmtId="166" fontId="4" fillId="0" borderId="1" xfId="1" applyNumberFormat="1" applyFont="1" applyFill="1" applyBorder="1" applyAlignment="1">
      <alignment vertical="center" wrapText="1"/>
    </xf>
    <xf numFmtId="0" fontId="5" fillId="0" borderId="1" xfId="0" applyFont="1" applyBorder="1" applyAlignment="1">
      <alignment horizontal="center" vertical="center"/>
    </xf>
    <xf numFmtId="166" fontId="4" fillId="0" borderId="1" xfId="1" applyNumberFormat="1" applyFont="1" applyFill="1" applyBorder="1" applyAlignment="1">
      <alignment horizontal="center" vertical="center"/>
    </xf>
    <xf numFmtId="166" fontId="2" fillId="0" borderId="1" xfId="1" applyNumberFormat="1" applyFont="1" applyFill="1" applyBorder="1" applyAlignment="1">
      <alignment horizontal="center" vertical="center"/>
    </xf>
    <xf numFmtId="166" fontId="69" fillId="0" borderId="1" xfId="1"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166" fontId="4" fillId="0" borderId="1" xfId="1" quotePrefix="1" applyNumberFormat="1" applyFont="1" applyFill="1" applyBorder="1" applyAlignment="1">
      <alignment horizontal="center" vertical="center"/>
    </xf>
    <xf numFmtId="0" fontId="14" fillId="2" borderId="1" xfId="0" applyFont="1" applyFill="1" applyBorder="1" applyAlignment="1">
      <alignment vertical="center" wrapText="1"/>
    </xf>
    <xf numFmtId="0" fontId="13" fillId="2" borderId="1" xfId="0" applyFont="1" applyFill="1" applyBorder="1" applyAlignment="1">
      <alignment horizontal="center" vertical="center"/>
    </xf>
    <xf numFmtId="0" fontId="13" fillId="2" borderId="1" xfId="0" applyFont="1" applyFill="1" applyBorder="1" applyAlignment="1">
      <alignment vertical="center" wrapText="1"/>
    </xf>
    <xf numFmtId="0" fontId="15" fillId="2" borderId="1" xfId="0" applyFont="1" applyFill="1" applyBorder="1" applyAlignment="1">
      <alignment horizontal="center" vertical="center"/>
    </xf>
    <xf numFmtId="166" fontId="2" fillId="0" borderId="1" xfId="0" applyNumberFormat="1" applyFont="1" applyBorder="1" applyAlignment="1">
      <alignment vertical="center"/>
    </xf>
    <xf numFmtId="0" fontId="1" fillId="0" borderId="0" xfId="0" applyFont="1" applyAlignment="1">
      <alignment horizontal="right" vertical="center"/>
    </xf>
    <xf numFmtId="0" fontId="70" fillId="0" borderId="13" xfId="0" applyFont="1" applyBorder="1" applyAlignment="1">
      <alignment horizontal="center" vertical="center"/>
    </xf>
    <xf numFmtId="0" fontId="70" fillId="0" borderId="11" xfId="0" applyFont="1" applyBorder="1" applyAlignment="1">
      <alignment horizontal="center" vertical="center"/>
    </xf>
    <xf numFmtId="0" fontId="70" fillId="0" borderId="1" xfId="0" applyFont="1" applyBorder="1" applyAlignment="1">
      <alignment horizontal="center" vertical="center" wrapText="1"/>
    </xf>
    <xf numFmtId="0" fontId="70" fillId="0" borderId="1" xfId="0" applyFont="1" applyBorder="1" applyAlignment="1">
      <alignment vertical="center"/>
    </xf>
    <xf numFmtId="0" fontId="70" fillId="0" borderId="1" xfId="0" quotePrefix="1" applyFont="1" applyBorder="1" applyAlignment="1">
      <alignment horizontal="center" vertical="center" wrapText="1"/>
    </xf>
    <xf numFmtId="0" fontId="1" fillId="2" borderId="5" xfId="0" applyFont="1" applyFill="1" applyBorder="1" applyAlignment="1">
      <alignment horizontal="center" vertical="center" wrapText="1"/>
    </xf>
    <xf numFmtId="170" fontId="40" fillId="2" borderId="3" xfId="8" applyNumberFormat="1"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 xfId="0" applyFont="1" applyFill="1" applyBorder="1" applyAlignment="1">
      <alignment horizontal="left" vertical="center" wrapText="1"/>
    </xf>
    <xf numFmtId="170" fontId="38" fillId="2" borderId="3" xfId="8" applyNumberFormat="1" applyFont="1" applyFill="1" applyBorder="1" applyAlignment="1">
      <alignment horizontal="center" vertical="center" wrapText="1"/>
    </xf>
    <xf numFmtId="166" fontId="1" fillId="0" borderId="1" xfId="0" applyNumberFormat="1" applyFont="1" applyBorder="1" applyAlignment="1">
      <alignment vertical="center"/>
    </xf>
    <xf numFmtId="0" fontId="0" fillId="0" borderId="0" xfId="0" applyFont="1"/>
    <xf numFmtId="166" fontId="0" fillId="0" borderId="0" xfId="0" applyNumberFormat="1" applyFont="1"/>
    <xf numFmtId="3" fontId="0" fillId="0" borderId="0" xfId="0" applyNumberFormat="1" applyFont="1"/>
    <xf numFmtId="3" fontId="2" fillId="2" borderId="1" xfId="1" applyNumberFormat="1" applyFont="1" applyFill="1" applyBorder="1" applyAlignment="1">
      <alignment vertical="center"/>
    </xf>
    <xf numFmtId="3" fontId="2" fillId="0" borderId="1" xfId="0" quotePrefix="1" applyNumberFormat="1" applyFont="1" applyBorder="1" applyAlignment="1">
      <alignment vertical="center" wrapText="1"/>
    </xf>
    <xf numFmtId="0" fontId="2" fillId="0" borderId="0" xfId="0" applyFont="1" applyAlignment="1">
      <alignment horizontal="right"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xf>
    <xf numFmtId="0" fontId="33" fillId="0" borderId="0" xfId="0" applyFont="1" applyAlignment="1">
      <alignment horizontal="right" vertical="center"/>
    </xf>
    <xf numFmtId="0" fontId="23" fillId="0" borderId="4"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7" fillId="0" borderId="10" xfId="0" applyFont="1" applyBorder="1" applyAlignment="1">
      <alignment horizont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7" fillId="2" borderId="12" xfId="0" applyFont="1" applyFill="1" applyBorder="1" applyAlignment="1">
      <alignment horizontal="center" vertical="center" wrapText="1"/>
    </xf>
    <xf numFmtId="0" fontId="67" fillId="2" borderId="13" xfId="0" applyFont="1" applyFill="1" applyBorder="1" applyAlignment="1">
      <alignment horizontal="center" vertical="center" wrapText="1"/>
    </xf>
    <xf numFmtId="0" fontId="67" fillId="2" borderId="11" xfId="0" applyFont="1" applyFill="1" applyBorder="1" applyAlignment="1">
      <alignment horizontal="center" vertical="center" wrapText="1"/>
    </xf>
    <xf numFmtId="0" fontId="67" fillId="2" borderId="15" xfId="0" applyFont="1" applyFill="1" applyBorder="1" applyAlignment="1">
      <alignment horizontal="center" vertical="center" wrapText="1"/>
    </xf>
    <xf numFmtId="0" fontId="67" fillId="2" borderId="6" xfId="0" applyFont="1" applyFill="1" applyBorder="1" applyAlignment="1">
      <alignment horizontal="center" vertical="center" wrapText="1"/>
    </xf>
    <xf numFmtId="0" fontId="67" fillId="2" borderId="16" xfId="0" applyFont="1" applyFill="1" applyBorder="1" applyAlignment="1">
      <alignment horizontal="center" vertical="center" wrapText="1"/>
    </xf>
    <xf numFmtId="170" fontId="40" fillId="2" borderId="2" xfId="8" applyNumberFormat="1" applyFont="1" applyFill="1" applyBorder="1" applyAlignment="1">
      <alignment horizontal="center" vertical="center" wrapText="1"/>
    </xf>
    <xf numFmtId="170" fontId="40" fillId="2" borderId="3" xfId="8"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6" xfId="0" applyFont="1" applyFill="1" applyBorder="1" applyAlignment="1">
      <alignment horizontal="right" vertical="center"/>
    </xf>
    <xf numFmtId="0" fontId="6" fillId="2" borderId="1" xfId="0" applyFont="1" applyFill="1" applyBorder="1" applyAlignment="1">
      <alignment horizontal="center" vertical="center" wrapText="1"/>
    </xf>
    <xf numFmtId="0" fontId="38" fillId="2" borderId="1" xfId="8" applyFont="1" applyFill="1" applyBorder="1" applyAlignment="1">
      <alignment horizontal="center" vertical="center" wrapText="1"/>
    </xf>
    <xf numFmtId="0" fontId="20" fillId="4" borderId="2" xfId="9" applyFont="1" applyFill="1" applyBorder="1" applyAlignment="1" applyProtection="1">
      <alignment horizontal="center" vertical="center" wrapText="1"/>
      <protection hidden="1"/>
    </xf>
    <xf numFmtId="0" fontId="20" fillId="4" borderId="14" xfId="9" applyFont="1" applyFill="1" applyBorder="1" applyAlignment="1" applyProtection="1">
      <alignment horizontal="center" vertical="center" wrapText="1"/>
      <protection hidden="1"/>
    </xf>
    <xf numFmtId="0" fontId="20" fillId="4" borderId="3" xfId="9" applyFont="1" applyFill="1" applyBorder="1" applyAlignment="1" applyProtection="1">
      <alignment horizontal="center" vertical="center" wrapText="1"/>
      <protection hidden="1"/>
    </xf>
    <xf numFmtId="0" fontId="0" fillId="0" borderId="0" xfId="0" applyAlignment="1">
      <alignment horizontal="center"/>
    </xf>
    <xf numFmtId="0" fontId="20" fillId="2" borderId="4" xfId="9" applyFont="1" applyFill="1" applyBorder="1" applyAlignment="1" applyProtection="1">
      <alignment horizontal="center" vertical="center" wrapText="1"/>
      <protection hidden="1"/>
    </xf>
    <xf numFmtId="0" fontId="20" fillId="2" borderId="9" xfId="9" applyFont="1" applyFill="1" applyBorder="1" applyAlignment="1" applyProtection="1">
      <alignment horizontal="center" vertical="center" wrapText="1"/>
      <protection hidden="1"/>
    </xf>
    <xf numFmtId="0" fontId="20" fillId="2" borderId="5" xfId="9" applyFont="1" applyFill="1" applyBorder="1" applyAlignment="1" applyProtection="1">
      <alignment horizontal="center" vertical="center" wrapText="1"/>
      <protection hidden="1"/>
    </xf>
    <xf numFmtId="0" fontId="20" fillId="4" borderId="1" xfId="9" applyFont="1" applyFill="1" applyBorder="1" applyAlignment="1" applyProtection="1">
      <alignment horizontal="center" vertical="center" wrapText="1"/>
      <protection hidden="1"/>
    </xf>
    <xf numFmtId="0" fontId="20" fillId="4" borderId="4" xfId="9" applyFont="1" applyFill="1" applyBorder="1" applyAlignment="1" applyProtection="1">
      <alignment horizontal="center" vertical="center" wrapText="1"/>
      <protection hidden="1"/>
    </xf>
    <xf numFmtId="0" fontId="20" fillId="4" borderId="5" xfId="9" applyFont="1" applyFill="1" applyBorder="1" applyAlignment="1" applyProtection="1">
      <alignment horizontal="center" vertical="center" wrapText="1"/>
      <protection hidden="1"/>
    </xf>
    <xf numFmtId="3" fontId="21" fillId="0" borderId="1" xfId="9" applyNumberFormat="1" applyFont="1" applyBorder="1" applyAlignment="1">
      <alignment horizontal="center" vertical="center" wrapText="1"/>
    </xf>
    <xf numFmtId="0" fontId="20" fillId="0" borderId="0" xfId="9" applyFont="1" applyAlignment="1">
      <alignment horizontal="center"/>
    </xf>
    <xf numFmtId="0" fontId="49" fillId="0" borderId="0" xfId="9" applyFont="1" applyAlignment="1">
      <alignment horizontal="center"/>
    </xf>
    <xf numFmtId="0" fontId="20" fillId="2" borderId="1" xfId="9" applyFont="1" applyFill="1" applyBorder="1" applyAlignment="1" applyProtection="1">
      <alignment horizontal="center" vertical="center" wrapText="1"/>
      <protection hidden="1"/>
    </xf>
    <xf numFmtId="3" fontId="21" fillId="0" borderId="4" xfId="9" applyNumberFormat="1" applyFont="1" applyBorder="1" applyAlignment="1">
      <alignment horizontal="center" vertical="center" wrapText="1"/>
    </xf>
    <xf numFmtId="3" fontId="21" fillId="0" borderId="5" xfId="9" applyNumberFormat="1" applyFont="1" applyBorder="1" applyAlignment="1">
      <alignment horizontal="center" vertical="center" wrapText="1"/>
    </xf>
    <xf numFmtId="3" fontId="21" fillId="0" borderId="9" xfId="9" applyNumberFormat="1" applyFont="1" applyBorder="1" applyAlignment="1">
      <alignment horizontal="center" vertical="center" wrapText="1"/>
    </xf>
    <xf numFmtId="0" fontId="20" fillId="2" borderId="2" xfId="9" applyFont="1" applyFill="1" applyBorder="1" applyAlignment="1" applyProtection="1">
      <alignment horizontal="center" vertical="center" wrapText="1"/>
      <protection hidden="1"/>
    </xf>
    <xf numFmtId="0" fontId="20" fillId="2" borderId="14" xfId="9" applyFont="1" applyFill="1" applyBorder="1" applyAlignment="1" applyProtection="1">
      <alignment horizontal="center" vertical="center" wrapText="1"/>
      <protection hidden="1"/>
    </xf>
    <xf numFmtId="0" fontId="20" fillId="2" borderId="3" xfId="9" applyFont="1" applyFill="1" applyBorder="1" applyAlignment="1" applyProtection="1">
      <alignment horizontal="center" vertical="center" wrapText="1"/>
      <protection hidden="1"/>
    </xf>
    <xf numFmtId="0" fontId="38" fillId="5" borderId="4" xfId="8" applyFont="1" applyFill="1" applyBorder="1" applyAlignment="1">
      <alignment horizontal="center" vertical="center" wrapText="1"/>
    </xf>
    <xf numFmtId="0" fontId="38" fillId="5" borderId="5" xfId="8" applyFont="1" applyFill="1" applyBorder="1" applyAlignment="1">
      <alignment horizontal="center" vertical="center" wrapText="1"/>
    </xf>
    <xf numFmtId="170" fontId="37" fillId="5" borderId="6" xfId="8" applyNumberFormat="1" applyFont="1" applyFill="1" applyBorder="1" applyAlignment="1">
      <alignment horizontal="right" vertical="center" wrapText="1"/>
    </xf>
    <xf numFmtId="0" fontId="1" fillId="0" borderId="4" xfId="4" applyFont="1" applyBorder="1" applyAlignment="1">
      <alignment horizontal="center" vertical="center" wrapText="1"/>
    </xf>
    <xf numFmtId="0" fontId="1" fillId="0" borderId="5" xfId="4" applyFont="1" applyBorder="1" applyAlignment="1">
      <alignment horizontal="center" vertical="center" wrapText="1"/>
    </xf>
    <xf numFmtId="170" fontId="39" fillId="5" borderId="4" xfId="8" applyNumberFormat="1" applyFont="1" applyFill="1" applyBorder="1" applyAlignment="1">
      <alignment horizontal="center" vertical="center" wrapText="1"/>
    </xf>
    <xf numFmtId="170" fontId="39" fillId="5" borderId="5" xfId="8" applyNumberFormat="1" applyFont="1" applyFill="1" applyBorder="1" applyAlignment="1">
      <alignment horizontal="center" vertical="center" wrapText="1"/>
    </xf>
    <xf numFmtId="170" fontId="40" fillId="5" borderId="2" xfId="8" applyNumberFormat="1" applyFont="1" applyFill="1" applyBorder="1" applyAlignment="1">
      <alignment horizontal="center" vertical="center" wrapText="1"/>
    </xf>
    <xf numFmtId="170" fontId="40" fillId="5" borderId="3" xfId="8" applyNumberFormat="1" applyFont="1" applyFill="1" applyBorder="1" applyAlignment="1">
      <alignment horizontal="center" vertical="center" wrapText="1"/>
    </xf>
    <xf numFmtId="0" fontId="38" fillId="5" borderId="1" xfId="8" applyFont="1" applyFill="1" applyBorder="1" applyAlignment="1">
      <alignment horizontal="center" vertical="center" wrapText="1"/>
    </xf>
    <xf numFmtId="0" fontId="17" fillId="0" borderId="1" xfId="0" applyFont="1" applyBorder="1" applyAlignment="1">
      <alignment horizontal="center" vertical="center"/>
    </xf>
    <xf numFmtId="169" fontId="36" fillId="5" borderId="0" xfId="1" applyNumberFormat="1" applyFont="1" applyFill="1" applyAlignment="1" applyProtection="1">
      <alignment horizontal="right" vertical="center"/>
    </xf>
    <xf numFmtId="169" fontId="23" fillId="0" borderId="0" xfId="1" applyNumberFormat="1" applyFont="1" applyBorder="1" applyAlignment="1">
      <alignment horizontal="center" vertical="center" wrapText="1"/>
    </xf>
    <xf numFmtId="0" fontId="6" fillId="5" borderId="0" xfId="0" applyFont="1" applyFill="1" applyAlignment="1">
      <alignment horizontal="center" vertical="center" wrapText="1"/>
    </xf>
    <xf numFmtId="0" fontId="4" fillId="0" borderId="0" xfId="0" applyFont="1" applyAlignment="1">
      <alignment horizontal="center" vertical="center"/>
    </xf>
    <xf numFmtId="169" fontId="32" fillId="0" borderId="0" xfId="1" applyNumberFormat="1" applyFont="1" applyBorder="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center"/>
    </xf>
    <xf numFmtId="0" fontId="32" fillId="2" borderId="0" xfId="0" applyFont="1" applyFill="1" applyAlignment="1">
      <alignment horizontal="center" vertical="center" wrapText="1"/>
    </xf>
    <xf numFmtId="0" fontId="52" fillId="2" borderId="6"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0" fillId="2" borderId="9" xfId="0" applyFill="1" applyBorder="1"/>
    <xf numFmtId="0" fontId="0" fillId="2" borderId="5" xfId="0" applyFill="1" applyBorder="1"/>
    <xf numFmtId="0" fontId="32" fillId="2" borderId="9"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53" fillId="2" borderId="4" xfId="0" applyFont="1" applyFill="1" applyBorder="1" applyAlignment="1">
      <alignment horizontal="center" vertical="center" wrapText="1"/>
    </xf>
    <xf numFmtId="0" fontId="53" fillId="2" borderId="9" xfId="0" applyFont="1" applyFill="1" applyBorder="1" applyAlignment="1">
      <alignment horizontal="center" vertical="center" wrapText="1"/>
    </xf>
    <xf numFmtId="0" fontId="53" fillId="2" borderId="5" xfId="0" applyFont="1" applyFill="1" applyBorder="1" applyAlignment="1">
      <alignment horizontal="center" vertical="center" wrapText="1"/>
    </xf>
    <xf numFmtId="0" fontId="32" fillId="2" borderId="2" xfId="10" applyNumberFormat="1" applyFont="1" applyFill="1" applyBorder="1" applyAlignment="1">
      <alignment horizontal="center" vertical="center" wrapText="1"/>
    </xf>
    <xf numFmtId="0" fontId="32" fillId="2" borderId="14" xfId="10" applyNumberFormat="1" applyFont="1" applyFill="1" applyBorder="1" applyAlignment="1">
      <alignment horizontal="center" vertical="center" wrapText="1"/>
    </xf>
    <xf numFmtId="0" fontId="32" fillId="2" borderId="3" xfId="10" applyNumberFormat="1" applyFont="1" applyFill="1" applyBorder="1" applyAlignment="1">
      <alignment horizontal="center" vertical="center" wrapText="1"/>
    </xf>
    <xf numFmtId="0" fontId="32" fillId="2" borderId="4" xfId="10" applyNumberFormat="1" applyFont="1" applyFill="1" applyBorder="1" applyAlignment="1">
      <alignment horizontal="center" vertical="center" wrapText="1"/>
    </xf>
    <xf numFmtId="0" fontId="32" fillId="2" borderId="9" xfId="10" applyNumberFormat="1" applyFont="1" applyFill="1" applyBorder="1" applyAlignment="1">
      <alignment horizontal="center" vertical="center" wrapText="1"/>
    </xf>
    <xf numFmtId="0" fontId="32" fillId="2" borderId="5" xfId="10" applyNumberFormat="1"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4"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4" xfId="0" applyFont="1" applyFill="1" applyBorder="1" applyAlignment="1">
      <alignment horizontal="left" vertical="center" wrapText="1"/>
    </xf>
    <xf numFmtId="0" fontId="23" fillId="2" borderId="5" xfId="0" applyFont="1" applyFill="1" applyBorder="1" applyAlignment="1">
      <alignment horizontal="left" vertical="center" wrapText="1"/>
    </xf>
    <xf numFmtId="3" fontId="32" fillId="2" borderId="4" xfId="10" applyNumberFormat="1" applyFont="1" applyFill="1" applyBorder="1" applyAlignment="1">
      <alignment horizontal="center" vertical="center" wrapText="1"/>
    </xf>
    <xf numFmtId="3" fontId="32" fillId="2" borderId="5" xfId="10" applyNumberFormat="1"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63" fillId="2" borderId="0" xfId="0" applyFont="1" applyFill="1" applyAlignment="1">
      <alignment horizontal="left" vertical="center" wrapText="1"/>
    </xf>
    <xf numFmtId="0" fontId="59" fillId="2" borderId="0" xfId="0" applyFont="1" applyFill="1" applyAlignment="1">
      <alignment horizontal="center"/>
    </xf>
    <xf numFmtId="0" fontId="60" fillId="2" borderId="0" xfId="0" applyFont="1" applyFill="1" applyAlignment="1">
      <alignment horizontal="left" vertical="center" wrapText="1"/>
    </xf>
    <xf numFmtId="0" fontId="61" fillId="2" borderId="0" xfId="0" applyFont="1" applyFill="1" applyAlignment="1">
      <alignment horizontal="center" vertical="center" wrapText="1"/>
    </xf>
    <xf numFmtId="0" fontId="61" fillId="2" borderId="0" xfId="0" applyFont="1" applyFill="1" applyAlignment="1">
      <alignment horizontal="left" vertical="center" wrapText="1"/>
    </xf>
    <xf numFmtId="0" fontId="63" fillId="4" borderId="0" xfId="0" applyFont="1" applyFill="1" applyAlignment="1">
      <alignment horizontal="left" vertical="center" wrapText="1"/>
    </xf>
    <xf numFmtId="0" fontId="67" fillId="2" borderId="2" xfId="0" applyFont="1" applyFill="1" applyBorder="1" applyAlignment="1">
      <alignment horizontal="center" vertical="center" wrapText="1"/>
    </xf>
    <xf numFmtId="0" fontId="67" fillId="2" borderId="3" xfId="0" applyFont="1" applyFill="1" applyBorder="1" applyAlignment="1">
      <alignment horizontal="center" vertical="center" wrapText="1"/>
    </xf>
    <xf numFmtId="0" fontId="5" fillId="2" borderId="6" xfId="0" applyFont="1" applyFill="1" applyBorder="1" applyAlignment="1">
      <alignment horizontal="center" vertical="center"/>
    </xf>
    <xf numFmtId="0" fontId="1" fillId="2"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6" xfId="0" applyFont="1" applyFill="1" applyBorder="1" applyAlignment="1">
      <alignment horizontal="center" vertical="center" wrapText="1"/>
    </xf>
    <xf numFmtId="166" fontId="2" fillId="0" borderId="1" xfId="1" applyNumberFormat="1" applyFont="1" applyFill="1" applyBorder="1" applyAlignment="1">
      <alignment horizontal="center" vertical="center" wrapText="1"/>
    </xf>
    <xf numFmtId="166" fontId="4" fillId="0" borderId="1"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70" fillId="0" borderId="12" xfId="0" applyFont="1" applyBorder="1" applyAlignment="1">
      <alignment horizontal="center" vertical="center" wrapText="1"/>
    </xf>
    <xf numFmtId="0" fontId="70" fillId="0" borderId="13" xfId="0" applyFont="1" applyBorder="1" applyAlignment="1">
      <alignment horizontal="center" vertical="center" wrapText="1"/>
    </xf>
    <xf numFmtId="0" fontId="70" fillId="0" borderId="11" xfId="0" applyFont="1" applyBorder="1" applyAlignment="1">
      <alignment horizontal="center" vertical="center" wrapText="1"/>
    </xf>
    <xf numFmtId="0" fontId="70" fillId="0" borderId="15"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16" xfId="0" applyFont="1" applyBorder="1" applyAlignment="1">
      <alignment horizontal="center" vertical="center" wrapText="1"/>
    </xf>
    <xf numFmtId="0" fontId="70" fillId="0" borderId="4" xfId="0" applyFont="1" applyBorder="1" applyAlignment="1">
      <alignment horizontal="center" vertical="center" wrapText="1"/>
    </xf>
    <xf numFmtId="0" fontId="70" fillId="0" borderId="5" xfId="0" applyFont="1" applyBorder="1" applyAlignment="1">
      <alignment horizontal="center" vertical="center" wrapText="1"/>
    </xf>
    <xf numFmtId="0" fontId="70" fillId="0" borderId="1" xfId="0" applyFont="1" applyBorder="1" applyAlignment="1">
      <alignment horizontal="center" vertical="center" wrapText="1"/>
    </xf>
    <xf numFmtId="0" fontId="1" fillId="0" borderId="0" xfId="0" applyFont="1" applyAlignment="1">
      <alignment horizontal="center" vertical="center"/>
    </xf>
    <xf numFmtId="0" fontId="5" fillId="0" borderId="6" xfId="0" applyFont="1" applyBorder="1" applyAlignment="1">
      <alignment horizontal="right"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6" xfId="0" applyFont="1" applyBorder="1" applyAlignment="1">
      <alignment horizontal="center" vertical="center" wrapText="1"/>
    </xf>
  </cellXfs>
  <cellStyles count="13">
    <cellStyle name="Comma" xfId="1" builtinId="3"/>
    <cellStyle name="Comma 2" xfId="12"/>
    <cellStyle name="Comma 3 2 2" xfId="11"/>
    <cellStyle name="Comma 4" xfId="6"/>
    <cellStyle name="Comma 5" xfId="10"/>
    <cellStyle name="Normal" xfId="0" builtinId="0"/>
    <cellStyle name="Normal 13" xfId="4"/>
    <cellStyle name="Normal 2" xfId="8"/>
    <cellStyle name="Normal 2 108" xfId="2"/>
    <cellStyle name="Normal 3" xfId="7"/>
    <cellStyle name="Normal 6" xfId="5"/>
    <cellStyle name="Normal_Sheet1" xfId="3"/>
    <cellStyle name="Normal_Sheet2" xfId="9"/>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1881189</xdr:colOff>
      <xdr:row>2</xdr:row>
      <xdr:rowOff>28573</xdr:rowOff>
    </xdr:from>
    <xdr:to>
      <xdr:col>2</xdr:col>
      <xdr:colOff>54770</xdr:colOff>
      <xdr:row>2</xdr:row>
      <xdr:rowOff>28574</xdr:rowOff>
    </xdr:to>
    <xdr:cxnSp macro="">
      <xdr:nvCxnSpPr>
        <xdr:cNvPr id="3" name="Straight Connector 2">
          <a:extLst>
            <a:ext uri="{FF2B5EF4-FFF2-40B4-BE49-F238E27FC236}">
              <a16:creationId xmlns:a16="http://schemas.microsoft.com/office/drawing/2014/main" xmlns="" id="{00000000-0008-0000-0100-000003000000}"/>
            </a:ext>
          </a:extLst>
        </xdr:cNvPr>
        <xdr:cNvCxnSpPr/>
      </xdr:nvCxnSpPr>
      <xdr:spPr>
        <a:xfrm>
          <a:off x="2300289" y="771523"/>
          <a:ext cx="1583531"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388620</xdr:colOff>
      <xdr:row>3</xdr:row>
      <xdr:rowOff>22860</xdr:rowOff>
    </xdr:from>
    <xdr:to>
      <xdr:col>19</xdr:col>
      <xdr:colOff>975360</xdr:colOff>
      <xdr:row>3</xdr:row>
      <xdr:rowOff>22860</xdr:rowOff>
    </xdr:to>
    <xdr:cxnSp macro="">
      <xdr:nvCxnSpPr>
        <xdr:cNvPr id="3" name="Straight Connector 2">
          <a:extLst>
            <a:ext uri="{FF2B5EF4-FFF2-40B4-BE49-F238E27FC236}">
              <a16:creationId xmlns:a16="http://schemas.microsoft.com/office/drawing/2014/main" xmlns="" id="{72172786-2015-FCB9-4BBD-FAA5E39DB9F1}"/>
            </a:ext>
          </a:extLst>
        </xdr:cNvPr>
        <xdr:cNvCxnSpPr/>
      </xdr:nvCxnSpPr>
      <xdr:spPr>
        <a:xfrm>
          <a:off x="4975860" y="944880"/>
          <a:ext cx="17526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289560</xdr:colOff>
      <xdr:row>3</xdr:row>
      <xdr:rowOff>38100</xdr:rowOff>
    </xdr:from>
    <xdr:to>
      <xdr:col>9</xdr:col>
      <xdr:colOff>708660</xdr:colOff>
      <xdr:row>3</xdr:row>
      <xdr:rowOff>38100</xdr:rowOff>
    </xdr:to>
    <xdr:cxnSp macro="">
      <xdr:nvCxnSpPr>
        <xdr:cNvPr id="3" name="Straight Connector 2">
          <a:extLst>
            <a:ext uri="{FF2B5EF4-FFF2-40B4-BE49-F238E27FC236}">
              <a16:creationId xmlns:a16="http://schemas.microsoft.com/office/drawing/2014/main" xmlns="" id="{488BE2A3-4F5B-8E51-F05A-C7E713D1CDBA}"/>
            </a:ext>
          </a:extLst>
        </xdr:cNvPr>
        <xdr:cNvCxnSpPr/>
      </xdr:nvCxnSpPr>
      <xdr:spPr>
        <a:xfrm>
          <a:off x="3749040" y="982980"/>
          <a:ext cx="166116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2103120</xdr:colOff>
      <xdr:row>3</xdr:row>
      <xdr:rowOff>38100</xdr:rowOff>
    </xdr:from>
    <xdr:to>
      <xdr:col>8</xdr:col>
      <xdr:colOff>327660</xdr:colOff>
      <xdr:row>3</xdr:row>
      <xdr:rowOff>38100</xdr:rowOff>
    </xdr:to>
    <xdr:cxnSp macro="">
      <xdr:nvCxnSpPr>
        <xdr:cNvPr id="3" name="Straight Connector 2">
          <a:extLst>
            <a:ext uri="{FF2B5EF4-FFF2-40B4-BE49-F238E27FC236}">
              <a16:creationId xmlns:a16="http://schemas.microsoft.com/office/drawing/2014/main" xmlns="" id="{2929654F-F727-940B-F28C-F5D8A5D34B77}"/>
            </a:ext>
          </a:extLst>
        </xdr:cNvPr>
        <xdr:cNvCxnSpPr/>
      </xdr:nvCxnSpPr>
      <xdr:spPr>
        <a:xfrm>
          <a:off x="2468880" y="876300"/>
          <a:ext cx="16840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2377440</xdr:colOff>
      <xdr:row>3</xdr:row>
      <xdr:rowOff>38100</xdr:rowOff>
    </xdr:from>
    <xdr:to>
      <xdr:col>8</xdr:col>
      <xdr:colOff>1112520</xdr:colOff>
      <xdr:row>3</xdr:row>
      <xdr:rowOff>38100</xdr:rowOff>
    </xdr:to>
    <xdr:cxnSp macro="">
      <xdr:nvCxnSpPr>
        <xdr:cNvPr id="3" name="Straight Connector 2">
          <a:extLst>
            <a:ext uri="{FF2B5EF4-FFF2-40B4-BE49-F238E27FC236}">
              <a16:creationId xmlns:a16="http://schemas.microsoft.com/office/drawing/2014/main" xmlns="" id="{1892996F-948B-8DDD-A105-F1084D1D4300}"/>
            </a:ext>
          </a:extLst>
        </xdr:cNvPr>
        <xdr:cNvCxnSpPr/>
      </xdr:nvCxnSpPr>
      <xdr:spPr>
        <a:xfrm>
          <a:off x="2857500" y="586740"/>
          <a:ext cx="15925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ARP\Desktop\Quy&#7871;t%20&#273;&#7883;nh%20ph&#226;n%20b&#7893;%202026\cHUY&#7874;N%20nGU&#7890;N%20PH&#194;N%20B&#7892;%20CH&#431;A%20CHI%20TI&#7870;T%202025%20SANG%202026\Ph&#226;n%20b&#7893;%20ch&#432;a%20chi%20ti&#787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QĐ"/>
      <sheetName val="Sheet1"/>
      <sheetName val="THEO doic các QĐ"/>
      <sheetName val="Biểu  theo QĐ 640 điểu chỉnh "/>
      <sheetName val="Nguồn Phân bổ "/>
      <sheetName val="Sheet2"/>
    </sheetNames>
    <sheetDataSet>
      <sheetData sheetId="0"/>
      <sheetData sheetId="1"/>
      <sheetData sheetId="2"/>
      <sheetData sheetId="3">
        <row r="19">
          <cell r="P19">
            <v>3691486728</v>
          </cell>
        </row>
      </sheetData>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0"/>
  <sheetViews>
    <sheetView topLeftCell="A103" workbookViewId="0">
      <selection activeCell="B122" sqref="B122"/>
    </sheetView>
  </sheetViews>
  <sheetFormatPr defaultRowHeight="14"/>
  <cols>
    <col min="1" max="1" width="5.58203125" style="11" customWidth="1"/>
    <col min="2" max="2" width="53" style="9" bestFit="1" customWidth="1"/>
    <col min="3" max="3" width="15.4140625" style="9" customWidth="1"/>
    <col min="4" max="4" width="15.08203125" style="9" customWidth="1"/>
    <col min="5" max="5" width="15.33203125" style="9" customWidth="1"/>
    <col min="6" max="6" width="15.08203125" style="9" customWidth="1"/>
    <col min="7" max="7" width="15" style="9" customWidth="1"/>
    <col min="8" max="8" width="19.58203125" style="9" bestFit="1" customWidth="1"/>
    <col min="9" max="9" width="17.9140625" style="9" customWidth="1"/>
    <col min="10" max="14" width="9.08203125" style="9"/>
  </cols>
  <sheetData>
    <row r="1" spans="1:14">
      <c r="A1" s="370" t="s">
        <v>13</v>
      </c>
      <c r="B1" s="370"/>
      <c r="C1" s="370"/>
      <c r="D1" s="370"/>
      <c r="E1" s="370"/>
      <c r="F1" s="370"/>
      <c r="G1" s="370"/>
    </row>
    <row r="2" spans="1:14">
      <c r="A2" s="368" t="s">
        <v>14</v>
      </c>
      <c r="B2" s="368"/>
      <c r="C2" s="368"/>
      <c r="D2" s="368"/>
      <c r="E2" s="368"/>
      <c r="F2" s="368"/>
      <c r="G2" s="368"/>
      <c r="H2" s="10"/>
      <c r="I2" s="10"/>
      <c r="J2" s="10"/>
      <c r="K2" s="10"/>
      <c r="L2" s="10"/>
      <c r="M2" s="10"/>
      <c r="N2" s="10"/>
    </row>
    <row r="3" spans="1:14">
      <c r="A3" s="368" t="s">
        <v>15</v>
      </c>
      <c r="B3" s="368"/>
      <c r="C3" s="368"/>
      <c r="D3" s="368"/>
      <c r="E3" s="368"/>
      <c r="F3" s="368"/>
      <c r="G3" s="368"/>
      <c r="H3" s="10"/>
      <c r="I3" s="10"/>
      <c r="J3" s="10"/>
      <c r="K3" s="10"/>
      <c r="L3" s="10"/>
      <c r="M3" s="10"/>
      <c r="N3" s="10"/>
    </row>
    <row r="4" spans="1:14">
      <c r="A4" s="368" t="s">
        <v>16</v>
      </c>
      <c r="B4" s="368"/>
      <c r="C4" s="368"/>
      <c r="D4" s="368"/>
      <c r="E4" s="368"/>
      <c r="F4" s="368"/>
      <c r="G4" s="368"/>
      <c r="H4" s="10"/>
      <c r="I4" s="10"/>
      <c r="J4" s="10"/>
      <c r="K4" s="10"/>
      <c r="L4" s="10"/>
      <c r="M4" s="10"/>
      <c r="N4" s="10"/>
    </row>
    <row r="5" spans="1:14">
      <c r="A5" s="368" t="str">
        <f>H5</f>
        <v>(Kèm theo Tờ trình số       /TTr-PKT ngày       /3/2026 của Phòng kinh tế xã Nậm Hàng)</v>
      </c>
      <c r="B5" s="368"/>
      <c r="C5" s="368"/>
      <c r="D5" s="368"/>
      <c r="E5" s="368"/>
      <c r="F5" s="368"/>
      <c r="G5" s="368"/>
      <c r="H5" s="368" t="s">
        <v>17</v>
      </c>
      <c r="I5" s="368"/>
      <c r="J5" s="368"/>
      <c r="K5" s="368"/>
      <c r="L5" s="368"/>
      <c r="M5" s="368"/>
      <c r="N5" s="368"/>
    </row>
    <row r="6" spans="1:14">
      <c r="A6" s="367" t="s">
        <v>18</v>
      </c>
      <c r="B6" s="367"/>
      <c r="C6" s="367"/>
      <c r="D6" s="367"/>
      <c r="E6" s="367"/>
      <c r="F6" s="367"/>
      <c r="G6" s="367"/>
      <c r="H6" s="368" t="s">
        <v>19</v>
      </c>
      <c r="I6" s="368"/>
      <c r="J6" s="368"/>
      <c r="K6" s="368"/>
      <c r="L6" s="368"/>
      <c r="M6" s="368"/>
      <c r="N6" s="368"/>
    </row>
    <row r="7" spans="1:14">
      <c r="A7" s="369" t="s">
        <v>0</v>
      </c>
      <c r="B7" s="369" t="s">
        <v>20</v>
      </c>
      <c r="C7" s="369" t="s">
        <v>21</v>
      </c>
      <c r="D7" s="369" t="s">
        <v>22</v>
      </c>
      <c r="E7" s="369" t="s">
        <v>23</v>
      </c>
      <c r="F7" s="369" t="s">
        <v>24</v>
      </c>
      <c r="G7" s="369" t="s">
        <v>3</v>
      </c>
      <c r="H7" s="11"/>
      <c r="I7" s="11"/>
      <c r="J7" s="11"/>
      <c r="K7" s="11"/>
      <c r="L7" s="11"/>
      <c r="M7" s="11"/>
      <c r="N7" s="11"/>
    </row>
    <row r="8" spans="1:14">
      <c r="A8" s="369"/>
      <c r="B8" s="369"/>
      <c r="C8" s="369"/>
      <c r="D8" s="369"/>
      <c r="E8" s="369"/>
      <c r="F8" s="369"/>
      <c r="G8" s="369"/>
      <c r="H8" s="11"/>
      <c r="I8" s="11"/>
      <c r="J8" s="11"/>
      <c r="K8" s="11"/>
      <c r="L8" s="11"/>
      <c r="M8" s="11"/>
      <c r="N8" s="11"/>
    </row>
    <row r="9" spans="1:14">
      <c r="A9" s="12" t="s">
        <v>25</v>
      </c>
      <c r="B9" s="12" t="s">
        <v>26</v>
      </c>
      <c r="C9" s="12">
        <v>1</v>
      </c>
      <c r="D9" s="12">
        <v>2</v>
      </c>
      <c r="E9" s="12">
        <v>3</v>
      </c>
      <c r="F9" s="12">
        <v>4</v>
      </c>
      <c r="G9" s="12">
        <v>5</v>
      </c>
      <c r="H9" s="11"/>
      <c r="I9" s="11"/>
      <c r="J9" s="11"/>
      <c r="K9" s="11"/>
      <c r="L9" s="11"/>
      <c r="M9" s="11"/>
      <c r="N9" s="11"/>
    </row>
    <row r="10" spans="1:14" ht="28">
      <c r="A10" s="8"/>
      <c r="B10" s="13" t="s">
        <v>27</v>
      </c>
      <c r="C10" s="14">
        <f>+C11+C23</f>
        <v>28448324136</v>
      </c>
      <c r="D10" s="14">
        <f>+D11+D23</f>
        <v>24873001226</v>
      </c>
      <c r="E10" s="14">
        <f>+E11+E23</f>
        <v>3575185910</v>
      </c>
      <c r="F10" s="14"/>
      <c r="G10" s="13"/>
      <c r="H10" s="15"/>
      <c r="I10" s="16"/>
      <c r="J10" s="15"/>
      <c r="K10" s="15"/>
      <c r="L10" s="15"/>
      <c r="M10" s="15"/>
      <c r="N10" s="15"/>
    </row>
    <row r="11" spans="1:14">
      <c r="A11" s="8" t="s">
        <v>25</v>
      </c>
      <c r="B11" s="13" t="s">
        <v>28</v>
      </c>
      <c r="C11" s="6">
        <f>+C13+C17+C19+C22+C14+C12</f>
        <v>560135563</v>
      </c>
      <c r="D11" s="6">
        <f>+D13+D17+D19+D22+D14+D12</f>
        <v>85000000</v>
      </c>
      <c r="E11" s="6">
        <f>+E13+E17+E19+E22+E14+E12</f>
        <v>475135563</v>
      </c>
      <c r="F11" s="14"/>
      <c r="G11" s="13"/>
      <c r="H11" s="15"/>
      <c r="I11" s="16"/>
      <c r="J11" s="15"/>
      <c r="K11" s="15"/>
      <c r="L11" s="15"/>
      <c r="M11" s="15"/>
      <c r="N11" s="15"/>
    </row>
    <row r="12" spans="1:14">
      <c r="A12" s="8"/>
      <c r="B12" s="15" t="s">
        <v>29</v>
      </c>
      <c r="C12" s="6"/>
      <c r="D12" s="14">
        <v>37000000</v>
      </c>
      <c r="E12" s="14">
        <f>C12-D12</f>
        <v>-37000000</v>
      </c>
      <c r="F12" s="14"/>
      <c r="G12" s="13"/>
      <c r="H12" s="15"/>
      <c r="I12" s="16"/>
      <c r="J12" s="15"/>
      <c r="K12" s="15"/>
      <c r="L12" s="15"/>
      <c r="M12" s="15"/>
      <c r="N12" s="15"/>
    </row>
    <row r="13" spans="1:14">
      <c r="A13" s="8">
        <v>1</v>
      </c>
      <c r="B13" s="17" t="s">
        <v>30</v>
      </c>
      <c r="C13" s="6">
        <v>201404977</v>
      </c>
      <c r="D13" s="14"/>
      <c r="E13" s="14">
        <f t="shared" ref="E13:E22" si="0">C13-D13</f>
        <v>201404977</v>
      </c>
      <c r="F13" s="14"/>
      <c r="G13" s="13"/>
      <c r="H13" s="15"/>
      <c r="I13" s="16"/>
      <c r="J13" s="15"/>
      <c r="K13" s="15"/>
      <c r="L13" s="15"/>
      <c r="M13" s="15"/>
      <c r="N13" s="15"/>
    </row>
    <row r="14" spans="1:14">
      <c r="A14" s="8">
        <v>2</v>
      </c>
      <c r="B14" s="17" t="s">
        <v>31</v>
      </c>
      <c r="C14" s="6">
        <f>+C15+C16</f>
        <v>53849000</v>
      </c>
      <c r="D14" s="14"/>
      <c r="E14" s="14">
        <f t="shared" si="0"/>
        <v>53849000</v>
      </c>
      <c r="F14" s="14"/>
      <c r="G14" s="13"/>
      <c r="H14" s="15"/>
      <c r="I14" s="16"/>
      <c r="J14" s="15"/>
      <c r="K14" s="15"/>
      <c r="L14" s="15"/>
      <c r="M14" s="15"/>
      <c r="N14" s="15"/>
    </row>
    <row r="15" spans="1:14">
      <c r="A15" s="8"/>
      <c r="B15" s="4" t="s">
        <v>32</v>
      </c>
      <c r="C15" s="18">
        <v>22050000</v>
      </c>
      <c r="D15" s="14"/>
      <c r="E15" s="14">
        <f t="shared" si="0"/>
        <v>22050000</v>
      </c>
      <c r="F15" s="14"/>
      <c r="G15" s="13"/>
      <c r="H15" s="15"/>
      <c r="I15" s="16"/>
      <c r="J15" s="15"/>
      <c r="K15" s="15"/>
      <c r="L15" s="15"/>
      <c r="M15" s="15"/>
      <c r="N15" s="15"/>
    </row>
    <row r="16" spans="1:14">
      <c r="A16" s="8"/>
      <c r="B16" s="4" t="s">
        <v>33</v>
      </c>
      <c r="C16" s="18">
        <v>31799000</v>
      </c>
      <c r="D16" s="14"/>
      <c r="E16" s="14">
        <f t="shared" si="0"/>
        <v>31799000</v>
      </c>
      <c r="F16" s="14"/>
      <c r="G16" s="13"/>
      <c r="H16" s="15"/>
      <c r="I16" s="16"/>
      <c r="J16" s="15"/>
      <c r="K16" s="15"/>
      <c r="L16" s="15"/>
      <c r="M16" s="15"/>
      <c r="N16" s="15"/>
    </row>
    <row r="17" spans="1:14">
      <c r="A17" s="8">
        <v>3</v>
      </c>
      <c r="B17" s="17" t="s">
        <v>34</v>
      </c>
      <c r="C17" s="6">
        <f>+C18</f>
        <v>5978421</v>
      </c>
      <c r="D17" s="14"/>
      <c r="E17" s="14">
        <f t="shared" si="0"/>
        <v>5978421</v>
      </c>
      <c r="F17" s="14"/>
      <c r="G17" s="13"/>
      <c r="H17" s="15"/>
      <c r="I17" s="16"/>
      <c r="J17" s="15"/>
      <c r="K17" s="15"/>
      <c r="L17" s="15"/>
      <c r="M17" s="15"/>
      <c r="N17" s="15"/>
    </row>
    <row r="18" spans="1:14">
      <c r="A18" s="8"/>
      <c r="B18" s="19" t="s">
        <v>35</v>
      </c>
      <c r="C18" s="7">
        <v>5978421</v>
      </c>
      <c r="D18" s="14"/>
      <c r="E18" s="14">
        <f t="shared" si="0"/>
        <v>5978421</v>
      </c>
      <c r="F18" s="14"/>
      <c r="G18" s="13"/>
      <c r="H18" s="15"/>
      <c r="I18" s="16"/>
      <c r="J18" s="15"/>
      <c r="K18" s="15"/>
      <c r="L18" s="15"/>
      <c r="M18" s="15"/>
      <c r="N18" s="15"/>
    </row>
    <row r="19" spans="1:14">
      <c r="A19" s="8">
        <v>4</v>
      </c>
      <c r="B19" s="13" t="s">
        <v>36</v>
      </c>
      <c r="C19" s="6">
        <f>+C20+C21</f>
        <v>250903165</v>
      </c>
      <c r="D19" s="14"/>
      <c r="E19" s="14">
        <f t="shared" si="0"/>
        <v>250903165</v>
      </c>
      <c r="F19" s="14"/>
      <c r="G19" s="13"/>
      <c r="H19" s="15"/>
      <c r="I19" s="16"/>
      <c r="J19" s="15"/>
      <c r="K19" s="15"/>
      <c r="L19" s="15"/>
      <c r="M19" s="15"/>
      <c r="N19" s="15"/>
    </row>
    <row r="20" spans="1:14">
      <c r="A20" s="8"/>
      <c r="B20" s="19" t="s">
        <v>37</v>
      </c>
      <c r="C20" s="7">
        <v>250753165</v>
      </c>
      <c r="D20" s="14"/>
      <c r="E20" s="14">
        <f t="shared" si="0"/>
        <v>250753165</v>
      </c>
      <c r="F20" s="14"/>
      <c r="G20" s="13"/>
      <c r="H20" s="15"/>
      <c r="I20" s="16"/>
      <c r="J20" s="15"/>
      <c r="K20" s="15"/>
      <c r="L20" s="15"/>
      <c r="M20" s="15"/>
      <c r="N20" s="15"/>
    </row>
    <row r="21" spans="1:14">
      <c r="A21" s="8"/>
      <c r="B21" s="19" t="s">
        <v>38</v>
      </c>
      <c r="C21" s="6">
        <v>150000</v>
      </c>
      <c r="D21" s="14"/>
      <c r="E21" s="14">
        <f t="shared" si="0"/>
        <v>150000</v>
      </c>
      <c r="F21" s="14"/>
      <c r="G21" s="13"/>
      <c r="H21" s="15"/>
      <c r="I21" s="16"/>
      <c r="J21" s="15"/>
      <c r="K21" s="15"/>
      <c r="L21" s="15"/>
      <c r="M21" s="15"/>
      <c r="N21" s="15"/>
    </row>
    <row r="22" spans="1:14" ht="140">
      <c r="A22" s="8">
        <v>5</v>
      </c>
      <c r="B22" s="17" t="s">
        <v>39</v>
      </c>
      <c r="C22" s="6">
        <v>48000000</v>
      </c>
      <c r="D22" s="14">
        <v>48000000</v>
      </c>
      <c r="E22" s="14">
        <f t="shared" si="0"/>
        <v>0</v>
      </c>
      <c r="F22" s="14"/>
      <c r="G22" s="13" t="s">
        <v>40</v>
      </c>
      <c r="H22" s="15"/>
      <c r="I22" s="16"/>
      <c r="J22" s="15"/>
      <c r="K22" s="15"/>
      <c r="L22" s="15"/>
      <c r="M22" s="15"/>
      <c r="N22" s="15"/>
    </row>
    <row r="23" spans="1:14">
      <c r="A23" s="8" t="s">
        <v>26</v>
      </c>
      <c r="B23" s="13" t="s">
        <v>41</v>
      </c>
      <c r="C23" s="14">
        <f>C24</f>
        <v>27888188573</v>
      </c>
      <c r="D23" s="14">
        <f>D24</f>
        <v>24788001226</v>
      </c>
      <c r="E23" s="14">
        <f>E24</f>
        <v>3100050347</v>
      </c>
      <c r="F23" s="14"/>
      <c r="G23" s="13"/>
      <c r="H23" s="15"/>
      <c r="I23" s="15"/>
      <c r="J23" s="15"/>
      <c r="K23" s="15"/>
      <c r="L23" s="15"/>
      <c r="M23" s="15"/>
      <c r="N23" s="15"/>
    </row>
    <row r="24" spans="1:14">
      <c r="A24" s="8" t="s">
        <v>42</v>
      </c>
      <c r="B24" s="13" t="s">
        <v>43</v>
      </c>
      <c r="C24" s="14">
        <f>+C25+C28</f>
        <v>27888188573</v>
      </c>
      <c r="D24" s="14">
        <f>+D25+D28</f>
        <v>24788001226</v>
      </c>
      <c r="E24" s="14">
        <f>+E25+E28</f>
        <v>3100050347</v>
      </c>
      <c r="F24" s="14"/>
      <c r="G24" s="13"/>
      <c r="H24" s="15"/>
      <c r="I24" s="16"/>
      <c r="J24" s="15"/>
      <c r="K24" s="15"/>
      <c r="L24" s="15"/>
      <c r="M24" s="15"/>
      <c r="N24" s="15"/>
    </row>
    <row r="25" spans="1:14">
      <c r="A25" s="8">
        <v>1</v>
      </c>
      <c r="B25" s="13" t="s">
        <v>44</v>
      </c>
      <c r="C25" s="14">
        <f t="shared" ref="C25:E26" si="1">+C26</f>
        <v>0</v>
      </c>
      <c r="D25" s="14">
        <f t="shared" si="1"/>
        <v>0</v>
      </c>
      <c r="E25" s="14">
        <f t="shared" si="1"/>
        <v>0</v>
      </c>
      <c r="F25" s="14"/>
      <c r="G25" s="13"/>
      <c r="H25" s="15"/>
      <c r="I25" s="16"/>
      <c r="J25" s="15"/>
      <c r="K25" s="15"/>
      <c r="L25" s="15"/>
      <c r="M25" s="15"/>
      <c r="N25" s="15"/>
    </row>
    <row r="26" spans="1:14">
      <c r="A26" s="12" t="s">
        <v>45</v>
      </c>
      <c r="B26" s="4" t="s">
        <v>46</v>
      </c>
      <c r="C26" s="20">
        <f t="shared" si="1"/>
        <v>0</v>
      </c>
      <c r="D26" s="20">
        <f t="shared" si="1"/>
        <v>0</v>
      </c>
      <c r="E26" s="20">
        <f t="shared" si="1"/>
        <v>0</v>
      </c>
      <c r="F26" s="20"/>
      <c r="G26" s="4"/>
    </row>
    <row r="27" spans="1:14" ht="28">
      <c r="A27" s="21" t="s">
        <v>4</v>
      </c>
      <c r="B27" s="22" t="s">
        <v>47</v>
      </c>
      <c r="C27" s="23">
        <v>0</v>
      </c>
      <c r="D27" s="23">
        <v>0</v>
      </c>
      <c r="E27" s="23">
        <f>C27-D27</f>
        <v>0</v>
      </c>
      <c r="F27" s="23"/>
      <c r="G27" s="22"/>
      <c r="H27" s="10"/>
      <c r="I27" s="10"/>
      <c r="J27" s="10"/>
      <c r="K27" s="10"/>
      <c r="L27" s="10"/>
      <c r="M27" s="10"/>
      <c r="N27" s="10"/>
    </row>
    <row r="28" spans="1:14">
      <c r="A28" s="8">
        <v>2</v>
      </c>
      <c r="B28" s="13" t="s">
        <v>48</v>
      </c>
      <c r="C28" s="14">
        <f>+C29+C36+C47+C50+C60+C63+C118</f>
        <v>27888188573</v>
      </c>
      <c r="D28" s="14">
        <f>+D29+D36+D47+D50+D60+D63+D118</f>
        <v>24788001226</v>
      </c>
      <c r="E28" s="14">
        <f>+E29+E36+E47+E50+E60+E63+E118</f>
        <v>3100050347</v>
      </c>
      <c r="F28" s="20"/>
      <c r="G28" s="4"/>
    </row>
    <row r="29" spans="1:14">
      <c r="A29" s="12"/>
      <c r="B29" s="24" t="s">
        <v>49</v>
      </c>
      <c r="C29" s="20">
        <f>+C30</f>
        <v>1855531731</v>
      </c>
      <c r="D29" s="20">
        <f>+D30</f>
        <v>1789730000</v>
      </c>
      <c r="E29" s="20">
        <f>+E30</f>
        <v>65801731</v>
      </c>
      <c r="F29" s="20"/>
      <c r="G29" s="4"/>
    </row>
    <row r="30" spans="1:14">
      <c r="A30" s="25"/>
      <c r="B30" s="26" t="s">
        <v>50</v>
      </c>
      <c r="C30" s="23">
        <f>+C31+C34</f>
        <v>1855531731</v>
      </c>
      <c r="D30" s="23">
        <f>+D31+D34</f>
        <v>1789730000</v>
      </c>
      <c r="E30" s="23">
        <f>+E31+E34</f>
        <v>65801731</v>
      </c>
      <c r="F30" s="23"/>
      <c r="G30" s="22"/>
      <c r="H30" s="10"/>
      <c r="I30" s="10"/>
      <c r="J30" s="10"/>
      <c r="K30" s="10"/>
      <c r="L30" s="10"/>
      <c r="M30" s="10"/>
      <c r="N30" s="10"/>
    </row>
    <row r="31" spans="1:14">
      <c r="A31" s="12"/>
      <c r="B31" s="27" t="s">
        <v>51</v>
      </c>
      <c r="C31" s="20">
        <f>+C32+C33</f>
        <v>1639531731</v>
      </c>
      <c r="D31" s="20">
        <f>+D32+D33</f>
        <v>1573730000</v>
      </c>
      <c r="E31" s="20">
        <f>+E32+E33</f>
        <v>65801731</v>
      </c>
      <c r="F31" s="20"/>
      <c r="G31" s="4"/>
    </row>
    <row r="32" spans="1:14" ht="21">
      <c r="A32" s="12"/>
      <c r="B32" s="28" t="s">
        <v>52</v>
      </c>
      <c r="C32" s="20">
        <v>1597531731</v>
      </c>
      <c r="D32" s="20">
        <v>1532030000</v>
      </c>
      <c r="E32" s="23">
        <f>C32-D32</f>
        <v>65501731</v>
      </c>
      <c r="F32" s="20"/>
      <c r="G32" s="4"/>
    </row>
    <row r="33" spans="1:14">
      <c r="A33" s="21"/>
      <c r="B33" s="29" t="s">
        <v>53</v>
      </c>
      <c r="C33" s="23">
        <v>42000000</v>
      </c>
      <c r="D33" s="23">
        <v>41700000</v>
      </c>
      <c r="E33" s="23">
        <f>C33-D33</f>
        <v>300000</v>
      </c>
      <c r="F33" s="23"/>
      <c r="G33" s="22"/>
      <c r="H33" s="10"/>
      <c r="I33" s="10"/>
      <c r="J33" s="10"/>
      <c r="K33" s="10"/>
      <c r="L33" s="10"/>
      <c r="M33" s="10"/>
      <c r="N33" s="10"/>
    </row>
    <row r="34" spans="1:14">
      <c r="A34" s="12"/>
      <c r="B34" s="30" t="s">
        <v>54</v>
      </c>
      <c r="C34" s="20">
        <f>+C35</f>
        <v>216000000</v>
      </c>
      <c r="D34" s="20">
        <f>+D35</f>
        <v>216000000</v>
      </c>
      <c r="E34" s="20">
        <f>+E35</f>
        <v>0</v>
      </c>
      <c r="F34" s="20"/>
      <c r="G34" s="4"/>
    </row>
    <row r="35" spans="1:14">
      <c r="A35" s="12"/>
      <c r="B35" s="31" t="s">
        <v>55</v>
      </c>
      <c r="C35" s="20">
        <v>216000000</v>
      </c>
      <c r="D35" s="32">
        <v>216000000</v>
      </c>
      <c r="E35" s="20">
        <f>C35-D35</f>
        <v>0</v>
      </c>
      <c r="F35" s="20"/>
      <c r="G35" s="4"/>
    </row>
    <row r="36" spans="1:14" ht="15">
      <c r="A36" s="12"/>
      <c r="B36" s="33" t="s">
        <v>56</v>
      </c>
      <c r="C36" s="34">
        <f>+C37+C42</f>
        <v>7026717415</v>
      </c>
      <c r="D36" s="34">
        <f>+D37+D42</f>
        <v>5786958211</v>
      </c>
      <c r="E36" s="34">
        <f>+E37+E42</f>
        <v>1239759204</v>
      </c>
      <c r="F36" s="34"/>
      <c r="G36" s="35"/>
    </row>
    <row r="37" spans="1:14">
      <c r="A37" s="12"/>
      <c r="B37" s="36" t="s">
        <v>57</v>
      </c>
      <c r="C37" s="20">
        <f>+C38</f>
        <v>5524221415</v>
      </c>
      <c r="D37" s="20">
        <f>+D38</f>
        <v>5411444738</v>
      </c>
      <c r="E37" s="20">
        <f>+E38</f>
        <v>112776677</v>
      </c>
      <c r="F37" s="20"/>
      <c r="G37" s="4"/>
    </row>
    <row r="38" spans="1:14">
      <c r="A38" s="12"/>
      <c r="B38" s="37" t="s">
        <v>58</v>
      </c>
      <c r="C38" s="23">
        <f>+C39+C40+C41</f>
        <v>5524221415</v>
      </c>
      <c r="D38" s="23">
        <f>+D39+D40+D41</f>
        <v>5411444738</v>
      </c>
      <c r="E38" s="23">
        <f>+E39+E40+E41</f>
        <v>112776677</v>
      </c>
      <c r="F38" s="20"/>
      <c r="G38" s="4"/>
    </row>
    <row r="39" spans="1:14">
      <c r="A39" s="12"/>
      <c r="B39" s="38" t="s">
        <v>59</v>
      </c>
      <c r="C39" s="20">
        <v>223685077</v>
      </c>
      <c r="D39" s="32">
        <v>223685000</v>
      </c>
      <c r="E39" s="20">
        <f>+C39-D39</f>
        <v>77</v>
      </c>
      <c r="F39" s="20"/>
      <c r="G39" s="4"/>
    </row>
    <row r="40" spans="1:14" ht="98">
      <c r="A40" s="12"/>
      <c r="B40" s="39" t="s">
        <v>60</v>
      </c>
      <c r="C40" s="20">
        <v>4425012738</v>
      </c>
      <c r="D40" s="32">
        <v>4416152738</v>
      </c>
      <c r="E40" s="20">
        <f>+C40-D40</f>
        <v>8860000</v>
      </c>
      <c r="F40" s="20"/>
      <c r="G40" s="4"/>
    </row>
    <row r="41" spans="1:14">
      <c r="A41" s="12"/>
      <c r="B41" s="40" t="s">
        <v>61</v>
      </c>
      <c r="C41" s="20">
        <v>875523600</v>
      </c>
      <c r="D41" s="32">
        <v>771607000</v>
      </c>
      <c r="E41" s="20">
        <f>+C41-D41</f>
        <v>103916600</v>
      </c>
      <c r="F41" s="20"/>
      <c r="G41" s="4"/>
    </row>
    <row r="42" spans="1:14" ht="15.5">
      <c r="A42" s="41"/>
      <c r="B42" s="42" t="s">
        <v>62</v>
      </c>
      <c r="C42" s="43">
        <f>+C43</f>
        <v>1502496000</v>
      </c>
      <c r="D42" s="43">
        <f>+D43</f>
        <v>375513473</v>
      </c>
      <c r="E42" s="43">
        <f>+E43</f>
        <v>1126982527</v>
      </c>
      <c r="F42" s="20"/>
      <c r="G42" s="20"/>
    </row>
    <row r="43" spans="1:14">
      <c r="A43" s="9"/>
      <c r="B43" s="44" t="s">
        <v>63</v>
      </c>
      <c r="C43" s="45">
        <f>+C44+C45+C46</f>
        <v>1502496000</v>
      </c>
      <c r="D43" s="45">
        <f>+D44+D45+D46</f>
        <v>375513473</v>
      </c>
      <c r="E43" s="45">
        <f>+E44+E45+E46</f>
        <v>1126982527</v>
      </c>
      <c r="F43" s="20"/>
      <c r="G43" s="20"/>
    </row>
    <row r="44" spans="1:14" ht="65">
      <c r="A44" s="12"/>
      <c r="B44" s="46" t="s">
        <v>64</v>
      </c>
      <c r="C44" s="20">
        <v>1111000000</v>
      </c>
      <c r="D44" s="47">
        <v>221512193</v>
      </c>
      <c r="E44" s="20">
        <f>C44-D44</f>
        <v>889487807</v>
      </c>
      <c r="F44" s="20"/>
      <c r="G44" s="4"/>
    </row>
    <row r="45" spans="1:14" ht="52">
      <c r="A45" s="12"/>
      <c r="B45" s="46" t="s">
        <v>65</v>
      </c>
      <c r="C45" s="20">
        <v>385000000</v>
      </c>
      <c r="D45" s="47">
        <v>150063960</v>
      </c>
      <c r="E45" s="20">
        <f>C45-D45</f>
        <v>234936040</v>
      </c>
      <c r="F45" s="20"/>
      <c r="G45" s="4"/>
    </row>
    <row r="46" spans="1:14">
      <c r="A46" s="12"/>
      <c r="B46" s="46" t="s">
        <v>66</v>
      </c>
      <c r="C46" s="20">
        <v>6496000</v>
      </c>
      <c r="D46" s="47">
        <v>3937320</v>
      </c>
      <c r="E46" s="20">
        <f>C46-D46</f>
        <v>2558680</v>
      </c>
      <c r="F46" s="20"/>
      <c r="G46" s="4"/>
    </row>
    <row r="47" spans="1:14">
      <c r="A47" s="12"/>
      <c r="B47" s="48" t="s">
        <v>67</v>
      </c>
      <c r="C47" s="34">
        <f>+C48+C49</f>
        <v>980137201</v>
      </c>
      <c r="D47" s="34">
        <f>+D48+D49</f>
        <v>830937249</v>
      </c>
      <c r="E47" s="34">
        <f>+E48+E49</f>
        <v>149199952</v>
      </c>
      <c r="F47" s="20"/>
      <c r="G47" s="4"/>
    </row>
    <row r="48" spans="1:14">
      <c r="A48" s="12"/>
      <c r="B48" s="49" t="s">
        <v>68</v>
      </c>
      <c r="C48" s="20">
        <v>83000000</v>
      </c>
      <c r="D48" s="32">
        <v>0</v>
      </c>
      <c r="E48" s="20">
        <f>+C48-D48</f>
        <v>83000000</v>
      </c>
      <c r="F48" s="20"/>
      <c r="G48" s="4"/>
    </row>
    <row r="49" spans="1:14">
      <c r="A49" s="12"/>
      <c r="B49" s="49" t="s">
        <v>69</v>
      </c>
      <c r="C49" s="50">
        <v>897137201</v>
      </c>
      <c r="D49" s="32">
        <v>830937249</v>
      </c>
      <c r="E49" s="20">
        <f>+C49-D49</f>
        <v>66199952</v>
      </c>
      <c r="F49" s="20"/>
      <c r="G49" s="4"/>
    </row>
    <row r="50" spans="1:14">
      <c r="A50" s="51"/>
      <c r="B50" s="52" t="s">
        <v>70</v>
      </c>
      <c r="C50" s="34">
        <f>SUM(C51:C59)</f>
        <v>2353071376</v>
      </c>
      <c r="D50" s="34">
        <f>SUM(D51:D59)</f>
        <v>2197421148</v>
      </c>
      <c r="E50" s="34">
        <f>SUM(E51:E59)</f>
        <v>155650228</v>
      </c>
      <c r="F50" s="34"/>
      <c r="G50" s="4"/>
    </row>
    <row r="51" spans="1:14">
      <c r="A51" s="12"/>
      <c r="B51" s="53" t="s">
        <v>71</v>
      </c>
      <c r="C51" s="20">
        <v>22000000</v>
      </c>
      <c r="D51" s="32">
        <v>0</v>
      </c>
      <c r="E51" s="20">
        <f>C51-D51</f>
        <v>22000000</v>
      </c>
      <c r="F51" s="20"/>
      <c r="G51" s="4"/>
    </row>
    <row r="52" spans="1:14">
      <c r="A52" s="12"/>
      <c r="B52" s="53" t="s">
        <v>72</v>
      </c>
      <c r="C52" s="20">
        <v>94800000</v>
      </c>
      <c r="D52" s="32">
        <v>94794000</v>
      </c>
      <c r="E52" s="20">
        <f t="shared" ref="E52:E59" si="2">C52-D52</f>
        <v>6000</v>
      </c>
      <c r="F52" s="20"/>
      <c r="G52" s="4"/>
    </row>
    <row r="53" spans="1:14">
      <c r="A53" s="12"/>
      <c r="B53" s="53" t="s">
        <v>69</v>
      </c>
      <c r="C53" s="20">
        <v>1835271376</v>
      </c>
      <c r="D53" s="32">
        <v>1823610610</v>
      </c>
      <c r="E53" s="20">
        <f t="shared" si="2"/>
        <v>11660766</v>
      </c>
      <c r="F53" s="20"/>
      <c r="G53" s="4"/>
    </row>
    <row r="54" spans="1:14">
      <c r="A54" s="12"/>
      <c r="B54" s="53" t="s">
        <v>73</v>
      </c>
      <c r="C54" s="20">
        <v>22500000</v>
      </c>
      <c r="D54" s="32">
        <v>9092000</v>
      </c>
      <c r="E54" s="20">
        <f t="shared" si="2"/>
        <v>13408000</v>
      </c>
      <c r="F54" s="20"/>
      <c r="G54" s="4"/>
    </row>
    <row r="55" spans="1:14">
      <c r="A55" s="12"/>
      <c r="B55" s="53" t="s">
        <v>74</v>
      </c>
      <c r="C55" s="20">
        <v>100000000</v>
      </c>
      <c r="D55" s="32">
        <v>32970238</v>
      </c>
      <c r="E55" s="20">
        <f t="shared" si="2"/>
        <v>67029762</v>
      </c>
      <c r="F55" s="20"/>
      <c r="G55" s="4"/>
    </row>
    <row r="56" spans="1:14">
      <c r="A56" s="12"/>
      <c r="B56" s="53" t="s">
        <v>75</v>
      </c>
      <c r="C56" s="20">
        <v>9000000</v>
      </c>
      <c r="D56" s="32">
        <v>9000000</v>
      </c>
      <c r="E56" s="20">
        <f t="shared" si="2"/>
        <v>0</v>
      </c>
      <c r="F56" s="20"/>
      <c r="G56" s="4"/>
    </row>
    <row r="57" spans="1:14">
      <c r="A57" s="12"/>
      <c r="B57" s="53" t="s">
        <v>76</v>
      </c>
      <c r="C57" s="20">
        <v>22500000</v>
      </c>
      <c r="D57" s="32">
        <v>0</v>
      </c>
      <c r="E57" s="20">
        <f t="shared" si="2"/>
        <v>22500000</v>
      </c>
      <c r="F57" s="20"/>
      <c r="G57" s="4"/>
    </row>
    <row r="58" spans="1:14">
      <c r="A58" s="12"/>
      <c r="B58" s="53" t="s">
        <v>77</v>
      </c>
      <c r="C58" s="20">
        <v>200000000</v>
      </c>
      <c r="D58" s="32">
        <v>199953000</v>
      </c>
      <c r="E58" s="20">
        <f t="shared" si="2"/>
        <v>47000</v>
      </c>
      <c r="F58" s="20"/>
      <c r="G58" s="4"/>
    </row>
    <row r="59" spans="1:14" ht="26">
      <c r="A59" s="12"/>
      <c r="B59" s="53" t="s">
        <v>78</v>
      </c>
      <c r="C59" s="20">
        <v>47000000</v>
      </c>
      <c r="D59" s="32">
        <v>28001300</v>
      </c>
      <c r="E59" s="20">
        <f t="shared" si="2"/>
        <v>18998700</v>
      </c>
      <c r="F59" s="20"/>
      <c r="G59" s="4"/>
    </row>
    <row r="60" spans="1:14">
      <c r="A60" s="51"/>
      <c r="B60" s="52" t="s">
        <v>79</v>
      </c>
      <c r="C60" s="34">
        <f>+C61+C62</f>
        <v>341713000</v>
      </c>
      <c r="D60" s="34">
        <f>+D61+D62</f>
        <v>280355000</v>
      </c>
      <c r="E60" s="34">
        <f>+E61+E62</f>
        <v>61358000</v>
      </c>
      <c r="F60" s="34"/>
      <c r="G60" s="35"/>
      <c r="H60" s="54"/>
      <c r="I60" s="54"/>
      <c r="J60" s="54"/>
      <c r="K60" s="54"/>
      <c r="L60" s="54"/>
      <c r="M60" s="54"/>
      <c r="N60" s="54"/>
    </row>
    <row r="61" spans="1:14">
      <c r="A61" s="12"/>
      <c r="B61" s="53" t="s">
        <v>80</v>
      </c>
      <c r="C61" s="20">
        <v>61000000</v>
      </c>
      <c r="D61" s="32"/>
      <c r="E61" s="20">
        <v>61000000</v>
      </c>
      <c r="F61" s="20"/>
      <c r="G61" s="4"/>
    </row>
    <row r="62" spans="1:14">
      <c r="A62" s="12"/>
      <c r="B62" s="53" t="s">
        <v>81</v>
      </c>
      <c r="C62" s="20">
        <v>280713000</v>
      </c>
      <c r="D62" s="32">
        <v>280355000</v>
      </c>
      <c r="E62" s="20">
        <f>C62-D62</f>
        <v>358000</v>
      </c>
      <c r="F62" s="20"/>
      <c r="G62" s="4"/>
    </row>
    <row r="63" spans="1:14" ht="15.5">
      <c r="A63" s="12"/>
      <c r="B63" s="55" t="s">
        <v>82</v>
      </c>
      <c r="C63" s="56">
        <f>+C64+C67+C73+C90+C92+C105</f>
        <v>13267944728</v>
      </c>
      <c r="D63" s="56">
        <f>+D64+D67+D73+D90+D92+D105</f>
        <v>12216722618</v>
      </c>
      <c r="E63" s="56">
        <f>+E64+E67+E73+E90+E92+E105</f>
        <v>1051085110</v>
      </c>
      <c r="F63" s="34">
        <f>+F64+F67+F73+F90</f>
        <v>0</v>
      </c>
      <c r="G63" s="34">
        <f>+G64+G67+G73+G90</f>
        <v>0</v>
      </c>
    </row>
    <row r="64" spans="1:14">
      <c r="A64" s="12"/>
      <c r="B64" s="57" t="s">
        <v>83</v>
      </c>
      <c r="C64" s="23">
        <f>+C65+C66</f>
        <v>150000000</v>
      </c>
      <c r="D64" s="23">
        <f>+D65+D66</f>
        <v>100745224</v>
      </c>
      <c r="E64" s="23">
        <f>+E65+E66</f>
        <v>49254776</v>
      </c>
      <c r="F64" s="20"/>
      <c r="G64" s="4"/>
    </row>
    <row r="65" spans="1:7" ht="26">
      <c r="A65" s="12"/>
      <c r="B65" s="49" t="s">
        <v>84</v>
      </c>
      <c r="C65" s="20">
        <v>100000000</v>
      </c>
      <c r="D65" s="32">
        <v>99945054</v>
      </c>
      <c r="E65" s="20">
        <f>C65-D65</f>
        <v>54946</v>
      </c>
      <c r="F65" s="20"/>
      <c r="G65" s="4"/>
    </row>
    <row r="66" spans="1:7">
      <c r="A66" s="12"/>
      <c r="B66" s="49" t="s">
        <v>85</v>
      </c>
      <c r="C66" s="20">
        <v>50000000</v>
      </c>
      <c r="D66" s="32">
        <v>800170</v>
      </c>
      <c r="E66" s="20">
        <f>C66-D66</f>
        <v>49199830</v>
      </c>
      <c r="F66" s="20"/>
      <c r="G66" s="4"/>
    </row>
    <row r="67" spans="1:7">
      <c r="A67" s="12"/>
      <c r="B67" s="57" t="s">
        <v>86</v>
      </c>
      <c r="C67" s="58">
        <f>SUM(C68:C72)</f>
        <v>2567987000</v>
      </c>
      <c r="D67" s="58">
        <f>SUM(D68:D72)</f>
        <v>2471062231</v>
      </c>
      <c r="E67" s="58">
        <f>SUM(E68:E72)</f>
        <v>96924769</v>
      </c>
      <c r="F67" s="20"/>
      <c r="G67" s="4"/>
    </row>
    <row r="68" spans="1:7">
      <c r="A68" s="12"/>
      <c r="B68" s="59" t="s">
        <v>87</v>
      </c>
      <c r="C68" s="20">
        <v>72000000</v>
      </c>
      <c r="D68" s="32">
        <v>69800000</v>
      </c>
      <c r="E68" s="20">
        <f>C68-D68</f>
        <v>2200000</v>
      </c>
      <c r="F68" s="20"/>
      <c r="G68" s="4"/>
    </row>
    <row r="69" spans="1:7" ht="26">
      <c r="A69" s="12"/>
      <c r="B69" s="53" t="s">
        <v>88</v>
      </c>
      <c r="C69" s="20">
        <v>50000000</v>
      </c>
      <c r="D69" s="32">
        <v>48000000</v>
      </c>
      <c r="E69" s="20">
        <f>C69-D69</f>
        <v>2000000</v>
      </c>
      <c r="F69" s="20"/>
      <c r="G69" s="4"/>
    </row>
    <row r="70" spans="1:7" ht="26">
      <c r="A70" s="12"/>
      <c r="B70" s="53" t="s">
        <v>89</v>
      </c>
      <c r="C70" s="20">
        <v>680000000</v>
      </c>
      <c r="D70" s="32">
        <v>670340000</v>
      </c>
      <c r="E70" s="20">
        <f>C70-D70</f>
        <v>9660000</v>
      </c>
      <c r="F70" s="20"/>
      <c r="G70" s="4"/>
    </row>
    <row r="71" spans="1:7" ht="21">
      <c r="A71" s="12"/>
      <c r="B71" s="60" t="s">
        <v>90</v>
      </c>
      <c r="C71" s="20">
        <v>285987000</v>
      </c>
      <c r="D71" s="32">
        <v>285421000</v>
      </c>
      <c r="E71" s="20">
        <f>C71-D71</f>
        <v>566000</v>
      </c>
      <c r="F71" s="20"/>
      <c r="G71" s="4"/>
    </row>
    <row r="72" spans="1:7">
      <c r="A72" s="12"/>
      <c r="B72" s="60" t="s">
        <v>91</v>
      </c>
      <c r="C72" s="20">
        <v>1480000000</v>
      </c>
      <c r="D72" s="32">
        <v>1397501231</v>
      </c>
      <c r="E72" s="20">
        <f>C72-D72</f>
        <v>82498769</v>
      </c>
      <c r="F72" s="20"/>
      <c r="G72" s="4"/>
    </row>
    <row r="73" spans="1:7">
      <c r="A73" s="12"/>
      <c r="B73" s="57" t="s">
        <v>92</v>
      </c>
      <c r="C73" s="61">
        <f>SUM(C74:C89)</f>
        <v>5461194851</v>
      </c>
      <c r="D73" s="61">
        <f>SUM(D74:D89)</f>
        <v>5089625065</v>
      </c>
      <c r="E73" s="61">
        <f>SUM(E74:E89)</f>
        <v>371569786</v>
      </c>
      <c r="F73" s="20"/>
      <c r="G73" s="4"/>
    </row>
    <row r="74" spans="1:7">
      <c r="A74" s="12"/>
      <c r="B74" s="53" t="s">
        <v>93</v>
      </c>
      <c r="C74" s="20">
        <v>91341626</v>
      </c>
      <c r="D74" s="32">
        <v>69431626</v>
      </c>
      <c r="E74" s="20">
        <f>C74-D74</f>
        <v>21910000</v>
      </c>
      <c r="F74" s="20"/>
      <c r="G74" s="4"/>
    </row>
    <row r="75" spans="1:7" ht="26">
      <c r="A75" s="12"/>
      <c r="B75" s="53" t="s">
        <v>94</v>
      </c>
      <c r="C75" s="20">
        <v>7000000</v>
      </c>
      <c r="D75" s="32">
        <v>0</v>
      </c>
      <c r="E75" s="20">
        <f t="shared" ref="E75:E89" si="3">C75-D75</f>
        <v>7000000</v>
      </c>
      <c r="F75" s="20"/>
      <c r="G75" s="4"/>
    </row>
    <row r="76" spans="1:7" ht="26">
      <c r="A76" s="12"/>
      <c r="B76" s="53" t="s">
        <v>78</v>
      </c>
      <c r="C76" s="20">
        <v>172874700</v>
      </c>
      <c r="D76" s="32">
        <v>104654470</v>
      </c>
      <c r="E76" s="20">
        <f t="shared" si="3"/>
        <v>68220230</v>
      </c>
      <c r="F76" s="20"/>
      <c r="G76" s="4"/>
    </row>
    <row r="77" spans="1:7">
      <c r="A77" s="12"/>
      <c r="B77" s="62" t="s">
        <v>95</v>
      </c>
      <c r="C77" s="20">
        <v>260664160</v>
      </c>
      <c r="D77" s="32">
        <v>240677428</v>
      </c>
      <c r="E77" s="20">
        <f t="shared" si="3"/>
        <v>19986732</v>
      </c>
      <c r="F77" s="20"/>
      <c r="G77" s="4"/>
    </row>
    <row r="78" spans="1:7" ht="65">
      <c r="A78" s="12"/>
      <c r="B78" s="53" t="s">
        <v>96</v>
      </c>
      <c r="C78" s="20">
        <v>2497655005</v>
      </c>
      <c r="D78" s="32">
        <v>2497647809</v>
      </c>
      <c r="E78" s="20">
        <f t="shared" si="3"/>
        <v>7196</v>
      </c>
      <c r="F78" s="20"/>
      <c r="G78" s="4"/>
    </row>
    <row r="79" spans="1:7" ht="26">
      <c r="A79" s="12"/>
      <c r="B79" s="53" t="s">
        <v>97</v>
      </c>
      <c r="C79" s="20">
        <v>786601056</v>
      </c>
      <c r="D79" s="32">
        <v>750406072</v>
      </c>
      <c r="E79" s="20">
        <f t="shared" si="3"/>
        <v>36194984</v>
      </c>
      <c r="F79" s="20"/>
      <c r="G79" s="4"/>
    </row>
    <row r="80" spans="1:7">
      <c r="A80" s="12"/>
      <c r="B80" s="53" t="s">
        <v>98</v>
      </c>
      <c r="C80" s="20">
        <v>80000000</v>
      </c>
      <c r="D80" s="32">
        <v>40000000</v>
      </c>
      <c r="E80" s="20">
        <f t="shared" si="3"/>
        <v>40000000</v>
      </c>
      <c r="F80" s="20"/>
      <c r="G80" s="4"/>
    </row>
    <row r="81" spans="1:9" ht="23">
      <c r="A81" s="12"/>
      <c r="B81" s="63" t="s">
        <v>99</v>
      </c>
      <c r="C81" s="20">
        <v>175200000</v>
      </c>
      <c r="D81" s="32">
        <v>18600000</v>
      </c>
      <c r="E81" s="20">
        <f t="shared" si="3"/>
        <v>156600000</v>
      </c>
      <c r="F81" s="20"/>
      <c r="G81" s="4"/>
    </row>
    <row r="82" spans="1:9">
      <c r="A82" s="12"/>
      <c r="B82" s="62" t="s">
        <v>100</v>
      </c>
      <c r="C82" s="20">
        <v>468234000</v>
      </c>
      <c r="D82" s="32">
        <v>459810000</v>
      </c>
      <c r="E82" s="20">
        <f t="shared" si="3"/>
        <v>8424000</v>
      </c>
      <c r="F82" s="20"/>
      <c r="G82" s="4"/>
    </row>
    <row r="83" spans="1:9">
      <c r="A83" s="12"/>
      <c r="B83" s="62" t="s">
        <v>101</v>
      </c>
      <c r="C83" s="20">
        <v>651558304</v>
      </c>
      <c r="D83" s="32">
        <v>641623304</v>
      </c>
      <c r="E83" s="20">
        <f t="shared" si="3"/>
        <v>9935000</v>
      </c>
      <c r="F83" s="20"/>
      <c r="G83" s="4"/>
    </row>
    <row r="84" spans="1:9" ht="23">
      <c r="A84" s="12"/>
      <c r="B84" s="62" t="s">
        <v>102</v>
      </c>
      <c r="C84" s="20">
        <v>8000000</v>
      </c>
      <c r="D84" s="32">
        <v>5520000</v>
      </c>
      <c r="E84" s="20">
        <f t="shared" si="3"/>
        <v>2480000</v>
      </c>
      <c r="F84" s="20"/>
      <c r="G84" s="4"/>
    </row>
    <row r="85" spans="1:9">
      <c r="A85" s="12"/>
      <c r="B85" s="62" t="s">
        <v>103</v>
      </c>
      <c r="C85" s="20">
        <v>40820000</v>
      </c>
      <c r="D85" s="32">
        <v>40590000</v>
      </c>
      <c r="E85" s="20">
        <f t="shared" si="3"/>
        <v>230000</v>
      </c>
      <c r="F85" s="20"/>
      <c r="G85" s="4"/>
    </row>
    <row r="86" spans="1:9">
      <c r="A86" s="12"/>
      <c r="B86" s="62" t="s">
        <v>104</v>
      </c>
      <c r="C86" s="20">
        <v>23500000</v>
      </c>
      <c r="D86" s="32">
        <v>23490000</v>
      </c>
      <c r="E86" s="20">
        <f t="shared" si="3"/>
        <v>10000</v>
      </c>
      <c r="F86" s="20"/>
      <c r="G86" s="4"/>
    </row>
    <row r="87" spans="1:9">
      <c r="A87" s="12"/>
      <c r="B87" s="62" t="s">
        <v>105</v>
      </c>
      <c r="C87" s="20">
        <v>47900000</v>
      </c>
      <c r="D87" s="32">
        <v>47427056</v>
      </c>
      <c r="E87" s="20">
        <f t="shared" si="3"/>
        <v>472944</v>
      </c>
      <c r="F87" s="20"/>
      <c r="G87" s="4"/>
    </row>
    <row r="88" spans="1:9">
      <c r="A88" s="12"/>
      <c r="B88" s="64" t="s">
        <v>106</v>
      </c>
      <c r="C88" s="20">
        <v>8200000</v>
      </c>
      <c r="D88" s="32">
        <v>8137500</v>
      </c>
      <c r="E88" s="20">
        <f t="shared" si="3"/>
        <v>62500</v>
      </c>
      <c r="F88" s="20"/>
      <c r="G88" s="4"/>
    </row>
    <row r="89" spans="1:9" ht="23">
      <c r="A89" s="12"/>
      <c r="B89" s="65" t="s">
        <v>107</v>
      </c>
      <c r="C89" s="20">
        <v>141646000</v>
      </c>
      <c r="D89" s="32">
        <v>141609800</v>
      </c>
      <c r="E89" s="20">
        <f t="shared" si="3"/>
        <v>36200</v>
      </c>
      <c r="F89" s="20"/>
      <c r="G89" s="4"/>
    </row>
    <row r="90" spans="1:9">
      <c r="A90" s="51"/>
      <c r="B90" s="66" t="s">
        <v>108</v>
      </c>
      <c r="C90" s="34">
        <f>+C91</f>
        <v>33855000</v>
      </c>
      <c r="D90" s="34">
        <f>+D91</f>
        <v>26370000</v>
      </c>
      <c r="E90" s="34">
        <f>+E91</f>
        <v>7485000</v>
      </c>
      <c r="F90" s="34"/>
      <c r="G90" s="35"/>
    </row>
    <row r="91" spans="1:9" ht="26">
      <c r="A91" s="12"/>
      <c r="B91" s="53" t="s">
        <v>109</v>
      </c>
      <c r="C91" s="20">
        <v>33855000</v>
      </c>
      <c r="D91" s="32">
        <v>26370000</v>
      </c>
      <c r="E91" s="20">
        <f>C91-D91</f>
        <v>7485000</v>
      </c>
      <c r="F91" s="20"/>
      <c r="G91" s="4"/>
    </row>
    <row r="92" spans="1:9">
      <c r="A92" s="12"/>
      <c r="B92" s="57" t="s">
        <v>110</v>
      </c>
      <c r="C92" s="67">
        <f>SUM(C93:C104)</f>
        <v>4388907877</v>
      </c>
      <c r="D92" s="67">
        <f>SUM(D93:D104)</f>
        <v>3899471638</v>
      </c>
      <c r="E92" s="67">
        <f>SUM(E93:E104)</f>
        <v>489299239</v>
      </c>
      <c r="F92" s="61"/>
      <c r="G92" s="68"/>
      <c r="H92" s="9">
        <v>489299239</v>
      </c>
      <c r="I92" s="69">
        <f>E92-H92</f>
        <v>0</v>
      </c>
    </row>
    <row r="93" spans="1:9" ht="26">
      <c r="A93" s="12"/>
      <c r="B93" s="49" t="s">
        <v>78</v>
      </c>
      <c r="C93" s="70">
        <v>439340177</v>
      </c>
      <c r="D93" s="70">
        <v>428829317</v>
      </c>
      <c r="E93" s="70">
        <f>C93-D93</f>
        <v>10510860</v>
      </c>
      <c r="F93" s="70"/>
      <c r="G93" s="71"/>
    </row>
    <row r="94" spans="1:9">
      <c r="A94" s="12"/>
      <c r="B94" s="72" t="s">
        <v>111</v>
      </c>
      <c r="C94" s="70">
        <v>245700000</v>
      </c>
      <c r="D94" s="70">
        <v>62900500</v>
      </c>
      <c r="E94" s="70">
        <f t="shared" ref="E94:E104" si="4">C94-D94</f>
        <v>182799500</v>
      </c>
      <c r="F94" s="70"/>
      <c r="G94" s="71"/>
    </row>
    <row r="95" spans="1:9" ht="39">
      <c r="A95" s="12"/>
      <c r="B95" s="73" t="s">
        <v>112</v>
      </c>
      <c r="C95" s="70">
        <v>1695919198</v>
      </c>
      <c r="D95" s="70">
        <v>1692122853</v>
      </c>
      <c r="E95" s="70">
        <f>C95-D95-137000</f>
        <v>3659345</v>
      </c>
      <c r="F95" s="70"/>
      <c r="G95" s="71"/>
    </row>
    <row r="96" spans="1:9">
      <c r="A96" s="12"/>
      <c r="B96" s="73" t="s">
        <v>113</v>
      </c>
      <c r="C96" s="70">
        <v>115116000</v>
      </c>
      <c r="D96" s="70">
        <v>102124212</v>
      </c>
      <c r="E96" s="70">
        <f t="shared" si="4"/>
        <v>12991788</v>
      </c>
      <c r="F96" s="70"/>
      <c r="G96" s="71"/>
    </row>
    <row r="97" spans="1:7">
      <c r="A97" s="12"/>
      <c r="B97" s="73" t="s">
        <v>114</v>
      </c>
      <c r="C97" s="70">
        <v>45750000</v>
      </c>
      <c r="D97" s="70">
        <v>45350000</v>
      </c>
      <c r="E97" s="70">
        <f t="shared" si="4"/>
        <v>400000</v>
      </c>
      <c r="F97" s="70"/>
      <c r="G97" s="71"/>
    </row>
    <row r="98" spans="1:7">
      <c r="A98" s="12"/>
      <c r="B98" s="73" t="s">
        <v>115</v>
      </c>
      <c r="C98" s="70">
        <v>46514000</v>
      </c>
      <c r="D98" s="70">
        <v>46374000</v>
      </c>
      <c r="E98" s="70">
        <f t="shared" si="4"/>
        <v>140000</v>
      </c>
      <c r="F98" s="70"/>
      <c r="G98" s="71"/>
    </row>
    <row r="99" spans="1:7" ht="39">
      <c r="A99" s="12"/>
      <c r="B99" s="73" t="s">
        <v>116</v>
      </c>
      <c r="C99" s="70">
        <v>33838000</v>
      </c>
      <c r="D99" s="70">
        <v>33780000</v>
      </c>
      <c r="E99" s="70">
        <f t="shared" si="4"/>
        <v>58000</v>
      </c>
      <c r="F99" s="70"/>
      <c r="G99" s="71"/>
    </row>
    <row r="100" spans="1:7">
      <c r="A100" s="12"/>
      <c r="B100" s="73" t="s">
        <v>117</v>
      </c>
      <c r="C100" s="70">
        <v>162412000</v>
      </c>
      <c r="D100" s="70">
        <v>156441600</v>
      </c>
      <c r="E100" s="70">
        <f t="shared" si="4"/>
        <v>5970400</v>
      </c>
      <c r="F100" s="70"/>
      <c r="G100" s="71"/>
    </row>
    <row r="101" spans="1:7">
      <c r="A101" s="12"/>
      <c r="B101" s="73" t="s">
        <v>118</v>
      </c>
      <c r="C101" s="70">
        <v>200077878</v>
      </c>
      <c r="D101" s="70">
        <v>199371324</v>
      </c>
      <c r="E101" s="70">
        <f t="shared" si="4"/>
        <v>706554</v>
      </c>
      <c r="F101" s="70"/>
      <c r="G101" s="71"/>
    </row>
    <row r="102" spans="1:7">
      <c r="A102" s="12"/>
      <c r="B102" s="73" t="s">
        <v>119</v>
      </c>
      <c r="C102" s="70">
        <v>36000000</v>
      </c>
      <c r="D102" s="70">
        <v>6000000</v>
      </c>
      <c r="E102" s="70">
        <f t="shared" si="4"/>
        <v>30000000</v>
      </c>
      <c r="F102" s="70"/>
      <c r="G102" s="71"/>
    </row>
    <row r="103" spans="1:7">
      <c r="A103" s="12"/>
      <c r="B103" s="73" t="s">
        <v>105</v>
      </c>
      <c r="C103" s="70">
        <v>1332240624</v>
      </c>
      <c r="D103" s="70">
        <v>1090777832</v>
      </c>
      <c r="E103" s="70">
        <f t="shared" si="4"/>
        <v>241462792</v>
      </c>
      <c r="F103" s="70"/>
      <c r="G103" s="71"/>
    </row>
    <row r="104" spans="1:7" ht="39">
      <c r="A104" s="12"/>
      <c r="B104" s="73" t="s">
        <v>120</v>
      </c>
      <c r="C104" s="70">
        <v>36000000</v>
      </c>
      <c r="D104" s="70">
        <v>35400000</v>
      </c>
      <c r="E104" s="70">
        <f t="shared" si="4"/>
        <v>600000</v>
      </c>
      <c r="F104" s="70"/>
      <c r="G104" s="71"/>
    </row>
    <row r="105" spans="1:7">
      <c r="A105" s="12"/>
      <c r="B105" s="57" t="s">
        <v>121</v>
      </c>
      <c r="C105" s="61">
        <f>SUM(C106:C117)</f>
        <v>666000000</v>
      </c>
      <c r="D105" s="61">
        <f>SUM(D106:D117)</f>
        <v>629448460</v>
      </c>
      <c r="E105" s="61">
        <f>SUM(E106:E117)</f>
        <v>36551540</v>
      </c>
      <c r="F105" s="20"/>
      <c r="G105" s="4"/>
    </row>
    <row r="106" spans="1:7">
      <c r="A106" s="12"/>
      <c r="B106" s="74" t="s">
        <v>122</v>
      </c>
      <c r="C106" s="20">
        <v>43000000</v>
      </c>
      <c r="D106" s="20">
        <v>42818250</v>
      </c>
      <c r="E106" s="20">
        <f>C106-D106</f>
        <v>181750</v>
      </c>
      <c r="F106" s="20"/>
      <c r="G106" s="4"/>
    </row>
    <row r="107" spans="1:7" ht="42">
      <c r="A107" s="12"/>
      <c r="B107" s="75" t="s">
        <v>123</v>
      </c>
      <c r="C107" s="20">
        <v>35000000</v>
      </c>
      <c r="D107" s="20">
        <v>34931000</v>
      </c>
      <c r="E107" s="20">
        <f t="shared" ref="E107:E117" si="5">C107-D107</f>
        <v>69000</v>
      </c>
      <c r="F107" s="20"/>
      <c r="G107" s="4"/>
    </row>
    <row r="108" spans="1:7" ht="28">
      <c r="A108" s="12"/>
      <c r="B108" s="76" t="s">
        <v>124</v>
      </c>
      <c r="C108" s="20">
        <v>20000000</v>
      </c>
      <c r="D108" s="20">
        <v>19958000</v>
      </c>
      <c r="E108" s="20">
        <f t="shared" si="5"/>
        <v>42000</v>
      </c>
      <c r="F108" s="20"/>
      <c r="G108" s="4"/>
    </row>
    <row r="109" spans="1:7" ht="42">
      <c r="A109" s="12"/>
      <c r="B109" s="76" t="s">
        <v>125</v>
      </c>
      <c r="C109" s="20">
        <v>92000000</v>
      </c>
      <c r="D109" s="20">
        <v>91000000</v>
      </c>
      <c r="E109" s="20">
        <f t="shared" si="5"/>
        <v>1000000</v>
      </c>
      <c r="F109" s="20"/>
      <c r="G109" s="4"/>
    </row>
    <row r="110" spans="1:7">
      <c r="A110" s="12"/>
      <c r="B110" s="76" t="s">
        <v>126</v>
      </c>
      <c r="C110" s="20">
        <v>10000000</v>
      </c>
      <c r="D110" s="20">
        <v>0</v>
      </c>
      <c r="E110" s="20">
        <f t="shared" si="5"/>
        <v>10000000</v>
      </c>
      <c r="F110" s="20"/>
      <c r="G110" s="4"/>
    </row>
    <row r="111" spans="1:7">
      <c r="A111" s="12"/>
      <c r="B111" s="76" t="s">
        <v>127</v>
      </c>
      <c r="C111" s="20">
        <v>25000000</v>
      </c>
      <c r="D111" s="20">
        <v>24982050</v>
      </c>
      <c r="E111" s="20">
        <f t="shared" si="5"/>
        <v>17950</v>
      </c>
      <c r="F111" s="20"/>
      <c r="G111" s="4"/>
    </row>
    <row r="112" spans="1:7">
      <c r="A112" s="12"/>
      <c r="B112" s="76" t="s">
        <v>128</v>
      </c>
      <c r="C112" s="20">
        <v>35000000</v>
      </c>
      <c r="D112" s="20">
        <v>34984000</v>
      </c>
      <c r="E112" s="20">
        <f t="shared" si="5"/>
        <v>16000</v>
      </c>
      <c r="F112" s="20"/>
      <c r="G112" s="4"/>
    </row>
    <row r="113" spans="1:14">
      <c r="A113" s="12"/>
      <c r="B113" s="76" t="s">
        <v>129</v>
      </c>
      <c r="C113" s="20">
        <v>68000000</v>
      </c>
      <c r="D113" s="20">
        <v>64317160</v>
      </c>
      <c r="E113" s="20">
        <f t="shared" si="5"/>
        <v>3682840</v>
      </c>
      <c r="F113" s="20"/>
      <c r="G113" s="4"/>
    </row>
    <row r="114" spans="1:14">
      <c r="A114" s="8"/>
      <c r="B114" s="4" t="s">
        <v>130</v>
      </c>
      <c r="C114" s="20">
        <v>15000000</v>
      </c>
      <c r="D114" s="20">
        <v>13460000</v>
      </c>
      <c r="E114" s="20">
        <f t="shared" si="5"/>
        <v>1540000</v>
      </c>
      <c r="F114" s="14"/>
      <c r="G114" s="13"/>
      <c r="H114" s="15"/>
      <c r="I114" s="15"/>
      <c r="J114" s="15"/>
      <c r="K114" s="15"/>
      <c r="L114" s="15"/>
      <c r="M114" s="15"/>
      <c r="N114" s="15"/>
    </row>
    <row r="115" spans="1:14">
      <c r="A115" s="12"/>
      <c r="B115" s="4" t="s">
        <v>131</v>
      </c>
      <c r="C115" s="20">
        <v>10000000</v>
      </c>
      <c r="D115" s="20">
        <v>0</v>
      </c>
      <c r="E115" s="20">
        <f t="shared" si="5"/>
        <v>10000000</v>
      </c>
      <c r="F115" s="20"/>
      <c r="G115" s="4"/>
    </row>
    <row r="116" spans="1:14">
      <c r="A116" s="12"/>
      <c r="B116" s="4" t="s">
        <v>132</v>
      </c>
      <c r="C116" s="20">
        <v>10000000</v>
      </c>
      <c r="D116" s="20">
        <v>0</v>
      </c>
      <c r="E116" s="20">
        <f t="shared" si="5"/>
        <v>10000000</v>
      </c>
      <c r="F116" s="20"/>
      <c r="G116" s="4"/>
    </row>
    <row r="117" spans="1:14" ht="28">
      <c r="A117" s="25"/>
      <c r="B117" s="4" t="s">
        <v>133</v>
      </c>
      <c r="C117" s="20">
        <v>303000000</v>
      </c>
      <c r="D117" s="20">
        <v>302998000</v>
      </c>
      <c r="E117" s="20">
        <f t="shared" si="5"/>
        <v>2000</v>
      </c>
      <c r="F117" s="23"/>
      <c r="G117" s="22"/>
      <c r="H117" s="10"/>
      <c r="I117" s="10"/>
      <c r="J117" s="10"/>
      <c r="K117" s="10"/>
      <c r="L117" s="10"/>
      <c r="M117" s="10"/>
      <c r="N117" s="10"/>
    </row>
    <row r="118" spans="1:14">
      <c r="A118" s="12"/>
      <c r="B118" s="77" t="s">
        <v>134</v>
      </c>
      <c r="C118" s="78">
        <f>+C119+C120+C121+C122</f>
        <v>2063073122</v>
      </c>
      <c r="D118" s="78">
        <f>+D119+D120+D121+D122</f>
        <v>1685877000</v>
      </c>
      <c r="E118" s="78">
        <f>+E119+E120+E121+E122</f>
        <v>377196122</v>
      </c>
      <c r="F118" s="34"/>
      <c r="G118" s="35"/>
    </row>
    <row r="119" spans="1:14" ht="28">
      <c r="A119" s="25"/>
      <c r="B119" s="79" t="s">
        <v>135</v>
      </c>
      <c r="C119" s="23">
        <v>1340151000</v>
      </c>
      <c r="D119" s="23">
        <v>1061151000</v>
      </c>
      <c r="E119" s="20">
        <f>C119-D119</f>
        <v>279000000</v>
      </c>
      <c r="F119" s="23"/>
      <c r="G119" s="22"/>
      <c r="H119" s="10"/>
      <c r="I119" s="10"/>
      <c r="J119" s="10"/>
      <c r="K119" s="10"/>
      <c r="L119" s="10"/>
      <c r="M119" s="10"/>
      <c r="N119" s="10"/>
    </row>
    <row r="120" spans="1:14" ht="28">
      <c r="A120" s="12"/>
      <c r="B120" s="4" t="s">
        <v>136</v>
      </c>
      <c r="C120" s="20">
        <v>50000000</v>
      </c>
      <c r="D120" s="20">
        <v>32157000</v>
      </c>
      <c r="E120" s="20">
        <f>C120-D120</f>
        <v>17843000</v>
      </c>
      <c r="F120" s="20"/>
      <c r="G120" s="4"/>
    </row>
    <row r="121" spans="1:14">
      <c r="A121" s="12"/>
      <c r="B121" s="4" t="s">
        <v>137</v>
      </c>
      <c r="C121" s="20">
        <v>572922122</v>
      </c>
      <c r="D121" s="20">
        <v>558059000</v>
      </c>
      <c r="E121" s="20">
        <f>C121-D121</f>
        <v>14863122</v>
      </c>
      <c r="F121" s="20"/>
      <c r="G121" s="4"/>
    </row>
    <row r="122" spans="1:14" ht="28">
      <c r="A122" s="12"/>
      <c r="B122" s="80" t="s">
        <v>138</v>
      </c>
      <c r="C122" s="20">
        <v>100000000</v>
      </c>
      <c r="D122" s="20">
        <v>34510000</v>
      </c>
      <c r="E122" s="20">
        <f>C122-D122</f>
        <v>65490000</v>
      </c>
      <c r="F122" s="20"/>
      <c r="G122" s="4"/>
    </row>
    <row r="123" spans="1:14" ht="28">
      <c r="A123" s="8"/>
      <c r="B123" s="13" t="s">
        <v>139</v>
      </c>
      <c r="C123" s="14">
        <f>C124+C127</f>
        <v>0</v>
      </c>
      <c r="D123" s="14">
        <f>D124+D127</f>
        <v>0</v>
      </c>
      <c r="E123" s="14">
        <f>E124+E127</f>
        <v>3575185910</v>
      </c>
      <c r="F123" s="14">
        <f>F124+F127</f>
        <v>3575185910</v>
      </c>
      <c r="G123" s="13"/>
      <c r="J123" s="15"/>
      <c r="K123" s="15"/>
      <c r="L123" s="15"/>
      <c r="M123" s="15"/>
      <c r="N123" s="15"/>
    </row>
    <row r="124" spans="1:14">
      <c r="A124" s="8" t="s">
        <v>25</v>
      </c>
      <c r="B124" s="13" t="s">
        <v>140</v>
      </c>
      <c r="C124" s="14">
        <f>C125+C126</f>
        <v>0</v>
      </c>
      <c r="D124" s="14">
        <f>D125+D126</f>
        <v>0</v>
      </c>
      <c r="E124" s="14">
        <f>E125+E126</f>
        <v>475135563</v>
      </c>
      <c r="F124" s="14">
        <f>F125+F126</f>
        <v>475135563</v>
      </c>
      <c r="G124" s="13"/>
      <c r="J124" s="15"/>
      <c r="K124" s="15"/>
      <c r="L124" s="15"/>
      <c r="M124" s="15"/>
      <c r="N124" s="15"/>
    </row>
    <row r="125" spans="1:14">
      <c r="A125" s="12" t="s">
        <v>42</v>
      </c>
      <c r="B125" s="4" t="s">
        <v>141</v>
      </c>
      <c r="C125" s="20"/>
      <c r="D125" s="20"/>
      <c r="E125" s="20">
        <f>E11*0.7</f>
        <v>332594894.09999996</v>
      </c>
      <c r="F125" s="20">
        <f>E125</f>
        <v>332594894.09999996</v>
      </c>
      <c r="G125" s="4"/>
    </row>
    <row r="126" spans="1:14" ht="28">
      <c r="A126" s="12" t="s">
        <v>142</v>
      </c>
      <c r="B126" s="4" t="s">
        <v>143</v>
      </c>
      <c r="C126" s="20"/>
      <c r="D126" s="20"/>
      <c r="E126" s="20">
        <f>E11*0.3</f>
        <v>142540668.90000001</v>
      </c>
      <c r="F126" s="20">
        <f>E126</f>
        <v>142540668.90000001</v>
      </c>
      <c r="G126" s="4"/>
    </row>
    <row r="127" spans="1:14">
      <c r="A127" s="8" t="s">
        <v>26</v>
      </c>
      <c r="B127" s="13" t="s">
        <v>144</v>
      </c>
      <c r="C127" s="14">
        <f>C128</f>
        <v>0</v>
      </c>
      <c r="D127" s="14">
        <f>D128</f>
        <v>0</v>
      </c>
      <c r="E127" s="14">
        <f>E128</f>
        <v>3100050347</v>
      </c>
      <c r="F127" s="14">
        <f>F128</f>
        <v>3100050347</v>
      </c>
      <c r="G127" s="13"/>
      <c r="J127" s="15"/>
      <c r="K127" s="15"/>
      <c r="L127" s="15"/>
      <c r="M127" s="15"/>
      <c r="N127" s="15"/>
    </row>
    <row r="128" spans="1:14" ht="28">
      <c r="A128" s="12" t="s">
        <v>42</v>
      </c>
      <c r="B128" s="4" t="s">
        <v>145</v>
      </c>
      <c r="C128" s="20"/>
      <c r="D128" s="20"/>
      <c r="E128" s="20">
        <f>E23</f>
        <v>3100050347</v>
      </c>
      <c r="F128" s="20">
        <f>E128</f>
        <v>3100050347</v>
      </c>
      <c r="G128" s="4"/>
    </row>
    <row r="129" spans="1:7" hidden="1">
      <c r="A129" s="12" t="s">
        <v>42</v>
      </c>
      <c r="B129" s="4" t="s">
        <v>141</v>
      </c>
      <c r="C129" s="4"/>
      <c r="D129" s="4"/>
      <c r="E129" s="81">
        <f>E128*0.7</f>
        <v>2170035242.9000001</v>
      </c>
      <c r="F129" s="81">
        <f>E129</f>
        <v>2170035242.9000001</v>
      </c>
      <c r="G129" s="4"/>
    </row>
    <row r="130" spans="1:7" ht="28" hidden="1">
      <c r="A130" s="12" t="s">
        <v>142</v>
      </c>
      <c r="B130" s="4" t="s">
        <v>146</v>
      </c>
      <c r="C130" s="4"/>
      <c r="D130" s="4"/>
      <c r="E130" s="81">
        <f>E128*0.3</f>
        <v>930015104.10000002</v>
      </c>
      <c r="F130" s="81">
        <f>E130</f>
        <v>930015104.10000002</v>
      </c>
      <c r="G130" s="4"/>
    </row>
  </sheetData>
  <mergeCells count="15">
    <mergeCell ref="H5:N5"/>
    <mergeCell ref="A1:G1"/>
    <mergeCell ref="A2:G2"/>
    <mergeCell ref="A3:G3"/>
    <mergeCell ref="A4:G4"/>
    <mergeCell ref="A5:G5"/>
    <mergeCell ref="A6:G6"/>
    <mergeCell ref="H6:N6"/>
    <mergeCell ref="A7:A8"/>
    <mergeCell ref="B7:B8"/>
    <mergeCell ref="C7:C8"/>
    <mergeCell ref="D7:D8"/>
    <mergeCell ref="E7:E8"/>
    <mergeCell ref="F7:F8"/>
    <mergeCell ref="G7:G8"/>
  </mergeCells>
  <conditionalFormatting sqref="B71">
    <cfRule type="duplicateValues" dxfId="1" priority="1"/>
  </conditionalFormatting>
  <conditionalFormatting sqref="B72">
    <cfRule type="duplicateValues" dxfId="0" priority="2"/>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
  <sheetViews>
    <sheetView view="pageLayout" zoomScaleNormal="100" workbookViewId="0">
      <selection activeCell="M41" sqref="M41"/>
    </sheetView>
  </sheetViews>
  <sheetFormatPr defaultRowHeight="14"/>
  <cols>
    <col min="1" max="1" width="7" style="5" customWidth="1"/>
    <col min="2" max="2" width="41.6640625" style="3" customWidth="1"/>
    <col min="3" max="3" width="15" style="3" hidden="1" customWidth="1"/>
    <col min="4" max="4" width="9.08203125" style="3" hidden="1" customWidth="1"/>
    <col min="5" max="5" width="6.6640625" style="3" hidden="1" customWidth="1"/>
    <col min="6" max="6" width="7.58203125" style="3" hidden="1" customWidth="1"/>
    <col min="7" max="7" width="7.33203125" style="3" hidden="1" customWidth="1"/>
    <col min="8" max="8" width="11.6640625" style="3" hidden="1" customWidth="1"/>
    <col min="9" max="9" width="19.6640625" style="3" customWidth="1"/>
    <col min="10" max="10" width="17.33203125" style="156" hidden="1" customWidth="1"/>
    <col min="11" max="11" width="16.58203125" style="156" hidden="1" customWidth="1"/>
    <col min="12" max="12" width="15.58203125" style="156" hidden="1" customWidth="1"/>
    <col min="13" max="13" width="16.33203125" style="3" customWidth="1"/>
    <col min="14" max="14" width="16.9140625" style="3" hidden="1" customWidth="1"/>
    <col min="15" max="15" width="12.4140625" style="3" hidden="1" customWidth="1"/>
    <col min="16" max="16" width="14.4140625" style="3" hidden="1" customWidth="1"/>
    <col min="17" max="17" width="12.33203125" style="3" hidden="1" customWidth="1"/>
    <col min="18" max="18" width="12" style="3" hidden="1" customWidth="1"/>
    <col min="19" max="19" width="18.08203125" style="3" hidden="1" customWidth="1"/>
    <col min="20" max="20" width="15.6640625" style="3" customWidth="1"/>
    <col min="21" max="21" width="18.4140625" style="3" customWidth="1"/>
    <col min="22" max="22" width="16.4140625" style="3" customWidth="1"/>
  </cols>
  <sheetData>
    <row r="1" spans="1:22">
      <c r="V1" s="350" t="s">
        <v>426</v>
      </c>
    </row>
    <row r="2" spans="1:22">
      <c r="A2" s="495" t="s">
        <v>392</v>
      </c>
      <c r="B2" s="495"/>
      <c r="C2" s="495"/>
      <c r="D2" s="495"/>
      <c r="E2" s="495"/>
      <c r="F2" s="495"/>
      <c r="G2" s="495"/>
      <c r="H2" s="495"/>
      <c r="I2" s="495"/>
      <c r="J2" s="495"/>
      <c r="K2" s="495"/>
      <c r="L2" s="495"/>
      <c r="M2" s="495"/>
      <c r="N2" s="495"/>
      <c r="O2" s="495"/>
      <c r="P2" s="495"/>
      <c r="Q2" s="495"/>
      <c r="R2" s="495"/>
      <c r="S2" s="495"/>
      <c r="T2" s="495"/>
      <c r="U2" s="495"/>
      <c r="V2" s="495"/>
    </row>
    <row r="3" spans="1:22">
      <c r="A3" s="429" t="str">
        <f>'03'!A3:T3</f>
        <v>(Kèm theo Nghị quyết số:        /NQ-HĐND ngày   tháng 8 năm 2026 của HĐND xã Nậm Hàng)</v>
      </c>
      <c r="B3" s="429"/>
      <c r="C3" s="429"/>
      <c r="D3" s="429"/>
      <c r="E3" s="429"/>
      <c r="F3" s="429"/>
      <c r="G3" s="429"/>
      <c r="H3" s="429"/>
      <c r="I3" s="429"/>
      <c r="J3" s="429"/>
      <c r="K3" s="429"/>
      <c r="L3" s="429"/>
      <c r="M3" s="429"/>
      <c r="N3" s="429"/>
      <c r="O3" s="429"/>
      <c r="P3" s="429"/>
      <c r="Q3" s="429"/>
      <c r="R3" s="429"/>
      <c r="S3" s="429"/>
      <c r="T3" s="429"/>
      <c r="U3" s="429"/>
      <c r="V3" s="429"/>
    </row>
    <row r="4" spans="1:22">
      <c r="A4" s="320"/>
      <c r="B4" s="320"/>
      <c r="C4" s="320"/>
      <c r="D4" s="320"/>
      <c r="E4" s="320"/>
      <c r="F4" s="320"/>
      <c r="G4" s="320"/>
      <c r="H4" s="320"/>
      <c r="I4" s="320"/>
      <c r="J4" s="321"/>
      <c r="K4" s="321"/>
      <c r="L4" s="321"/>
      <c r="M4" s="320"/>
      <c r="N4" s="320"/>
      <c r="O4" s="320"/>
      <c r="P4" s="320"/>
      <c r="Q4" s="320"/>
      <c r="R4" s="496" t="s">
        <v>6</v>
      </c>
      <c r="S4" s="496"/>
      <c r="T4" s="496"/>
      <c r="U4" s="496"/>
      <c r="V4" s="496"/>
    </row>
    <row r="5" spans="1:22" ht="15" customHeight="1">
      <c r="A5" s="481" t="s">
        <v>0</v>
      </c>
      <c r="B5" s="481" t="s">
        <v>1</v>
      </c>
      <c r="C5" s="480" t="s">
        <v>12</v>
      </c>
      <c r="D5" s="480" t="s">
        <v>7</v>
      </c>
      <c r="E5" s="480" t="s">
        <v>8</v>
      </c>
      <c r="F5" s="480" t="s">
        <v>9</v>
      </c>
      <c r="G5" s="480" t="s">
        <v>10</v>
      </c>
      <c r="H5" s="480" t="s">
        <v>11</v>
      </c>
      <c r="I5" s="481" t="s">
        <v>2</v>
      </c>
      <c r="J5" s="484" t="s">
        <v>393</v>
      </c>
      <c r="K5" s="485"/>
      <c r="L5" s="485"/>
      <c r="M5" s="485"/>
      <c r="N5" s="485"/>
      <c r="O5" s="485"/>
      <c r="P5" s="485"/>
      <c r="Q5" s="485"/>
      <c r="R5" s="485"/>
      <c r="S5" s="485"/>
      <c r="T5" s="485"/>
      <c r="U5" s="485"/>
      <c r="V5" s="481" t="s">
        <v>3</v>
      </c>
    </row>
    <row r="6" spans="1:22" ht="15" customHeight="1">
      <c r="A6" s="482"/>
      <c r="B6" s="482"/>
      <c r="C6" s="480"/>
      <c r="D6" s="480"/>
      <c r="E6" s="480"/>
      <c r="F6" s="480"/>
      <c r="G6" s="480"/>
      <c r="H6" s="480"/>
      <c r="I6" s="482"/>
      <c r="J6" s="322"/>
      <c r="K6" s="486" t="s">
        <v>394</v>
      </c>
      <c r="L6" s="487"/>
      <c r="M6" s="488"/>
      <c r="N6" s="351"/>
      <c r="O6" s="351"/>
      <c r="P6" s="351"/>
      <c r="Q6" s="351"/>
      <c r="R6" s="351"/>
      <c r="S6" s="352"/>
      <c r="T6" s="492" t="s">
        <v>395</v>
      </c>
      <c r="U6" s="494" t="s">
        <v>396</v>
      </c>
      <c r="V6" s="482"/>
    </row>
    <row r="7" spans="1:22" ht="36" customHeight="1">
      <c r="A7" s="483"/>
      <c r="B7" s="483"/>
      <c r="C7" s="480"/>
      <c r="D7" s="480"/>
      <c r="E7" s="480"/>
      <c r="F7" s="480"/>
      <c r="G7" s="480"/>
      <c r="H7" s="480"/>
      <c r="I7" s="483"/>
      <c r="J7" s="323" t="s">
        <v>379</v>
      </c>
      <c r="K7" s="489"/>
      <c r="L7" s="490"/>
      <c r="M7" s="491"/>
      <c r="N7" s="353"/>
      <c r="O7" s="353"/>
      <c r="P7" s="353"/>
      <c r="Q7" s="354"/>
      <c r="R7" s="354"/>
      <c r="S7" s="355"/>
      <c r="T7" s="493"/>
      <c r="U7" s="494"/>
      <c r="V7" s="483"/>
    </row>
    <row r="8" spans="1:22">
      <c r="A8" s="346" t="s">
        <v>42</v>
      </c>
      <c r="B8" s="347" t="s">
        <v>397</v>
      </c>
      <c r="C8" s="325"/>
      <c r="D8" s="325"/>
      <c r="E8" s="325"/>
      <c r="F8" s="325"/>
      <c r="G8" s="325"/>
      <c r="H8" s="325"/>
      <c r="I8" s="6">
        <f>+I9+I10</f>
        <v>3126540000</v>
      </c>
      <c r="J8" s="6">
        <f t="shared" ref="J8:U8" si="0">+J9+J10</f>
        <v>0</v>
      </c>
      <c r="K8" s="6">
        <f t="shared" si="0"/>
        <v>0</v>
      </c>
      <c r="L8" s="6">
        <f t="shared" si="0"/>
        <v>0</v>
      </c>
      <c r="M8" s="6">
        <f t="shared" si="0"/>
        <v>3081000000</v>
      </c>
      <c r="N8" s="6">
        <f t="shared" si="0"/>
        <v>0</v>
      </c>
      <c r="O8" s="6">
        <f t="shared" si="0"/>
        <v>0</v>
      </c>
      <c r="P8" s="6">
        <f t="shared" si="0"/>
        <v>0</v>
      </c>
      <c r="Q8" s="6">
        <f t="shared" si="0"/>
        <v>0</v>
      </c>
      <c r="R8" s="6">
        <f t="shared" si="0"/>
        <v>0</v>
      </c>
      <c r="S8" s="6">
        <f t="shared" si="0"/>
        <v>0</v>
      </c>
      <c r="T8" s="6">
        <f t="shared" si="0"/>
        <v>0</v>
      </c>
      <c r="U8" s="6">
        <f t="shared" si="0"/>
        <v>45540000</v>
      </c>
      <c r="V8" s="326"/>
    </row>
    <row r="9" spans="1:22">
      <c r="A9" s="346"/>
      <c r="B9" s="345" t="s">
        <v>398</v>
      </c>
      <c r="C9" s="325"/>
      <c r="D9" s="325"/>
      <c r="E9" s="325"/>
      <c r="F9" s="325"/>
      <c r="G9" s="325"/>
      <c r="H9" s="325"/>
      <c r="I9" s="327">
        <f t="shared" ref="I9:I34" si="1">+M9+U9</f>
        <v>45540000</v>
      </c>
      <c r="J9" s="328"/>
      <c r="K9" s="328"/>
      <c r="L9" s="328"/>
      <c r="M9" s="328">
        <v>0</v>
      </c>
      <c r="N9" s="328"/>
      <c r="O9" s="328"/>
      <c r="P9" s="328"/>
      <c r="Q9" s="328"/>
      <c r="R9" s="328"/>
      <c r="S9" s="328"/>
      <c r="T9" s="328"/>
      <c r="U9" s="328">
        <v>45540000</v>
      </c>
      <c r="V9" s="326"/>
    </row>
    <row r="10" spans="1:22">
      <c r="A10" s="348"/>
      <c r="B10" s="345" t="s">
        <v>399</v>
      </c>
      <c r="C10" s="325"/>
      <c r="D10" s="325"/>
      <c r="E10" s="325"/>
      <c r="F10" s="325"/>
      <c r="G10" s="325"/>
      <c r="H10" s="325"/>
      <c r="I10" s="327">
        <f t="shared" si="1"/>
        <v>3081000000</v>
      </c>
      <c r="J10" s="328"/>
      <c r="K10" s="328"/>
      <c r="L10" s="328"/>
      <c r="M10" s="328">
        <v>3081000000</v>
      </c>
      <c r="N10" s="328"/>
      <c r="O10" s="328"/>
      <c r="P10" s="328"/>
      <c r="Q10" s="328"/>
      <c r="R10" s="328"/>
      <c r="S10" s="328"/>
      <c r="T10" s="328"/>
      <c r="U10" s="328">
        <v>0</v>
      </c>
      <c r="V10" s="326"/>
    </row>
    <row r="11" spans="1:22">
      <c r="A11" s="346" t="s">
        <v>142</v>
      </c>
      <c r="B11" s="347" t="s">
        <v>400</v>
      </c>
      <c r="C11" s="325"/>
      <c r="D11" s="325"/>
      <c r="E11" s="325"/>
      <c r="F11" s="325"/>
      <c r="G11" s="325"/>
      <c r="H11" s="325"/>
      <c r="I11" s="6">
        <f>+I12+I13+I15+I17+I19+I27+I32</f>
        <v>1648449000</v>
      </c>
      <c r="J11" s="6">
        <f t="shared" ref="J11:S11" si="2">+J12+J13+J15+J17+J19+J27+J32</f>
        <v>0</v>
      </c>
      <c r="K11" s="6">
        <f t="shared" si="2"/>
        <v>0</v>
      </c>
      <c r="L11" s="6">
        <f t="shared" si="2"/>
        <v>0</v>
      </c>
      <c r="M11" s="6">
        <f t="shared" si="2"/>
        <v>1602909000</v>
      </c>
      <c r="N11" s="6">
        <f t="shared" si="2"/>
        <v>0</v>
      </c>
      <c r="O11" s="6">
        <f t="shared" si="2"/>
        <v>0</v>
      </c>
      <c r="P11" s="6">
        <f t="shared" si="2"/>
        <v>0</v>
      </c>
      <c r="Q11" s="6">
        <f t="shared" si="2"/>
        <v>0</v>
      </c>
      <c r="R11" s="6">
        <f t="shared" si="2"/>
        <v>0</v>
      </c>
      <c r="S11" s="6">
        <f t="shared" si="2"/>
        <v>0</v>
      </c>
      <c r="T11" s="6">
        <f t="shared" ref="T11:U11" si="3">+T12+T13</f>
        <v>0</v>
      </c>
      <c r="U11" s="6">
        <f t="shared" si="3"/>
        <v>45540000</v>
      </c>
      <c r="V11" s="326"/>
    </row>
    <row r="12" spans="1:22" hidden="1">
      <c r="A12" s="348"/>
      <c r="B12" s="329" t="s">
        <v>401</v>
      </c>
      <c r="C12" s="325"/>
      <c r="D12" s="325"/>
      <c r="E12" s="325"/>
      <c r="F12" s="325"/>
      <c r="G12" s="325"/>
      <c r="H12" s="325"/>
      <c r="I12" s="327">
        <f t="shared" si="1"/>
        <v>130000000</v>
      </c>
      <c r="J12" s="328"/>
      <c r="K12" s="328"/>
      <c r="L12" s="328"/>
      <c r="M12" s="328">
        <v>84460000</v>
      </c>
      <c r="N12" s="328"/>
      <c r="O12" s="328"/>
      <c r="P12" s="328"/>
      <c r="Q12" s="328"/>
      <c r="R12" s="328"/>
      <c r="S12" s="328"/>
      <c r="T12" s="328"/>
      <c r="U12" s="328">
        <v>45540000</v>
      </c>
      <c r="V12" s="326"/>
    </row>
    <row r="13" spans="1:22" ht="28" hidden="1">
      <c r="A13" s="346"/>
      <c r="B13" s="22" t="s">
        <v>402</v>
      </c>
      <c r="C13" s="325"/>
      <c r="D13" s="325"/>
      <c r="E13" s="325"/>
      <c r="F13" s="325"/>
      <c r="G13" s="325"/>
      <c r="H13" s="325"/>
      <c r="I13" s="327">
        <f t="shared" si="1"/>
        <v>103000000</v>
      </c>
      <c r="J13" s="328"/>
      <c r="K13" s="328"/>
      <c r="L13" s="328"/>
      <c r="M13" s="328">
        <v>103000000</v>
      </c>
      <c r="N13" s="328"/>
      <c r="O13" s="328"/>
      <c r="P13" s="328"/>
      <c r="Q13" s="328"/>
      <c r="R13" s="328"/>
      <c r="S13" s="328"/>
      <c r="T13" s="328"/>
      <c r="U13" s="328"/>
      <c r="V13" s="326"/>
    </row>
    <row r="14" spans="1:22" hidden="1">
      <c r="A14" s="325" t="s">
        <v>403</v>
      </c>
      <c r="B14" s="330" t="s">
        <v>404</v>
      </c>
      <c r="C14" s="325"/>
      <c r="D14" s="325"/>
      <c r="E14" s="325"/>
      <c r="F14" s="325"/>
      <c r="G14" s="325"/>
      <c r="H14" s="325"/>
      <c r="I14" s="6">
        <f>+I15+I17+I19+I27+I32</f>
        <v>1415449000</v>
      </c>
      <c r="J14" s="6">
        <f t="shared" ref="J14:U14" si="4">+J15+J17+J19+J27+J32</f>
        <v>0</v>
      </c>
      <c r="K14" s="6">
        <f t="shared" si="4"/>
        <v>0</v>
      </c>
      <c r="L14" s="6">
        <f t="shared" si="4"/>
        <v>0</v>
      </c>
      <c r="M14" s="6">
        <f t="shared" si="4"/>
        <v>1415449000</v>
      </c>
      <c r="N14" s="6">
        <f t="shared" si="4"/>
        <v>0</v>
      </c>
      <c r="O14" s="6">
        <f t="shared" si="4"/>
        <v>0</v>
      </c>
      <c r="P14" s="6">
        <f t="shared" si="4"/>
        <v>0</v>
      </c>
      <c r="Q14" s="6">
        <f t="shared" si="4"/>
        <v>0</v>
      </c>
      <c r="R14" s="6">
        <f t="shared" si="4"/>
        <v>0</v>
      </c>
      <c r="S14" s="6">
        <f t="shared" si="4"/>
        <v>0</v>
      </c>
      <c r="T14" s="6">
        <f t="shared" si="4"/>
        <v>0</v>
      </c>
      <c r="U14" s="6">
        <f t="shared" si="4"/>
        <v>0</v>
      </c>
      <c r="V14" s="326"/>
    </row>
    <row r="15" spans="1:22" hidden="1">
      <c r="A15" s="331" t="s">
        <v>4</v>
      </c>
      <c r="B15" s="330" t="s">
        <v>405</v>
      </c>
      <c r="C15" s="325"/>
      <c r="D15" s="325"/>
      <c r="E15" s="325"/>
      <c r="F15" s="325"/>
      <c r="G15" s="325"/>
      <c r="H15" s="325"/>
      <c r="I15" s="6">
        <f t="shared" si="1"/>
        <v>65244000</v>
      </c>
      <c r="J15" s="326"/>
      <c r="K15" s="326"/>
      <c r="L15" s="332"/>
      <c r="M15" s="332">
        <f t="shared" ref="M15:S15" si="5">+M16</f>
        <v>65244000</v>
      </c>
      <c r="N15" s="332">
        <f t="shared" si="5"/>
        <v>0</v>
      </c>
      <c r="O15" s="332">
        <f t="shared" si="5"/>
        <v>0</v>
      </c>
      <c r="P15" s="332">
        <f t="shared" si="5"/>
        <v>0</v>
      </c>
      <c r="Q15" s="332">
        <f t="shared" si="5"/>
        <v>0</v>
      </c>
      <c r="R15" s="332">
        <f t="shared" si="5"/>
        <v>0</v>
      </c>
      <c r="S15" s="332">
        <f t="shared" si="5"/>
        <v>0</v>
      </c>
      <c r="T15" s="332"/>
      <c r="U15" s="332"/>
      <c r="V15" s="333"/>
    </row>
    <row r="16" spans="1:22" hidden="1">
      <c r="A16" s="334" t="s">
        <v>406</v>
      </c>
      <c r="B16" s="329" t="s">
        <v>407</v>
      </c>
      <c r="C16" s="325"/>
      <c r="D16" s="325"/>
      <c r="E16" s="325"/>
      <c r="F16" s="325"/>
      <c r="G16" s="325"/>
      <c r="H16" s="325"/>
      <c r="I16" s="327">
        <f t="shared" si="1"/>
        <v>65244000</v>
      </c>
      <c r="J16" s="328"/>
      <c r="K16" s="328"/>
      <c r="L16" s="328"/>
      <c r="M16" s="328">
        <v>65244000</v>
      </c>
      <c r="N16" s="326"/>
      <c r="O16" s="326"/>
      <c r="P16" s="326"/>
      <c r="Q16" s="326"/>
      <c r="R16" s="326"/>
      <c r="S16" s="326"/>
      <c r="T16" s="326"/>
      <c r="U16" s="326"/>
      <c r="V16" s="326"/>
    </row>
    <row r="17" spans="1:22" ht="28" hidden="1">
      <c r="A17" s="334" t="s">
        <v>4</v>
      </c>
      <c r="B17" s="335" t="s">
        <v>408</v>
      </c>
      <c r="C17" s="325"/>
      <c r="D17" s="325"/>
      <c r="E17" s="325"/>
      <c r="F17" s="325"/>
      <c r="G17" s="325"/>
      <c r="H17" s="325"/>
      <c r="I17" s="6">
        <f>+I18</f>
        <v>170000000</v>
      </c>
      <c r="J17" s="6">
        <f t="shared" ref="J17:U17" si="6">+J18</f>
        <v>0</v>
      </c>
      <c r="K17" s="6">
        <f t="shared" si="6"/>
        <v>0</v>
      </c>
      <c r="L17" s="6">
        <f t="shared" si="6"/>
        <v>0</v>
      </c>
      <c r="M17" s="6">
        <f t="shared" si="6"/>
        <v>170000000</v>
      </c>
      <c r="N17" s="6">
        <f t="shared" si="6"/>
        <v>0</v>
      </c>
      <c r="O17" s="6">
        <f t="shared" si="6"/>
        <v>0</v>
      </c>
      <c r="P17" s="6">
        <f t="shared" si="6"/>
        <v>0</v>
      </c>
      <c r="Q17" s="6">
        <f t="shared" si="6"/>
        <v>0</v>
      </c>
      <c r="R17" s="6">
        <f t="shared" si="6"/>
        <v>0</v>
      </c>
      <c r="S17" s="6">
        <f t="shared" si="6"/>
        <v>0</v>
      </c>
      <c r="T17" s="6">
        <f t="shared" si="6"/>
        <v>0</v>
      </c>
      <c r="U17" s="6">
        <f t="shared" si="6"/>
        <v>0</v>
      </c>
      <c r="V17" s="326"/>
    </row>
    <row r="18" spans="1:22" hidden="1">
      <c r="A18" s="334" t="s">
        <v>406</v>
      </c>
      <c r="B18" s="329" t="s">
        <v>407</v>
      </c>
      <c r="C18" s="325"/>
      <c r="D18" s="325"/>
      <c r="E18" s="325"/>
      <c r="F18" s="325"/>
      <c r="G18" s="325"/>
      <c r="H18" s="325"/>
      <c r="I18" s="7">
        <f t="shared" ref="I18" si="7">+M18+U18</f>
        <v>170000000</v>
      </c>
      <c r="J18" s="336"/>
      <c r="K18" s="336"/>
      <c r="L18" s="328"/>
      <c r="M18" s="336">
        <v>170000000</v>
      </c>
      <c r="N18" s="326"/>
      <c r="O18" s="326"/>
      <c r="P18" s="326"/>
      <c r="Q18" s="326"/>
      <c r="R18" s="326"/>
      <c r="S18" s="326"/>
      <c r="T18" s="326"/>
      <c r="U18" s="326"/>
      <c r="V18" s="326"/>
    </row>
    <row r="19" spans="1:22" ht="28" hidden="1">
      <c r="A19" s="331" t="s">
        <v>4</v>
      </c>
      <c r="B19" s="335" t="s">
        <v>409</v>
      </c>
      <c r="C19" s="325"/>
      <c r="D19" s="325"/>
      <c r="E19" s="325"/>
      <c r="F19" s="325"/>
      <c r="G19" s="325"/>
      <c r="H19" s="325"/>
      <c r="I19" s="6">
        <f>+I20</f>
        <v>110000000</v>
      </c>
      <c r="J19" s="6">
        <f t="shared" ref="J19:U19" si="8">+J20</f>
        <v>0</v>
      </c>
      <c r="K19" s="6">
        <f t="shared" si="8"/>
        <v>0</v>
      </c>
      <c r="L19" s="6">
        <f t="shared" si="8"/>
        <v>0</v>
      </c>
      <c r="M19" s="6">
        <f t="shared" si="8"/>
        <v>110000000</v>
      </c>
      <c r="N19" s="6">
        <f t="shared" si="8"/>
        <v>0</v>
      </c>
      <c r="O19" s="6">
        <f t="shared" si="8"/>
        <v>0</v>
      </c>
      <c r="P19" s="6">
        <f t="shared" si="8"/>
        <v>0</v>
      </c>
      <c r="Q19" s="6">
        <f t="shared" si="8"/>
        <v>0</v>
      </c>
      <c r="R19" s="6">
        <f t="shared" si="8"/>
        <v>0</v>
      </c>
      <c r="S19" s="6">
        <f t="shared" si="8"/>
        <v>0</v>
      </c>
      <c r="T19" s="6">
        <f t="shared" si="8"/>
        <v>0</v>
      </c>
      <c r="U19" s="6">
        <f t="shared" si="8"/>
        <v>0</v>
      </c>
      <c r="V19" s="326"/>
    </row>
    <row r="20" spans="1:22" hidden="1">
      <c r="A20" s="334" t="s">
        <v>406</v>
      </c>
      <c r="B20" s="330" t="s">
        <v>174</v>
      </c>
      <c r="C20" s="325"/>
      <c r="D20" s="325"/>
      <c r="E20" s="325"/>
      <c r="F20" s="325"/>
      <c r="G20" s="325"/>
      <c r="H20" s="325"/>
      <c r="I20" s="6">
        <f t="shared" si="1"/>
        <v>110000000</v>
      </c>
      <c r="J20" s="326"/>
      <c r="K20" s="326"/>
      <c r="L20" s="326"/>
      <c r="M20" s="326">
        <f>M21+M22+M23+M24+M25+M26</f>
        <v>110000000</v>
      </c>
      <c r="N20" s="326"/>
      <c r="O20" s="326"/>
      <c r="P20" s="326"/>
      <c r="Q20" s="326"/>
      <c r="R20" s="326"/>
      <c r="S20" s="326"/>
      <c r="T20" s="326"/>
      <c r="U20" s="326"/>
      <c r="V20" s="326"/>
    </row>
    <row r="21" spans="1:22" ht="15" hidden="1" customHeight="1">
      <c r="A21" s="334"/>
      <c r="B21" s="329" t="s">
        <v>410</v>
      </c>
      <c r="C21" s="325"/>
      <c r="D21" s="325"/>
      <c r="E21" s="325"/>
      <c r="F21" s="325"/>
      <c r="G21" s="325"/>
      <c r="H21" s="325"/>
      <c r="I21" s="7">
        <f>+M21+U21</f>
        <v>10000000</v>
      </c>
      <c r="J21" s="336"/>
      <c r="K21" s="336"/>
      <c r="L21" s="328"/>
      <c r="M21" s="336">
        <v>10000000</v>
      </c>
      <c r="N21" s="326"/>
      <c r="O21" s="326"/>
      <c r="P21" s="326"/>
      <c r="Q21" s="326"/>
      <c r="R21" s="326"/>
      <c r="S21" s="326"/>
      <c r="T21" s="326"/>
      <c r="U21" s="326"/>
      <c r="V21" s="478"/>
    </row>
    <row r="22" spans="1:22" hidden="1">
      <c r="A22" s="334"/>
      <c r="B22" s="329" t="s">
        <v>411</v>
      </c>
      <c r="C22" s="325"/>
      <c r="D22" s="325"/>
      <c r="E22" s="325"/>
      <c r="F22" s="325"/>
      <c r="G22" s="325"/>
      <c r="H22" s="325"/>
      <c r="I22" s="7">
        <f t="shared" ref="I22:I26" si="9">+M22+U22</f>
        <v>10000000</v>
      </c>
      <c r="J22" s="336"/>
      <c r="K22" s="336"/>
      <c r="L22" s="328"/>
      <c r="M22" s="336">
        <v>10000000</v>
      </c>
      <c r="N22" s="326"/>
      <c r="O22" s="326"/>
      <c r="P22" s="326"/>
      <c r="Q22" s="326"/>
      <c r="R22" s="326"/>
      <c r="S22" s="326"/>
      <c r="T22" s="326"/>
      <c r="U22" s="326"/>
      <c r="V22" s="478"/>
    </row>
    <row r="23" spans="1:22" hidden="1">
      <c r="A23" s="334"/>
      <c r="B23" s="329" t="s">
        <v>412</v>
      </c>
      <c r="C23" s="325"/>
      <c r="D23" s="325"/>
      <c r="E23" s="325"/>
      <c r="F23" s="325"/>
      <c r="G23" s="325"/>
      <c r="H23" s="325"/>
      <c r="I23" s="7">
        <f t="shared" si="9"/>
        <v>10000000</v>
      </c>
      <c r="J23" s="336"/>
      <c r="K23" s="336"/>
      <c r="L23" s="328"/>
      <c r="M23" s="336">
        <v>10000000</v>
      </c>
      <c r="N23" s="326"/>
      <c r="O23" s="326"/>
      <c r="P23" s="326"/>
      <c r="Q23" s="326"/>
      <c r="R23" s="326"/>
      <c r="S23" s="326"/>
      <c r="T23" s="326"/>
      <c r="U23" s="326"/>
      <c r="V23" s="478"/>
    </row>
    <row r="24" spans="1:22" hidden="1">
      <c r="A24" s="334"/>
      <c r="B24" s="329" t="s">
        <v>413</v>
      </c>
      <c r="C24" s="325"/>
      <c r="D24" s="325"/>
      <c r="E24" s="325"/>
      <c r="F24" s="325"/>
      <c r="G24" s="325"/>
      <c r="H24" s="325"/>
      <c r="I24" s="7">
        <f t="shared" si="9"/>
        <v>40000000</v>
      </c>
      <c r="J24" s="336"/>
      <c r="K24" s="336"/>
      <c r="L24" s="328"/>
      <c r="M24" s="336">
        <v>40000000</v>
      </c>
      <c r="N24" s="326"/>
      <c r="O24" s="326"/>
      <c r="P24" s="326"/>
      <c r="Q24" s="326"/>
      <c r="R24" s="326"/>
      <c r="S24" s="326"/>
      <c r="T24" s="326"/>
      <c r="U24" s="326"/>
      <c r="V24" s="337"/>
    </row>
    <row r="25" spans="1:22" ht="15" hidden="1" customHeight="1">
      <c r="A25" s="334"/>
      <c r="B25" s="329" t="s">
        <v>414</v>
      </c>
      <c r="C25" s="325"/>
      <c r="D25" s="325"/>
      <c r="E25" s="325"/>
      <c r="F25" s="325"/>
      <c r="G25" s="325"/>
      <c r="H25" s="325"/>
      <c r="I25" s="7">
        <f t="shared" si="9"/>
        <v>20000000</v>
      </c>
      <c r="J25" s="336"/>
      <c r="K25" s="336"/>
      <c r="L25" s="328"/>
      <c r="M25" s="336">
        <v>20000000</v>
      </c>
      <c r="N25" s="326"/>
      <c r="O25" s="326"/>
      <c r="P25" s="326"/>
      <c r="Q25" s="326"/>
      <c r="R25" s="326"/>
      <c r="S25" s="326"/>
      <c r="T25" s="326"/>
      <c r="U25" s="326"/>
      <c r="V25" s="479"/>
    </row>
    <row r="26" spans="1:22" hidden="1">
      <c r="A26" s="334"/>
      <c r="B26" s="329" t="s">
        <v>415</v>
      </c>
      <c r="C26" s="325"/>
      <c r="D26" s="325"/>
      <c r="E26" s="325"/>
      <c r="F26" s="325"/>
      <c r="G26" s="325"/>
      <c r="H26" s="325"/>
      <c r="I26" s="7">
        <f t="shared" si="9"/>
        <v>20000000</v>
      </c>
      <c r="J26" s="336"/>
      <c r="K26" s="336"/>
      <c r="L26" s="328"/>
      <c r="M26" s="336">
        <v>20000000</v>
      </c>
      <c r="N26" s="326"/>
      <c r="O26" s="326"/>
      <c r="P26" s="326"/>
      <c r="Q26" s="326"/>
      <c r="R26" s="326"/>
      <c r="S26" s="326"/>
      <c r="T26" s="326"/>
      <c r="U26" s="326"/>
      <c r="V26" s="479"/>
    </row>
    <row r="27" spans="1:22" hidden="1">
      <c r="A27" s="334" t="s">
        <v>4</v>
      </c>
      <c r="B27" s="330" t="s">
        <v>416</v>
      </c>
      <c r="C27" s="325"/>
      <c r="D27" s="325"/>
      <c r="E27" s="325"/>
      <c r="F27" s="325"/>
      <c r="G27" s="325"/>
      <c r="H27" s="325"/>
      <c r="I27" s="6">
        <f>+M27+U27</f>
        <v>210205000</v>
      </c>
      <c r="J27" s="6">
        <f t="shared" ref="J27:U27" si="10">+J28+J29+J30+J31</f>
        <v>0</v>
      </c>
      <c r="K27" s="6">
        <f t="shared" si="10"/>
        <v>0</v>
      </c>
      <c r="L27" s="6">
        <f t="shared" si="10"/>
        <v>0</v>
      </c>
      <c r="M27" s="6">
        <f>+M28+M29+M30+M31</f>
        <v>210205000</v>
      </c>
      <c r="N27" s="6">
        <f t="shared" si="10"/>
        <v>0</v>
      </c>
      <c r="O27" s="6">
        <f t="shared" si="10"/>
        <v>0</v>
      </c>
      <c r="P27" s="6">
        <f t="shared" si="10"/>
        <v>0</v>
      </c>
      <c r="Q27" s="6">
        <f t="shared" si="10"/>
        <v>0</v>
      </c>
      <c r="R27" s="6">
        <f t="shared" si="10"/>
        <v>0</v>
      </c>
      <c r="S27" s="6">
        <f t="shared" si="10"/>
        <v>0</v>
      </c>
      <c r="T27" s="6">
        <f t="shared" si="10"/>
        <v>0</v>
      </c>
      <c r="U27" s="6">
        <f t="shared" si="10"/>
        <v>0</v>
      </c>
      <c r="V27" s="6"/>
    </row>
    <row r="28" spans="1:22" hidden="1">
      <c r="A28" s="334" t="s">
        <v>406</v>
      </c>
      <c r="B28" s="329" t="s">
        <v>401</v>
      </c>
      <c r="C28" s="338"/>
      <c r="D28" s="338"/>
      <c r="E28" s="338"/>
      <c r="F28" s="338"/>
      <c r="G28" s="338"/>
      <c r="H28" s="338"/>
      <c r="I28" s="327">
        <f t="shared" si="1"/>
        <v>2235000</v>
      </c>
      <c r="J28" s="328"/>
      <c r="K28" s="328"/>
      <c r="L28" s="339"/>
      <c r="M28" s="339">
        <v>2235000</v>
      </c>
      <c r="N28" s="326"/>
      <c r="O28" s="326"/>
      <c r="P28" s="326"/>
      <c r="Q28" s="326"/>
      <c r="R28" s="326"/>
      <c r="S28" s="326"/>
      <c r="T28" s="340"/>
      <c r="U28" s="341">
        <v>0</v>
      </c>
      <c r="V28" s="337"/>
    </row>
    <row r="29" spans="1:22" ht="28" hidden="1">
      <c r="A29" s="334" t="s">
        <v>406</v>
      </c>
      <c r="B29" s="22" t="s">
        <v>402</v>
      </c>
      <c r="C29" s="338"/>
      <c r="D29" s="338"/>
      <c r="E29" s="338"/>
      <c r="F29" s="338"/>
      <c r="G29" s="338"/>
      <c r="H29" s="338"/>
      <c r="I29" s="327">
        <f t="shared" si="1"/>
        <v>77850000</v>
      </c>
      <c r="J29" s="328"/>
      <c r="K29" s="328"/>
      <c r="L29" s="339"/>
      <c r="M29" s="339">
        <v>77850000</v>
      </c>
      <c r="N29" s="326"/>
      <c r="O29" s="326"/>
      <c r="P29" s="326"/>
      <c r="Q29" s="326"/>
      <c r="R29" s="326"/>
      <c r="S29" s="326"/>
      <c r="T29" s="340"/>
      <c r="U29" s="326"/>
      <c r="V29" s="336"/>
    </row>
    <row r="30" spans="1:22" hidden="1">
      <c r="A30" s="334" t="s">
        <v>406</v>
      </c>
      <c r="B30" s="342" t="s">
        <v>417</v>
      </c>
      <c r="C30" s="343"/>
      <c r="D30" s="343"/>
      <c r="E30" s="343"/>
      <c r="F30" s="343"/>
      <c r="G30" s="343"/>
      <c r="H30" s="343"/>
      <c r="I30" s="327">
        <f t="shared" si="1"/>
        <v>88120000</v>
      </c>
      <c r="J30" s="328"/>
      <c r="K30" s="328"/>
      <c r="L30" s="328"/>
      <c r="M30" s="339">
        <v>88120000</v>
      </c>
      <c r="N30" s="2"/>
      <c r="O30" s="2"/>
      <c r="P30" s="2"/>
      <c r="Q30" s="2"/>
      <c r="R30" s="2"/>
      <c r="S30" s="2"/>
      <c r="T30" s="2"/>
      <c r="U30" s="2"/>
      <c r="V30" s="4"/>
    </row>
    <row r="31" spans="1:22" ht="28" hidden="1">
      <c r="A31" s="334" t="s">
        <v>406</v>
      </c>
      <c r="B31" s="22" t="s">
        <v>418</v>
      </c>
      <c r="C31" s="343"/>
      <c r="D31" s="343"/>
      <c r="E31" s="343"/>
      <c r="F31" s="343"/>
      <c r="G31" s="343"/>
      <c r="H31" s="343"/>
      <c r="I31" s="327">
        <f t="shared" si="1"/>
        <v>42000000</v>
      </c>
      <c r="J31" s="328"/>
      <c r="K31" s="328"/>
      <c r="L31" s="328"/>
      <c r="M31" s="328">
        <v>42000000</v>
      </c>
      <c r="N31" s="2"/>
      <c r="O31" s="2"/>
      <c r="P31" s="2"/>
      <c r="Q31" s="2"/>
      <c r="R31" s="2"/>
      <c r="S31" s="2"/>
      <c r="T31" s="2"/>
      <c r="U31" s="2"/>
      <c r="V31" s="2"/>
    </row>
    <row r="32" spans="1:22" hidden="1">
      <c r="A32" s="334" t="s">
        <v>4</v>
      </c>
      <c r="B32" s="13" t="s">
        <v>174</v>
      </c>
      <c r="C32" s="324"/>
      <c r="D32" s="324"/>
      <c r="E32" s="324"/>
      <c r="F32" s="324"/>
      <c r="G32" s="324"/>
      <c r="H32" s="324"/>
      <c r="I32" s="6">
        <f>+I33+I34</f>
        <v>860000000</v>
      </c>
      <c r="J32" s="6">
        <f t="shared" ref="J32:M32" si="11">+J33+J34</f>
        <v>0</v>
      </c>
      <c r="K32" s="6">
        <f t="shared" si="11"/>
        <v>0</v>
      </c>
      <c r="L32" s="6">
        <f t="shared" si="11"/>
        <v>0</v>
      </c>
      <c r="M32" s="6">
        <f t="shared" si="11"/>
        <v>860000000</v>
      </c>
      <c r="N32" s="324"/>
      <c r="O32" s="324"/>
      <c r="P32" s="324"/>
      <c r="Q32" s="324"/>
      <c r="R32" s="324"/>
      <c r="S32" s="324"/>
      <c r="T32" s="324"/>
      <c r="U32" s="324"/>
      <c r="V32" s="2"/>
    </row>
    <row r="33" spans="1:22" hidden="1">
      <c r="A33" s="344" t="s">
        <v>406</v>
      </c>
      <c r="B33" s="337" t="s">
        <v>419</v>
      </c>
      <c r="C33" s="328"/>
      <c r="D33" s="328"/>
      <c r="E33" s="328"/>
      <c r="F33" s="328"/>
      <c r="G33" s="328"/>
      <c r="H33" s="328"/>
      <c r="I33" s="328">
        <f t="shared" si="1"/>
        <v>490000000</v>
      </c>
      <c r="J33" s="328"/>
      <c r="K33" s="328"/>
      <c r="L33" s="328"/>
      <c r="M33" s="328">
        <v>490000000</v>
      </c>
      <c r="N33" s="328"/>
      <c r="O33" s="328"/>
      <c r="P33" s="328"/>
      <c r="Q33" s="328"/>
      <c r="R33" s="328"/>
      <c r="S33" s="328"/>
      <c r="T33" s="328"/>
      <c r="U33" s="328"/>
      <c r="V33" s="328"/>
    </row>
    <row r="34" spans="1:22" ht="28" hidden="1">
      <c r="A34" s="344" t="s">
        <v>406</v>
      </c>
      <c r="B34" s="337" t="s">
        <v>420</v>
      </c>
      <c r="C34" s="328"/>
      <c r="D34" s="328"/>
      <c r="E34" s="328"/>
      <c r="F34" s="328"/>
      <c r="G34" s="328"/>
      <c r="H34" s="328"/>
      <c r="I34" s="328">
        <f t="shared" si="1"/>
        <v>370000000</v>
      </c>
      <c r="J34" s="328"/>
      <c r="K34" s="328"/>
      <c r="L34" s="328"/>
      <c r="M34" s="328">
        <v>370000000</v>
      </c>
      <c r="N34" s="328"/>
      <c r="O34" s="328"/>
      <c r="P34" s="328"/>
      <c r="Q34" s="328"/>
      <c r="R34" s="328"/>
      <c r="S34" s="328"/>
      <c r="T34" s="328"/>
      <c r="U34" s="328"/>
      <c r="V34" s="328"/>
    </row>
    <row r="35" spans="1:22">
      <c r="A35" s="325" t="s">
        <v>403</v>
      </c>
      <c r="B35" s="324" t="s">
        <v>422</v>
      </c>
      <c r="C35" s="324"/>
      <c r="D35" s="324"/>
      <c r="E35" s="324"/>
      <c r="F35" s="324"/>
      <c r="G35" s="324"/>
      <c r="H35" s="324"/>
      <c r="I35" s="6">
        <f>I8-I11</f>
        <v>1478091000</v>
      </c>
      <c r="J35" s="6">
        <f t="shared" ref="J35:S35" si="12">J8-J11</f>
        <v>0</v>
      </c>
      <c r="K35" s="6">
        <f t="shared" si="12"/>
        <v>0</v>
      </c>
      <c r="L35" s="6">
        <f t="shared" si="12"/>
        <v>0</v>
      </c>
      <c r="M35" s="6">
        <f t="shared" si="12"/>
        <v>1478091000</v>
      </c>
      <c r="N35" s="6">
        <f t="shared" si="12"/>
        <v>0</v>
      </c>
      <c r="O35" s="6">
        <f t="shared" si="12"/>
        <v>0</v>
      </c>
      <c r="P35" s="6">
        <f t="shared" si="12"/>
        <v>0</v>
      </c>
      <c r="Q35" s="6">
        <f t="shared" si="12"/>
        <v>0</v>
      </c>
      <c r="R35" s="6">
        <f t="shared" si="12"/>
        <v>0</v>
      </c>
      <c r="S35" s="6">
        <f t="shared" si="12"/>
        <v>0</v>
      </c>
      <c r="T35" s="6">
        <f t="shared" ref="T35:U35" si="13">+T36+T37</f>
        <v>0</v>
      </c>
      <c r="U35" s="6">
        <f t="shared" si="13"/>
        <v>0</v>
      </c>
      <c r="V35" s="324"/>
    </row>
    <row r="36" spans="1:22">
      <c r="A36" s="1"/>
      <c r="B36" s="345" t="s">
        <v>398</v>
      </c>
      <c r="C36" s="2"/>
      <c r="D36" s="2"/>
      <c r="E36" s="2"/>
      <c r="F36" s="2"/>
      <c r="G36" s="2"/>
      <c r="H36" s="2"/>
      <c r="I36" s="6">
        <v>0</v>
      </c>
      <c r="J36" s="336"/>
      <c r="K36" s="336"/>
      <c r="L36" s="336"/>
      <c r="M36" s="6">
        <v>0</v>
      </c>
      <c r="N36" s="7">
        <f t="shared" ref="N36:T36" si="14">N8-N11-N14</f>
        <v>0</v>
      </c>
      <c r="O36" s="7">
        <f t="shared" si="14"/>
        <v>0</v>
      </c>
      <c r="P36" s="7">
        <f t="shared" si="14"/>
        <v>0</v>
      </c>
      <c r="Q36" s="7">
        <f t="shared" si="14"/>
        <v>0</v>
      </c>
      <c r="R36" s="7">
        <f t="shared" si="14"/>
        <v>0</v>
      </c>
      <c r="S36" s="7">
        <f t="shared" si="14"/>
        <v>0</v>
      </c>
      <c r="T36" s="7">
        <f t="shared" si="14"/>
        <v>0</v>
      </c>
      <c r="U36" s="2">
        <v>0</v>
      </c>
      <c r="V36" s="2"/>
    </row>
    <row r="37" spans="1:22">
      <c r="A37" s="1"/>
      <c r="B37" s="345" t="s">
        <v>399</v>
      </c>
      <c r="C37" s="2"/>
      <c r="D37" s="2"/>
      <c r="E37" s="2"/>
      <c r="F37" s="2"/>
      <c r="G37" s="2"/>
      <c r="H37" s="2"/>
      <c r="I37" s="6">
        <f>M37</f>
        <v>1478091000</v>
      </c>
      <c r="J37" s="6">
        <f t="shared" ref="J37:M37" si="15">J10-J11-J9</f>
        <v>0</v>
      </c>
      <c r="K37" s="6">
        <f t="shared" si="15"/>
        <v>0</v>
      </c>
      <c r="L37" s="6">
        <f t="shared" si="15"/>
        <v>0</v>
      </c>
      <c r="M37" s="6">
        <f t="shared" si="15"/>
        <v>1478091000</v>
      </c>
      <c r="N37" s="2"/>
      <c r="O37" s="2"/>
      <c r="P37" s="2"/>
      <c r="Q37" s="2"/>
      <c r="R37" s="2"/>
      <c r="S37" s="2"/>
      <c r="T37" s="2"/>
      <c r="U37" s="2"/>
      <c r="V37" s="2"/>
    </row>
    <row r="38" spans="1:22">
      <c r="A38" s="325" t="s">
        <v>421</v>
      </c>
      <c r="B38" s="324" t="s">
        <v>423</v>
      </c>
      <c r="C38" s="324"/>
      <c r="D38" s="324"/>
      <c r="E38" s="324"/>
      <c r="F38" s="324"/>
      <c r="G38" s="324"/>
      <c r="H38" s="324"/>
      <c r="I38" s="326">
        <f>+I39+I42</f>
        <v>1478091000</v>
      </c>
      <c r="J38" s="326">
        <f t="shared" ref="J38:U38" si="16">+J39+J42</f>
        <v>0</v>
      </c>
      <c r="K38" s="326">
        <f t="shared" si="16"/>
        <v>0</v>
      </c>
      <c r="L38" s="326">
        <f t="shared" si="16"/>
        <v>0</v>
      </c>
      <c r="M38" s="326">
        <f t="shared" si="16"/>
        <v>1478091000</v>
      </c>
      <c r="N38" s="326">
        <f t="shared" si="16"/>
        <v>0</v>
      </c>
      <c r="O38" s="326">
        <f t="shared" si="16"/>
        <v>0</v>
      </c>
      <c r="P38" s="326">
        <f t="shared" si="16"/>
        <v>0</v>
      </c>
      <c r="Q38" s="326">
        <f t="shared" si="16"/>
        <v>0</v>
      </c>
      <c r="R38" s="326">
        <f t="shared" si="16"/>
        <v>0</v>
      </c>
      <c r="S38" s="326">
        <f t="shared" si="16"/>
        <v>0</v>
      </c>
      <c r="T38" s="326">
        <f t="shared" si="16"/>
        <v>0</v>
      </c>
      <c r="U38" s="326">
        <f t="shared" si="16"/>
        <v>0</v>
      </c>
      <c r="V38" s="2"/>
    </row>
    <row r="39" spans="1:22">
      <c r="A39" s="325"/>
      <c r="B39" s="324" t="s">
        <v>174</v>
      </c>
      <c r="C39" s="324"/>
      <c r="D39" s="324"/>
      <c r="E39" s="324"/>
      <c r="F39" s="324"/>
      <c r="G39" s="324"/>
      <c r="H39" s="324"/>
      <c r="I39" s="326">
        <f>+I40+I41</f>
        <v>1378091000</v>
      </c>
      <c r="J39" s="326">
        <f t="shared" ref="J39:U39" si="17">+J40+J41</f>
        <v>0</v>
      </c>
      <c r="K39" s="326">
        <f t="shared" si="17"/>
        <v>0</v>
      </c>
      <c r="L39" s="326">
        <f t="shared" si="17"/>
        <v>0</v>
      </c>
      <c r="M39" s="326">
        <f t="shared" si="17"/>
        <v>1378091000</v>
      </c>
      <c r="N39" s="326">
        <f t="shared" si="17"/>
        <v>0</v>
      </c>
      <c r="O39" s="326">
        <f t="shared" si="17"/>
        <v>0</v>
      </c>
      <c r="P39" s="326">
        <f t="shared" si="17"/>
        <v>0</v>
      </c>
      <c r="Q39" s="326">
        <f t="shared" si="17"/>
        <v>0</v>
      </c>
      <c r="R39" s="326">
        <f t="shared" si="17"/>
        <v>0</v>
      </c>
      <c r="S39" s="326">
        <f t="shared" si="17"/>
        <v>0</v>
      </c>
      <c r="T39" s="326">
        <f t="shared" si="17"/>
        <v>0</v>
      </c>
      <c r="U39" s="326">
        <f t="shared" si="17"/>
        <v>0</v>
      </c>
      <c r="V39" s="2"/>
    </row>
    <row r="40" spans="1:22" ht="45.75" customHeight="1">
      <c r="A40" s="1"/>
      <c r="B40" s="4" t="s">
        <v>427</v>
      </c>
      <c r="C40" s="2"/>
      <c r="D40" s="2"/>
      <c r="E40" s="2"/>
      <c r="F40" s="2"/>
      <c r="G40" s="2"/>
      <c r="H40" s="2"/>
      <c r="I40" s="349">
        <f>M40</f>
        <v>50000000</v>
      </c>
      <c r="J40" s="336"/>
      <c r="K40" s="336"/>
      <c r="L40" s="336"/>
      <c r="M40" s="336">
        <v>50000000</v>
      </c>
      <c r="N40" s="2"/>
      <c r="O40" s="2"/>
      <c r="P40" s="2"/>
      <c r="Q40" s="2"/>
      <c r="R40" s="2"/>
      <c r="S40" s="2"/>
      <c r="T40" s="2"/>
      <c r="U40" s="2"/>
      <c r="V40" s="12"/>
    </row>
    <row r="41" spans="1:22" ht="42">
      <c r="A41" s="1"/>
      <c r="B41" s="4" t="s">
        <v>424</v>
      </c>
      <c r="C41" s="2"/>
      <c r="D41" s="2"/>
      <c r="E41" s="2"/>
      <c r="F41" s="2"/>
      <c r="G41" s="2"/>
      <c r="H41" s="2"/>
      <c r="I41" s="349">
        <f>I37-I40-I43</f>
        <v>1328091000</v>
      </c>
      <c r="J41" s="349">
        <f t="shared" ref="J41:L41" si="18">J37-J40-J43</f>
        <v>0</v>
      </c>
      <c r="K41" s="349">
        <f t="shared" si="18"/>
        <v>0</v>
      </c>
      <c r="L41" s="349">
        <f t="shared" si="18"/>
        <v>0</v>
      </c>
      <c r="M41" s="349">
        <f>M37-M40-M43</f>
        <v>1328091000</v>
      </c>
      <c r="N41" s="2"/>
      <c r="O41" s="2"/>
      <c r="P41" s="2"/>
      <c r="Q41" s="2"/>
      <c r="R41" s="2"/>
      <c r="S41" s="2"/>
      <c r="T41" s="2"/>
      <c r="U41" s="2"/>
      <c r="V41" s="12" t="s">
        <v>425</v>
      </c>
    </row>
    <row r="42" spans="1:22">
      <c r="A42" s="1"/>
      <c r="B42" s="13" t="s">
        <v>416</v>
      </c>
      <c r="C42" s="2"/>
      <c r="D42" s="2"/>
      <c r="E42" s="2"/>
      <c r="F42" s="2"/>
      <c r="G42" s="2"/>
      <c r="H42" s="2"/>
      <c r="I42" s="349">
        <f>+I43</f>
        <v>100000000</v>
      </c>
      <c r="J42" s="349">
        <f t="shared" ref="J42:U42" si="19">+J43</f>
        <v>0</v>
      </c>
      <c r="K42" s="349">
        <f t="shared" si="19"/>
        <v>0</v>
      </c>
      <c r="L42" s="349">
        <f t="shared" si="19"/>
        <v>0</v>
      </c>
      <c r="M42" s="349">
        <f t="shared" si="19"/>
        <v>100000000</v>
      </c>
      <c r="N42" s="349">
        <f t="shared" si="19"/>
        <v>0</v>
      </c>
      <c r="O42" s="349">
        <f t="shared" si="19"/>
        <v>0</v>
      </c>
      <c r="P42" s="349">
        <f t="shared" si="19"/>
        <v>0</v>
      </c>
      <c r="Q42" s="349">
        <f t="shared" si="19"/>
        <v>0</v>
      </c>
      <c r="R42" s="349">
        <f t="shared" si="19"/>
        <v>0</v>
      </c>
      <c r="S42" s="349">
        <f t="shared" si="19"/>
        <v>0</v>
      </c>
      <c r="T42" s="349">
        <f t="shared" si="19"/>
        <v>0</v>
      </c>
      <c r="U42" s="349">
        <f t="shared" si="19"/>
        <v>0</v>
      </c>
      <c r="V42" s="12"/>
    </row>
    <row r="43" spans="1:22" ht="40.5" customHeight="1">
      <c r="A43" s="1"/>
      <c r="B43" s="4" t="s">
        <v>428</v>
      </c>
      <c r="C43" s="2"/>
      <c r="D43" s="2"/>
      <c r="E43" s="2"/>
      <c r="F43" s="2"/>
      <c r="G43" s="2"/>
      <c r="H43" s="2"/>
      <c r="I43" s="349">
        <f t="shared" ref="I43" si="20">M43</f>
        <v>100000000</v>
      </c>
      <c r="J43" s="336"/>
      <c r="K43" s="336"/>
      <c r="L43" s="336"/>
      <c r="M43" s="336">
        <v>100000000</v>
      </c>
      <c r="N43" s="2"/>
      <c r="O43" s="2"/>
      <c r="P43" s="2"/>
      <c r="Q43" s="2"/>
      <c r="R43" s="2"/>
      <c r="S43" s="2"/>
      <c r="T43" s="2"/>
      <c r="U43" s="2"/>
      <c r="V43" s="12"/>
    </row>
  </sheetData>
  <mergeCells count="19">
    <mergeCell ref="A2:V2"/>
    <mergeCell ref="A3:V3"/>
    <mergeCell ref="R4:V4"/>
    <mergeCell ref="A5:A7"/>
    <mergeCell ref="B5:B7"/>
    <mergeCell ref="C5:C7"/>
    <mergeCell ref="D5:D7"/>
    <mergeCell ref="E5:E7"/>
    <mergeCell ref="F5:F7"/>
    <mergeCell ref="G5:G7"/>
    <mergeCell ref="V21:V23"/>
    <mergeCell ref="V25:V26"/>
    <mergeCell ref="H5:H7"/>
    <mergeCell ref="I5:I7"/>
    <mergeCell ref="J5:U5"/>
    <mergeCell ref="V5:V7"/>
    <mergeCell ref="K6:M7"/>
    <mergeCell ref="T6:T7"/>
    <mergeCell ref="U6:U7"/>
  </mergeCells>
  <pageMargins left="0.7" right="0.7" top="0.4453125" bottom="0.75" header="0.3" footer="0.3"/>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workbookViewId="0">
      <selection activeCell="M11" sqref="M11"/>
    </sheetView>
  </sheetViews>
  <sheetFormatPr defaultRowHeight="14"/>
  <cols>
    <col min="1" max="1" width="7" style="5" customWidth="1"/>
    <col min="2" max="2" width="41.6640625" style="3" customWidth="1"/>
    <col min="3" max="3" width="15" style="3" hidden="1" customWidth="1"/>
    <col min="4" max="4" width="9.08203125" style="3" hidden="1" customWidth="1"/>
    <col min="5" max="5" width="6.6640625" style="3" hidden="1" customWidth="1"/>
    <col min="6" max="6" width="7.58203125" style="3" hidden="1" customWidth="1"/>
    <col min="7" max="7" width="7.33203125" style="3" hidden="1" customWidth="1"/>
    <col min="8" max="8" width="11.6640625" style="3" hidden="1" customWidth="1"/>
    <col min="9" max="9" width="22.58203125" style="3" customWidth="1"/>
    <col min="10" max="10" width="17.33203125" style="156" hidden="1" customWidth="1"/>
    <col min="11" max="11" width="16.58203125" style="156" hidden="1" customWidth="1"/>
    <col min="12" max="12" width="15.58203125" style="156" hidden="1" customWidth="1"/>
    <col min="13" max="13" width="16.33203125" style="3" customWidth="1"/>
    <col min="14" max="14" width="16.9140625" style="3" hidden="1" customWidth="1"/>
    <col min="15" max="15" width="12.4140625" style="3" hidden="1" customWidth="1"/>
    <col min="16" max="16" width="14.4140625" style="3" hidden="1" customWidth="1"/>
    <col min="17" max="17" width="12.33203125" style="3" hidden="1" customWidth="1"/>
    <col min="18" max="18" width="12" style="3" hidden="1" customWidth="1"/>
    <col min="19" max="19" width="18.08203125" style="3" hidden="1" customWidth="1"/>
    <col min="20" max="20" width="16.25" style="3" customWidth="1"/>
    <col min="21" max="21" width="16.6640625" hidden="1" customWidth="1"/>
    <col min="23" max="23" width="18" customWidth="1"/>
  </cols>
  <sheetData>
    <row r="1" spans="1:23">
      <c r="T1" s="350" t="s">
        <v>426</v>
      </c>
    </row>
    <row r="2" spans="1:23">
      <c r="A2" s="495" t="s">
        <v>392</v>
      </c>
      <c r="B2" s="495"/>
      <c r="C2" s="495"/>
      <c r="D2" s="495"/>
      <c r="E2" s="495"/>
      <c r="F2" s="495"/>
      <c r="G2" s="495"/>
      <c r="H2" s="495"/>
      <c r="I2" s="495"/>
      <c r="J2" s="495"/>
      <c r="K2" s="495"/>
      <c r="L2" s="495"/>
      <c r="M2" s="495"/>
      <c r="N2" s="495"/>
      <c r="O2" s="495"/>
      <c r="P2" s="495"/>
      <c r="Q2" s="495"/>
      <c r="R2" s="495"/>
      <c r="S2" s="495"/>
      <c r="T2" s="495"/>
    </row>
    <row r="3" spans="1:23">
      <c r="A3" s="429" t="str">
        <f>'03'!A3:T3</f>
        <v>(Kèm theo Nghị quyết số:        /NQ-HĐND ngày   tháng 8 năm 2026 của HĐND xã Nậm Hàng)</v>
      </c>
      <c r="B3" s="429"/>
      <c r="C3" s="429"/>
      <c r="D3" s="429"/>
      <c r="E3" s="429"/>
      <c r="F3" s="429"/>
      <c r="G3" s="429"/>
      <c r="H3" s="429"/>
      <c r="I3" s="429"/>
      <c r="J3" s="429"/>
      <c r="K3" s="429"/>
      <c r="L3" s="429"/>
      <c r="M3" s="429"/>
      <c r="N3" s="429"/>
      <c r="O3" s="429"/>
      <c r="P3" s="429"/>
      <c r="Q3" s="429"/>
      <c r="R3" s="429"/>
      <c r="S3" s="429"/>
      <c r="T3" s="429"/>
    </row>
    <row r="4" spans="1:23">
      <c r="A4" s="320"/>
      <c r="B4" s="320"/>
      <c r="C4" s="320"/>
      <c r="D4" s="320"/>
      <c r="E4" s="320"/>
      <c r="F4" s="320"/>
      <c r="G4" s="320"/>
      <c r="H4" s="320"/>
      <c r="I4" s="320"/>
      <c r="J4" s="321"/>
      <c r="K4" s="321"/>
      <c r="L4" s="321"/>
      <c r="M4" s="320"/>
      <c r="N4" s="320"/>
      <c r="O4" s="320"/>
      <c r="P4" s="320"/>
      <c r="Q4" s="320"/>
      <c r="R4" s="496" t="s">
        <v>437</v>
      </c>
      <c r="S4" s="496"/>
      <c r="T4" s="496"/>
    </row>
    <row r="5" spans="1:23">
      <c r="A5" s="481" t="s">
        <v>0</v>
      </c>
      <c r="B5" s="481" t="s">
        <v>1</v>
      </c>
      <c r="C5" s="480" t="s">
        <v>12</v>
      </c>
      <c r="D5" s="480" t="s">
        <v>7</v>
      </c>
      <c r="E5" s="480" t="s">
        <v>8</v>
      </c>
      <c r="F5" s="480" t="s">
        <v>9</v>
      </c>
      <c r="G5" s="480" t="s">
        <v>10</v>
      </c>
      <c r="H5" s="480" t="s">
        <v>11</v>
      </c>
      <c r="I5" s="481" t="s">
        <v>2</v>
      </c>
      <c r="J5" s="497" t="s">
        <v>433</v>
      </c>
      <c r="K5" s="498"/>
      <c r="L5" s="498"/>
      <c r="M5" s="498"/>
      <c r="N5" s="498"/>
      <c r="O5" s="498"/>
      <c r="P5" s="498"/>
      <c r="Q5" s="498"/>
      <c r="R5" s="498"/>
      <c r="S5" s="499"/>
      <c r="T5" s="481" t="s">
        <v>3</v>
      </c>
    </row>
    <row r="6" spans="1:23" ht="15" customHeight="1">
      <c r="A6" s="482"/>
      <c r="B6" s="482"/>
      <c r="C6" s="480"/>
      <c r="D6" s="480"/>
      <c r="E6" s="480"/>
      <c r="F6" s="480"/>
      <c r="G6" s="480"/>
      <c r="H6" s="480"/>
      <c r="I6" s="482"/>
      <c r="J6" s="500"/>
      <c r="K6" s="370"/>
      <c r="L6" s="370"/>
      <c r="M6" s="370"/>
      <c r="N6" s="370"/>
      <c r="O6" s="370"/>
      <c r="P6" s="370"/>
      <c r="Q6" s="370"/>
      <c r="R6" s="370"/>
      <c r="S6" s="501"/>
      <c r="T6" s="482"/>
    </row>
    <row r="7" spans="1:23" ht="42.75" customHeight="1">
      <c r="A7" s="483"/>
      <c r="B7" s="483"/>
      <c r="C7" s="480"/>
      <c r="D7" s="480"/>
      <c r="E7" s="480"/>
      <c r="F7" s="480"/>
      <c r="G7" s="480"/>
      <c r="H7" s="480"/>
      <c r="I7" s="483"/>
      <c r="J7" s="502"/>
      <c r="K7" s="503"/>
      <c r="L7" s="503"/>
      <c r="M7" s="503"/>
      <c r="N7" s="503"/>
      <c r="O7" s="503"/>
      <c r="P7" s="503"/>
      <c r="Q7" s="503"/>
      <c r="R7" s="503"/>
      <c r="S7" s="504"/>
      <c r="T7" s="483"/>
      <c r="W7" s="326"/>
    </row>
    <row r="8" spans="1:23">
      <c r="A8" s="346" t="s">
        <v>42</v>
      </c>
      <c r="B8" s="347" t="s">
        <v>434</v>
      </c>
      <c r="C8" s="325"/>
      <c r="D8" s="325"/>
      <c r="E8" s="325"/>
      <c r="F8" s="325"/>
      <c r="G8" s="325"/>
      <c r="H8" s="325"/>
      <c r="I8" s="6">
        <f t="shared" ref="I8:L8" si="0">+I9+I12+I14</f>
        <v>1400000000</v>
      </c>
      <c r="J8" s="6" t="e">
        <f t="shared" si="0"/>
        <v>#REF!</v>
      </c>
      <c r="K8" s="6" t="e">
        <f t="shared" si="0"/>
        <v>#REF!</v>
      </c>
      <c r="L8" s="6" t="e">
        <f t="shared" si="0"/>
        <v>#REF!</v>
      </c>
      <c r="M8" s="6">
        <f>+M9+M12+M14</f>
        <v>1400000000</v>
      </c>
      <c r="N8" s="6" t="e">
        <f>+#REF!+#REF!</f>
        <v>#REF!</v>
      </c>
      <c r="O8" s="6" t="e">
        <f>+#REF!+#REF!</f>
        <v>#REF!</v>
      </c>
      <c r="P8" s="6" t="e">
        <f>+#REF!+#REF!</f>
        <v>#REF!</v>
      </c>
      <c r="Q8" s="6" t="e">
        <f>+#REF!+#REF!</f>
        <v>#REF!</v>
      </c>
      <c r="R8" s="6" t="e">
        <f>+#REF!+#REF!</f>
        <v>#REF!</v>
      </c>
      <c r="S8" s="6" t="e">
        <f>+#REF!+#REF!</f>
        <v>#REF!</v>
      </c>
      <c r="T8" s="326"/>
      <c r="U8">
        <v>1478091000</v>
      </c>
    </row>
    <row r="9" spans="1:23">
      <c r="A9" s="325">
        <v>1</v>
      </c>
      <c r="B9" s="324" t="s">
        <v>174</v>
      </c>
      <c r="C9" s="324"/>
      <c r="D9" s="324"/>
      <c r="E9" s="324"/>
      <c r="F9" s="324"/>
      <c r="G9" s="324"/>
      <c r="H9" s="324"/>
      <c r="I9" s="326">
        <f>+I10+I11</f>
        <v>1250000000</v>
      </c>
      <c r="J9" s="326" t="e">
        <f t="shared" ref="J9:S9" si="1">+J10+J11</f>
        <v>#REF!</v>
      </c>
      <c r="K9" s="326" t="e">
        <f t="shared" si="1"/>
        <v>#REF!</v>
      </c>
      <c r="L9" s="326" t="e">
        <f t="shared" si="1"/>
        <v>#REF!</v>
      </c>
      <c r="M9" s="326">
        <f>+M10+M11</f>
        <v>1250000000</v>
      </c>
      <c r="N9" s="326">
        <f t="shared" si="1"/>
        <v>0</v>
      </c>
      <c r="O9" s="326">
        <f t="shared" si="1"/>
        <v>0</v>
      </c>
      <c r="P9" s="326">
        <f t="shared" si="1"/>
        <v>0</v>
      </c>
      <c r="Q9" s="326">
        <f t="shared" si="1"/>
        <v>0</v>
      </c>
      <c r="R9" s="326">
        <f t="shared" si="1"/>
        <v>0</v>
      </c>
      <c r="S9" s="326">
        <f t="shared" si="1"/>
        <v>0</v>
      </c>
      <c r="T9" s="2"/>
      <c r="U9">
        <v>1400000000</v>
      </c>
      <c r="W9" s="174"/>
    </row>
    <row r="10" spans="1:23" ht="28">
      <c r="A10" s="1"/>
      <c r="B10" s="4" t="s">
        <v>427</v>
      </c>
      <c r="C10" s="2"/>
      <c r="D10" s="2"/>
      <c r="E10" s="2"/>
      <c r="F10" s="2"/>
      <c r="G10" s="2"/>
      <c r="H10" s="2"/>
      <c r="I10" s="336">
        <f>+M10</f>
        <v>50000000</v>
      </c>
      <c r="J10" s="336">
        <v>50000000</v>
      </c>
      <c r="K10" s="336">
        <v>50000000</v>
      </c>
      <c r="L10" s="336">
        <v>50000000</v>
      </c>
      <c r="M10" s="336">
        <v>50000000</v>
      </c>
      <c r="N10" s="2"/>
      <c r="O10" s="2"/>
      <c r="P10" s="2"/>
      <c r="Q10" s="2"/>
      <c r="R10" s="2"/>
      <c r="S10" s="2"/>
      <c r="T10" s="12"/>
      <c r="U10">
        <f>U8-U9</f>
        <v>78091000</v>
      </c>
    </row>
    <row r="11" spans="1:23" ht="56.25" customHeight="1">
      <c r="A11" s="1"/>
      <c r="B11" s="4" t="s">
        <v>424</v>
      </c>
      <c r="C11" s="2"/>
      <c r="D11" s="2"/>
      <c r="E11" s="2"/>
      <c r="F11" s="2"/>
      <c r="G11" s="2"/>
      <c r="H11" s="2"/>
      <c r="I11" s="336">
        <f>+M11</f>
        <v>1200000000</v>
      </c>
      <c r="J11" s="349" t="e">
        <f>#REF!-J10-J13</f>
        <v>#REF!</v>
      </c>
      <c r="K11" s="349" t="e">
        <f>#REF!-K10-K13</f>
        <v>#REF!</v>
      </c>
      <c r="L11" s="349" t="e">
        <f>#REF!-L10-L13</f>
        <v>#REF!</v>
      </c>
      <c r="M11" s="349">
        <v>1200000000</v>
      </c>
      <c r="N11" s="2"/>
      <c r="O11" s="2"/>
      <c r="P11" s="2"/>
      <c r="Q11" s="2"/>
      <c r="R11" s="2"/>
      <c r="S11" s="2"/>
      <c r="T11" s="12" t="s">
        <v>425</v>
      </c>
    </row>
    <row r="12" spans="1:23" ht="19.5" customHeight="1">
      <c r="A12" s="1">
        <v>2</v>
      </c>
      <c r="B12" s="13" t="s">
        <v>416</v>
      </c>
      <c r="C12" s="2"/>
      <c r="D12" s="2"/>
      <c r="E12" s="2"/>
      <c r="F12" s="2"/>
      <c r="G12" s="2"/>
      <c r="H12" s="2"/>
      <c r="I12" s="349">
        <f>+I13</f>
        <v>100000000</v>
      </c>
      <c r="J12" s="349">
        <f t="shared" ref="J12:S12" si="2">+J13</f>
        <v>0</v>
      </c>
      <c r="K12" s="349">
        <f t="shared" si="2"/>
        <v>0</v>
      </c>
      <c r="L12" s="349">
        <f t="shared" si="2"/>
        <v>0</v>
      </c>
      <c r="M12" s="349">
        <v>100000000</v>
      </c>
      <c r="N12" s="349">
        <f t="shared" si="2"/>
        <v>0</v>
      </c>
      <c r="O12" s="349">
        <f t="shared" si="2"/>
        <v>0</v>
      </c>
      <c r="P12" s="349">
        <f t="shared" si="2"/>
        <v>0</v>
      </c>
      <c r="Q12" s="349">
        <f t="shared" si="2"/>
        <v>0</v>
      </c>
      <c r="R12" s="349">
        <f t="shared" si="2"/>
        <v>0</v>
      </c>
      <c r="S12" s="349">
        <f t="shared" si="2"/>
        <v>0</v>
      </c>
      <c r="T12" s="12"/>
    </row>
    <row r="13" spans="1:23" ht="28">
      <c r="A13" s="1"/>
      <c r="B13" s="4" t="s">
        <v>428</v>
      </c>
      <c r="C13" s="2"/>
      <c r="D13" s="2"/>
      <c r="E13" s="2"/>
      <c r="F13" s="2"/>
      <c r="G13" s="2"/>
      <c r="H13" s="2"/>
      <c r="I13" s="349">
        <f t="shared" ref="I13" si="3">M13</f>
        <v>100000000</v>
      </c>
      <c r="J13" s="336"/>
      <c r="K13" s="336"/>
      <c r="L13" s="336"/>
      <c r="M13" s="336">
        <v>100000000</v>
      </c>
      <c r="N13" s="2"/>
      <c r="O13" s="2"/>
      <c r="P13" s="2"/>
      <c r="Q13" s="2"/>
      <c r="R13" s="2"/>
      <c r="S13" s="2"/>
      <c r="T13" s="12"/>
    </row>
    <row r="14" spans="1:23">
      <c r="A14" s="325">
        <v>3</v>
      </c>
      <c r="B14" s="324" t="s">
        <v>435</v>
      </c>
      <c r="C14" s="324"/>
      <c r="D14" s="324"/>
      <c r="E14" s="324"/>
      <c r="F14" s="324"/>
      <c r="G14" s="324"/>
      <c r="H14" s="324"/>
      <c r="I14" s="326">
        <f>+I15</f>
        <v>50000000</v>
      </c>
      <c r="J14" s="326">
        <f t="shared" ref="J14:M14" si="4">+J15</f>
        <v>0</v>
      </c>
      <c r="K14" s="326">
        <f t="shared" si="4"/>
        <v>0</v>
      </c>
      <c r="L14" s="326">
        <f t="shared" si="4"/>
        <v>0</v>
      </c>
      <c r="M14" s="326">
        <f t="shared" si="4"/>
        <v>50000000</v>
      </c>
      <c r="N14" s="324"/>
      <c r="O14" s="324"/>
      <c r="P14" s="324"/>
      <c r="Q14" s="324"/>
      <c r="R14" s="324"/>
      <c r="S14" s="324"/>
      <c r="T14" s="324"/>
    </row>
    <row r="15" spans="1:23" ht="28">
      <c r="A15" s="1"/>
      <c r="B15" s="4" t="s">
        <v>436</v>
      </c>
      <c r="C15" s="2"/>
      <c r="D15" s="2"/>
      <c r="E15" s="2"/>
      <c r="F15" s="2"/>
      <c r="G15" s="2"/>
      <c r="H15" s="2"/>
      <c r="I15" s="336">
        <f>+M15</f>
        <v>50000000</v>
      </c>
      <c r="J15" s="336"/>
      <c r="K15" s="336"/>
      <c r="L15" s="336"/>
      <c r="M15" s="336">
        <v>50000000</v>
      </c>
      <c r="N15" s="2"/>
      <c r="O15" s="2"/>
      <c r="P15" s="2"/>
      <c r="Q15" s="2"/>
      <c r="R15" s="2"/>
      <c r="S15" s="2"/>
      <c r="T15" s="2"/>
    </row>
  </sheetData>
  <mergeCells count="14">
    <mergeCell ref="J5:S7"/>
    <mergeCell ref="H5:H7"/>
    <mergeCell ref="I5:I7"/>
    <mergeCell ref="T5:T7"/>
    <mergeCell ref="A2:T2"/>
    <mergeCell ref="A3:T3"/>
    <mergeCell ref="R4:T4"/>
    <mergeCell ref="A5:A7"/>
    <mergeCell ref="B5:B7"/>
    <mergeCell ref="C5:C7"/>
    <mergeCell ref="D5:D7"/>
    <mergeCell ref="E5:E7"/>
    <mergeCell ref="F5:F7"/>
    <mergeCell ref="G5:G7"/>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opLeftCell="A7" workbookViewId="0">
      <selection activeCell="C21" sqref="C21"/>
    </sheetView>
  </sheetViews>
  <sheetFormatPr defaultRowHeight="15.5"/>
  <cols>
    <col min="1" max="1" width="6.33203125" style="82" customWidth="1"/>
    <col min="2" max="2" width="51.08203125" style="82" customWidth="1"/>
    <col min="3" max="3" width="17.58203125" style="82" customWidth="1"/>
    <col min="4" max="4" width="23.58203125" style="82" customWidth="1"/>
    <col min="5" max="5" width="21.6640625" customWidth="1"/>
  </cols>
  <sheetData>
    <row r="1" spans="1:5" ht="15">
      <c r="A1" s="371" t="s">
        <v>147</v>
      </c>
      <c r="B1" s="371"/>
      <c r="C1" s="371"/>
      <c r="D1" s="371"/>
    </row>
    <row r="2" spans="1:5">
      <c r="A2" s="372" t="s">
        <v>148</v>
      </c>
      <c r="B2" s="372"/>
      <c r="C2" s="372"/>
      <c r="D2" s="372"/>
    </row>
    <row r="3" spans="1:5">
      <c r="A3" s="82" t="s">
        <v>149</v>
      </c>
    </row>
    <row r="4" spans="1:5">
      <c r="A4" s="373" t="s">
        <v>18</v>
      </c>
      <c r="B4" s="373"/>
      <c r="C4" s="373"/>
      <c r="D4" s="373"/>
    </row>
    <row r="5" spans="1:5" ht="15">
      <c r="A5" s="83" t="s">
        <v>0</v>
      </c>
      <c r="B5" s="84" t="s">
        <v>20</v>
      </c>
      <c r="C5" s="83" t="s">
        <v>150</v>
      </c>
      <c r="D5" s="83" t="s">
        <v>3</v>
      </c>
    </row>
    <row r="6" spans="1:5">
      <c r="A6" s="85" t="s">
        <v>25</v>
      </c>
      <c r="B6" s="86" t="s">
        <v>26</v>
      </c>
      <c r="C6" s="85">
        <v>1</v>
      </c>
      <c r="D6" s="85">
        <v>2</v>
      </c>
    </row>
    <row r="7" spans="1:5">
      <c r="A7" s="85"/>
      <c r="B7" s="87" t="s">
        <v>151</v>
      </c>
      <c r="C7" s="88">
        <f>+C8+C30</f>
        <v>14664174432</v>
      </c>
      <c r="D7" s="89"/>
    </row>
    <row r="8" spans="1:5" ht="30">
      <c r="A8" s="90" t="s">
        <v>25</v>
      </c>
      <c r="B8" s="91" t="s">
        <v>152</v>
      </c>
      <c r="C8" s="92">
        <f>+C9+C17+C18+C21+C25+C28</f>
        <v>2300687704</v>
      </c>
      <c r="D8" s="374" t="s">
        <v>153</v>
      </c>
    </row>
    <row r="9" spans="1:5" s="114" customFormat="1">
      <c r="A9" s="111">
        <v>1</v>
      </c>
      <c r="B9" s="112" t="s">
        <v>154</v>
      </c>
      <c r="C9" s="113">
        <f>+C10+C13</f>
        <v>45540000</v>
      </c>
      <c r="D9" s="375"/>
      <c r="E9" s="114" t="s">
        <v>172</v>
      </c>
    </row>
    <row r="10" spans="1:5">
      <c r="A10" s="93" t="s">
        <v>4</v>
      </c>
      <c r="B10" s="95" t="s">
        <v>155</v>
      </c>
      <c r="C10" s="96">
        <f>+C11+C12</f>
        <v>25000000</v>
      </c>
      <c r="D10" s="375"/>
    </row>
    <row r="11" spans="1:5">
      <c r="A11" s="97"/>
      <c r="B11" s="94" t="s">
        <v>156</v>
      </c>
      <c r="C11" s="98">
        <v>9000000</v>
      </c>
      <c r="D11" s="375"/>
    </row>
    <row r="12" spans="1:5">
      <c r="A12" s="97"/>
      <c r="B12" s="94" t="s">
        <v>157</v>
      </c>
      <c r="C12" s="98">
        <v>16000000</v>
      </c>
      <c r="D12" s="375"/>
    </row>
    <row r="13" spans="1:5" ht="31">
      <c r="A13" s="93" t="s">
        <v>4</v>
      </c>
      <c r="B13" s="95" t="s">
        <v>158</v>
      </c>
      <c r="C13" s="96">
        <v>20540000</v>
      </c>
      <c r="D13" s="375"/>
    </row>
    <row r="14" spans="1:5">
      <c r="A14" s="97"/>
      <c r="B14" s="94" t="s">
        <v>159</v>
      </c>
      <c r="C14" s="98">
        <v>2540000</v>
      </c>
      <c r="D14" s="375"/>
    </row>
    <row r="15" spans="1:5">
      <c r="A15" s="97"/>
      <c r="B15" s="94" t="s">
        <v>156</v>
      </c>
      <c r="C15" s="98">
        <v>8000000</v>
      </c>
      <c r="D15" s="375"/>
    </row>
    <row r="16" spans="1:5">
      <c r="A16" s="97"/>
      <c r="B16" s="94" t="s">
        <v>157</v>
      </c>
      <c r="C16" s="98">
        <v>10000000</v>
      </c>
      <c r="D16" s="375"/>
    </row>
    <row r="17" spans="1:5" s="114" customFormat="1" ht="31">
      <c r="A17" s="111">
        <v>2</v>
      </c>
      <c r="B17" s="115" t="s">
        <v>160</v>
      </c>
      <c r="C17" s="116">
        <v>249141261</v>
      </c>
      <c r="D17" s="375"/>
    </row>
    <row r="18" spans="1:5" s="114" customFormat="1" ht="62">
      <c r="A18" s="111">
        <v>3</v>
      </c>
      <c r="B18" s="117" t="s">
        <v>161</v>
      </c>
      <c r="C18" s="116">
        <f>+C19+C20+525386460</f>
        <v>556411583</v>
      </c>
      <c r="D18" s="375"/>
      <c r="E18" s="119">
        <f>+C18+C25+C28+C17</f>
        <v>2174466463</v>
      </c>
    </row>
    <row r="19" spans="1:5">
      <c r="A19" s="93" t="s">
        <v>4</v>
      </c>
      <c r="B19" s="99" t="s">
        <v>159</v>
      </c>
      <c r="C19" s="98">
        <v>6015896</v>
      </c>
      <c r="D19" s="375"/>
    </row>
    <row r="20" spans="1:5">
      <c r="A20" s="93" t="s">
        <v>4</v>
      </c>
      <c r="B20" s="100" t="s">
        <v>156</v>
      </c>
      <c r="C20" s="98">
        <v>25009227</v>
      </c>
      <c r="D20" s="375"/>
    </row>
    <row r="21" spans="1:5">
      <c r="A21" s="93">
        <v>4</v>
      </c>
      <c r="B21" s="94" t="s">
        <v>162</v>
      </c>
      <c r="C21" s="92">
        <f>+C22+C23+C24</f>
        <v>80681241</v>
      </c>
      <c r="D21" s="375"/>
    </row>
    <row r="22" spans="1:5">
      <c r="A22" s="97"/>
      <c r="B22" s="94" t="s">
        <v>159</v>
      </c>
      <c r="C22" s="98">
        <v>14037092</v>
      </c>
      <c r="D22" s="375"/>
    </row>
    <row r="23" spans="1:5">
      <c r="A23" s="97"/>
      <c r="B23" s="94" t="s">
        <v>156</v>
      </c>
      <c r="C23" s="98">
        <v>18653580</v>
      </c>
      <c r="D23" s="375"/>
    </row>
    <row r="24" spans="1:5">
      <c r="A24" s="97"/>
      <c r="B24" s="94" t="s">
        <v>157</v>
      </c>
      <c r="C24" s="98">
        <v>47990569</v>
      </c>
      <c r="D24" s="375"/>
    </row>
    <row r="25" spans="1:5" s="114" customFormat="1">
      <c r="A25" s="111">
        <v>5</v>
      </c>
      <c r="B25" s="112" t="s">
        <v>163</v>
      </c>
      <c r="C25" s="116">
        <f>+C26+C27</f>
        <v>293441340</v>
      </c>
      <c r="D25" s="375"/>
      <c r="E25" s="377" t="s">
        <v>173</v>
      </c>
    </row>
    <row r="26" spans="1:5" s="114" customFormat="1">
      <c r="A26" s="118"/>
      <c r="B26" s="112" t="s">
        <v>159</v>
      </c>
      <c r="C26" s="116">
        <v>6345288</v>
      </c>
      <c r="D26" s="375"/>
      <c r="E26" s="377"/>
    </row>
    <row r="27" spans="1:5" s="114" customFormat="1">
      <c r="A27" s="118"/>
      <c r="B27" s="112" t="s">
        <v>156</v>
      </c>
      <c r="C27" s="116">
        <v>287096052</v>
      </c>
      <c r="D27" s="375"/>
      <c r="E27" s="377"/>
    </row>
    <row r="28" spans="1:5">
      <c r="A28" s="97">
        <v>6</v>
      </c>
      <c r="B28" s="94" t="s">
        <v>164</v>
      </c>
      <c r="C28" s="98">
        <f>+C29</f>
        <v>1075472279</v>
      </c>
      <c r="D28" s="376"/>
    </row>
    <row r="29" spans="1:5" ht="62">
      <c r="A29" s="93"/>
      <c r="B29" s="100" t="s">
        <v>161</v>
      </c>
      <c r="C29" s="98">
        <v>1075472279</v>
      </c>
      <c r="D29" s="101"/>
    </row>
    <row r="30" spans="1:5">
      <c r="A30" s="90" t="s">
        <v>26</v>
      </c>
      <c r="B30" s="102" t="s">
        <v>165</v>
      </c>
      <c r="C30" s="103">
        <f>C31+C32+C33</f>
        <v>12363486728</v>
      </c>
      <c r="D30" s="101"/>
    </row>
    <row r="31" spans="1:5" ht="46.5">
      <c r="A31" s="104">
        <v>1</v>
      </c>
      <c r="B31" s="105" t="s">
        <v>166</v>
      </c>
      <c r="C31" s="106">
        <v>650000000</v>
      </c>
      <c r="D31" s="107" t="s">
        <v>167</v>
      </c>
    </row>
    <row r="32" spans="1:5" ht="31">
      <c r="A32" s="104">
        <v>2</v>
      </c>
      <c r="B32" s="105" t="s">
        <v>168</v>
      </c>
      <c r="C32" s="98">
        <v>8022000000</v>
      </c>
      <c r="D32" s="107" t="s">
        <v>169</v>
      </c>
    </row>
    <row r="33" spans="1:4" ht="46.5">
      <c r="A33" s="104">
        <v>3</v>
      </c>
      <c r="B33" s="108" t="s">
        <v>170</v>
      </c>
      <c r="C33" s="109">
        <f>+'[1]Biểu  theo QĐ 640 điểu chỉnh '!P19</f>
        <v>3691486728</v>
      </c>
      <c r="D33" s="110" t="s">
        <v>171</v>
      </c>
    </row>
  </sheetData>
  <mergeCells count="5">
    <mergeCell ref="A1:D1"/>
    <mergeCell ref="A2:D2"/>
    <mergeCell ref="A4:D4"/>
    <mergeCell ref="D8:D28"/>
    <mergeCell ref="E25:E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tabSelected="1" topLeftCell="B1" zoomScaleNormal="100" workbookViewId="0">
      <selection activeCell="T6" sqref="T6"/>
    </sheetView>
  </sheetViews>
  <sheetFormatPr defaultRowHeight="14"/>
  <cols>
    <col min="1" max="1" width="7" style="5" customWidth="1"/>
    <col min="2" max="2" width="43.4140625" style="3" customWidth="1"/>
    <col min="3" max="3" width="11.9140625" style="3" hidden="1" customWidth="1"/>
    <col min="4" max="4" width="9" style="3" hidden="1" customWidth="1"/>
    <col min="5" max="5" width="6.6640625" style="3" hidden="1" customWidth="1"/>
    <col min="6" max="6" width="7" style="3" hidden="1" customWidth="1"/>
    <col min="7" max="7" width="7.33203125" style="3" hidden="1" customWidth="1"/>
    <col min="8" max="8" width="7.58203125" style="3" hidden="1" customWidth="1"/>
    <col min="9" max="9" width="16.4140625" style="3" customWidth="1"/>
    <col min="10" max="10" width="17" style="156" customWidth="1"/>
    <col min="11" max="11" width="19" style="3" hidden="1" customWidth="1"/>
    <col min="12" max="12" width="16.9140625" style="3" hidden="1" customWidth="1"/>
    <col min="13" max="13" width="12.4140625" style="3" hidden="1" customWidth="1"/>
    <col min="14" max="14" width="14.4140625" style="3" hidden="1" customWidth="1"/>
    <col min="15" max="15" width="12.33203125" style="3" hidden="1" customWidth="1"/>
    <col min="16" max="16" width="12" style="3" hidden="1" customWidth="1"/>
    <col min="17" max="17" width="18.08203125" style="3" hidden="1" customWidth="1"/>
    <col min="18" max="18" width="17.4140625" style="3" hidden="1" customWidth="1"/>
    <col min="19" max="19" width="18.08203125" style="3" hidden="1" customWidth="1"/>
    <col min="20" max="20" width="18.08203125" style="3" customWidth="1"/>
    <col min="21" max="21" width="16.33203125" style="3" customWidth="1"/>
    <col min="22" max="22" width="17" style="3" customWidth="1"/>
    <col min="23" max="23" width="21.08203125" style="263" customWidth="1"/>
    <col min="24" max="24" width="15.25" style="3" customWidth="1"/>
    <col min="25" max="25" width="16.9140625" hidden="1" customWidth="1"/>
    <col min="26" max="32" width="8.9140625" hidden="1" customWidth="1"/>
  </cols>
  <sheetData>
    <row r="1" spans="1:25" s="246" customFormat="1">
      <c r="A1" s="264"/>
      <c r="B1" s="265"/>
      <c r="C1" s="265"/>
      <c r="D1" s="265"/>
      <c r="E1" s="265"/>
      <c r="F1" s="265"/>
      <c r="G1" s="265"/>
      <c r="H1" s="265"/>
      <c r="I1" s="265"/>
      <c r="J1" s="266"/>
      <c r="K1" s="265"/>
      <c r="L1" s="265"/>
      <c r="M1" s="265"/>
      <c r="N1" s="265"/>
      <c r="O1" s="265"/>
      <c r="P1" s="265"/>
      <c r="Q1" s="265"/>
      <c r="R1" s="265"/>
      <c r="S1" s="265"/>
      <c r="T1" s="265"/>
      <c r="U1" s="265"/>
      <c r="V1" s="265"/>
      <c r="W1" s="267"/>
      <c r="X1" s="264" t="s">
        <v>390</v>
      </c>
    </row>
    <row r="2" spans="1:25" s="246" customFormat="1" ht="44.25" customHeight="1">
      <c r="A2" s="390" t="s">
        <v>442</v>
      </c>
      <c r="B2" s="390"/>
      <c r="C2" s="390"/>
      <c r="D2" s="390"/>
      <c r="E2" s="390"/>
      <c r="F2" s="390"/>
      <c r="G2" s="390"/>
      <c r="H2" s="390"/>
      <c r="I2" s="390"/>
      <c r="J2" s="390"/>
      <c r="K2" s="390"/>
      <c r="L2" s="390"/>
      <c r="M2" s="390"/>
      <c r="N2" s="390"/>
      <c r="O2" s="390"/>
      <c r="P2" s="390"/>
      <c r="Q2" s="390"/>
      <c r="R2" s="390"/>
      <c r="S2" s="390"/>
      <c r="T2" s="390"/>
      <c r="U2" s="390"/>
      <c r="V2" s="390"/>
      <c r="W2" s="390"/>
      <c r="X2" s="390"/>
    </row>
    <row r="3" spans="1:25" s="246" customFormat="1">
      <c r="A3" s="391" t="s">
        <v>445</v>
      </c>
      <c r="B3" s="391"/>
      <c r="C3" s="391"/>
      <c r="D3" s="391"/>
      <c r="E3" s="391"/>
      <c r="F3" s="391"/>
      <c r="G3" s="391"/>
      <c r="H3" s="391"/>
      <c r="I3" s="391"/>
      <c r="J3" s="391"/>
      <c r="K3" s="391"/>
      <c r="L3" s="391"/>
      <c r="M3" s="391"/>
      <c r="N3" s="391"/>
      <c r="O3" s="391"/>
      <c r="P3" s="391"/>
      <c r="Q3" s="391"/>
      <c r="R3" s="391"/>
      <c r="S3" s="391"/>
      <c r="T3" s="391"/>
      <c r="U3" s="391"/>
      <c r="V3" s="391"/>
      <c r="W3" s="391"/>
      <c r="X3" s="391"/>
      <c r="Y3" s="246" t="s">
        <v>389</v>
      </c>
    </row>
    <row r="4" spans="1:25" s="246" customFormat="1">
      <c r="A4" s="268"/>
      <c r="B4" s="268"/>
      <c r="C4" s="268"/>
      <c r="D4" s="268"/>
      <c r="E4" s="268"/>
      <c r="F4" s="268"/>
      <c r="G4" s="268"/>
      <c r="H4" s="268"/>
      <c r="I4" s="268"/>
      <c r="J4" s="269"/>
      <c r="K4" s="268"/>
      <c r="L4" s="268"/>
      <c r="M4" s="268"/>
      <c r="N4" s="268"/>
      <c r="O4" s="268"/>
      <c r="P4" s="392" t="s">
        <v>6</v>
      </c>
      <c r="Q4" s="392"/>
      <c r="R4" s="392"/>
      <c r="S4" s="392"/>
      <c r="T4" s="392"/>
      <c r="U4" s="392"/>
      <c r="V4" s="392"/>
      <c r="W4" s="392"/>
      <c r="X4" s="392"/>
    </row>
    <row r="5" spans="1:25" s="246" customFormat="1" ht="15.75" customHeight="1">
      <c r="A5" s="378" t="s">
        <v>0</v>
      </c>
      <c r="B5" s="378" t="s">
        <v>1</v>
      </c>
      <c r="C5" s="393" t="s">
        <v>12</v>
      </c>
      <c r="D5" s="393" t="s">
        <v>7</v>
      </c>
      <c r="E5" s="393" t="s">
        <v>8</v>
      </c>
      <c r="F5" s="393" t="s">
        <v>9</v>
      </c>
      <c r="G5" s="393" t="s">
        <v>10</v>
      </c>
      <c r="H5" s="393" t="s">
        <v>11</v>
      </c>
      <c r="I5" s="378" t="s">
        <v>2</v>
      </c>
      <c r="J5" s="382" t="s">
        <v>444</v>
      </c>
      <c r="K5" s="383"/>
      <c r="L5" s="383"/>
      <c r="M5" s="383"/>
      <c r="N5" s="383"/>
      <c r="O5" s="383"/>
      <c r="P5" s="383"/>
      <c r="Q5" s="384"/>
      <c r="R5" s="380" t="s">
        <v>224</v>
      </c>
      <c r="S5" s="380" t="s">
        <v>296</v>
      </c>
      <c r="T5" s="358"/>
      <c r="U5" s="388" t="s">
        <v>199</v>
      </c>
      <c r="V5" s="389"/>
      <c r="W5" s="394" t="s">
        <v>295</v>
      </c>
      <c r="X5" s="378" t="s">
        <v>3</v>
      </c>
      <c r="Y5" s="246" t="s">
        <v>438</v>
      </c>
    </row>
    <row r="6" spans="1:25" s="246" customFormat="1" ht="96.75" customHeight="1">
      <c r="A6" s="379"/>
      <c r="B6" s="379"/>
      <c r="C6" s="393"/>
      <c r="D6" s="393"/>
      <c r="E6" s="393"/>
      <c r="F6" s="393"/>
      <c r="G6" s="393"/>
      <c r="H6" s="393"/>
      <c r="I6" s="379"/>
      <c r="J6" s="385"/>
      <c r="K6" s="386"/>
      <c r="L6" s="386"/>
      <c r="M6" s="386"/>
      <c r="N6" s="386"/>
      <c r="O6" s="386"/>
      <c r="P6" s="386"/>
      <c r="Q6" s="387"/>
      <c r="R6" s="381"/>
      <c r="S6" s="381"/>
      <c r="T6" s="356" t="s">
        <v>379</v>
      </c>
      <c r="U6" s="270" t="s">
        <v>185</v>
      </c>
      <c r="V6" s="271" t="s">
        <v>186</v>
      </c>
      <c r="W6" s="394"/>
      <c r="X6" s="379"/>
      <c r="Y6" s="246" t="s">
        <v>359</v>
      </c>
    </row>
    <row r="7" spans="1:25" s="246" customFormat="1" ht="26.25" customHeight="1">
      <c r="A7" s="272"/>
      <c r="B7" s="273" t="s">
        <v>5</v>
      </c>
      <c r="C7" s="273"/>
      <c r="D7" s="273"/>
      <c r="E7" s="273"/>
      <c r="F7" s="273"/>
      <c r="G7" s="273"/>
      <c r="H7" s="273"/>
      <c r="I7" s="274">
        <f>+I8+I19</f>
        <v>5704225000</v>
      </c>
      <c r="J7" s="274">
        <f t="shared" ref="J7:T7" si="0">+J8+J19</f>
        <v>652000000</v>
      </c>
      <c r="K7" s="274">
        <f t="shared" si="0"/>
        <v>0</v>
      </c>
      <c r="L7" s="274">
        <f t="shared" si="0"/>
        <v>0</v>
      </c>
      <c r="M7" s="274">
        <f t="shared" si="0"/>
        <v>0</v>
      </c>
      <c r="N7" s="274">
        <f t="shared" si="0"/>
        <v>0</v>
      </c>
      <c r="O7" s="274">
        <f t="shared" si="0"/>
        <v>0</v>
      </c>
      <c r="P7" s="274">
        <f t="shared" si="0"/>
        <v>0</v>
      </c>
      <c r="Q7" s="274">
        <f t="shared" si="0"/>
        <v>0</v>
      </c>
      <c r="R7" s="274">
        <f t="shared" si="0"/>
        <v>0</v>
      </c>
      <c r="S7" s="274">
        <f t="shared" si="0"/>
        <v>652000000</v>
      </c>
      <c r="T7" s="274">
        <f t="shared" si="0"/>
        <v>5052225000</v>
      </c>
      <c r="U7" s="274">
        <f>+U8+U19</f>
        <v>1815181000</v>
      </c>
      <c r="V7" s="274">
        <f t="shared" ref="V7" si="1">+V8+V19</f>
        <v>1815181000</v>
      </c>
      <c r="W7" s="274">
        <f>+W8+W19</f>
        <v>5704225000</v>
      </c>
      <c r="X7" s="275">
        <v>0</v>
      </c>
      <c r="Y7" s="276">
        <f>W7-I7</f>
        <v>0</v>
      </c>
    </row>
    <row r="8" spans="1:25" s="246" customFormat="1" ht="51.75" customHeight="1">
      <c r="A8" s="273" t="s">
        <v>25</v>
      </c>
      <c r="B8" s="359" t="s">
        <v>441</v>
      </c>
      <c r="C8" s="273"/>
      <c r="D8" s="273"/>
      <c r="E8" s="273"/>
      <c r="F8" s="273"/>
      <c r="G8" s="273"/>
      <c r="H8" s="273"/>
      <c r="I8" s="274">
        <f>+J8+T8</f>
        <v>5052225000</v>
      </c>
      <c r="J8" s="274"/>
      <c r="K8" s="274">
        <f t="shared" ref="K8:V8" si="2">+K9</f>
        <v>0</v>
      </c>
      <c r="L8" s="274">
        <f t="shared" si="2"/>
        <v>0</v>
      </c>
      <c r="M8" s="274">
        <f t="shared" si="2"/>
        <v>0</v>
      </c>
      <c r="N8" s="274">
        <f t="shared" si="2"/>
        <v>0</v>
      </c>
      <c r="O8" s="274">
        <f t="shared" si="2"/>
        <v>0</v>
      </c>
      <c r="P8" s="274">
        <f t="shared" si="2"/>
        <v>0</v>
      </c>
      <c r="Q8" s="274">
        <f t="shared" si="2"/>
        <v>0</v>
      </c>
      <c r="R8" s="274">
        <f t="shared" si="2"/>
        <v>0</v>
      </c>
      <c r="S8" s="274">
        <f t="shared" si="2"/>
        <v>0</v>
      </c>
      <c r="T8" s="274">
        <f>+T9</f>
        <v>5052225000</v>
      </c>
      <c r="U8" s="274">
        <f t="shared" si="2"/>
        <v>1163181000</v>
      </c>
      <c r="V8" s="274">
        <f t="shared" si="2"/>
        <v>1163181000</v>
      </c>
      <c r="W8" s="274">
        <f>+W9</f>
        <v>5052225000</v>
      </c>
      <c r="X8" s="275"/>
      <c r="Y8" s="276"/>
    </row>
    <row r="9" spans="1:25" s="246" customFormat="1" ht="48" customHeight="1">
      <c r="A9" s="273" t="s">
        <v>42</v>
      </c>
      <c r="B9" s="277" t="s">
        <v>216</v>
      </c>
      <c r="C9" s="277"/>
      <c r="D9" s="277"/>
      <c r="E9" s="277"/>
      <c r="F9" s="277"/>
      <c r="G9" s="277"/>
      <c r="H9" s="277"/>
      <c r="I9" s="274">
        <f>+J9+T9</f>
        <v>5052225000</v>
      </c>
      <c r="J9" s="290"/>
      <c r="K9" s="290">
        <f t="shared" ref="K9:W10" si="3">+K10</f>
        <v>0</v>
      </c>
      <c r="L9" s="290">
        <f t="shared" si="3"/>
        <v>0</v>
      </c>
      <c r="M9" s="290">
        <f t="shared" si="3"/>
        <v>0</v>
      </c>
      <c r="N9" s="290">
        <f t="shared" si="3"/>
        <v>0</v>
      </c>
      <c r="O9" s="290">
        <f t="shared" si="3"/>
        <v>0</v>
      </c>
      <c r="P9" s="290">
        <f t="shared" si="3"/>
        <v>0</v>
      </c>
      <c r="Q9" s="290">
        <f t="shared" si="3"/>
        <v>0</v>
      </c>
      <c r="R9" s="290">
        <f t="shared" si="3"/>
        <v>0</v>
      </c>
      <c r="S9" s="290">
        <f t="shared" si="3"/>
        <v>0</v>
      </c>
      <c r="T9" s="290">
        <f>+T10</f>
        <v>5052225000</v>
      </c>
      <c r="U9" s="290">
        <f>+U10</f>
        <v>1163181000</v>
      </c>
      <c r="V9" s="290">
        <f t="shared" si="3"/>
        <v>1163181000</v>
      </c>
      <c r="W9" s="290">
        <f t="shared" si="3"/>
        <v>5052225000</v>
      </c>
      <c r="X9" s="275"/>
      <c r="Y9" s="276"/>
    </row>
    <row r="10" spans="1:25" s="246" customFormat="1" ht="20.25" customHeight="1">
      <c r="A10" s="273">
        <v>1</v>
      </c>
      <c r="B10" s="277" t="s">
        <v>439</v>
      </c>
      <c r="C10" s="277"/>
      <c r="D10" s="277"/>
      <c r="E10" s="277"/>
      <c r="F10" s="277"/>
      <c r="G10" s="277"/>
      <c r="H10" s="277"/>
      <c r="I10" s="274">
        <f t="shared" ref="I10:I17" si="4">+J10+T10</f>
        <v>5052225000</v>
      </c>
      <c r="J10" s="314"/>
      <c r="K10" s="314">
        <f t="shared" si="3"/>
        <v>0</v>
      </c>
      <c r="L10" s="314">
        <f t="shared" si="3"/>
        <v>0</v>
      </c>
      <c r="M10" s="314">
        <f t="shared" si="3"/>
        <v>0</v>
      </c>
      <c r="N10" s="314">
        <f t="shared" si="3"/>
        <v>0</v>
      </c>
      <c r="O10" s="314">
        <f t="shared" si="3"/>
        <v>0</v>
      </c>
      <c r="P10" s="314">
        <f t="shared" si="3"/>
        <v>0</v>
      </c>
      <c r="Q10" s="314">
        <f t="shared" si="3"/>
        <v>0</v>
      </c>
      <c r="R10" s="314">
        <f t="shared" si="3"/>
        <v>0</v>
      </c>
      <c r="S10" s="314">
        <f t="shared" si="3"/>
        <v>0</v>
      </c>
      <c r="T10" s="314">
        <f>+T11+T16</f>
        <v>5052225000</v>
      </c>
      <c r="U10" s="314">
        <f>+U11+U16</f>
        <v>1163181000</v>
      </c>
      <c r="V10" s="314">
        <f>+V18</f>
        <v>1163181000</v>
      </c>
      <c r="W10" s="314">
        <f>+W11+W16+W18</f>
        <v>5052225000</v>
      </c>
      <c r="X10" s="275"/>
      <c r="Y10" s="276"/>
    </row>
    <row r="11" spans="1:25" s="246" customFormat="1" ht="70.5" customHeight="1">
      <c r="A11" s="273" t="s">
        <v>357</v>
      </c>
      <c r="B11" s="277" t="s">
        <v>380</v>
      </c>
      <c r="C11" s="277"/>
      <c r="D11" s="277"/>
      <c r="E11" s="277"/>
      <c r="F11" s="277"/>
      <c r="G11" s="277"/>
      <c r="H11" s="277"/>
      <c r="I11" s="274">
        <f t="shared" si="4"/>
        <v>4929080000</v>
      </c>
      <c r="J11" s="290"/>
      <c r="K11" s="290">
        <f t="shared" ref="K11:W14" si="5">+K12</f>
        <v>0</v>
      </c>
      <c r="L11" s="290">
        <f t="shared" si="5"/>
        <v>0</v>
      </c>
      <c r="M11" s="290">
        <f t="shared" si="5"/>
        <v>0</v>
      </c>
      <c r="N11" s="290">
        <f t="shared" si="5"/>
        <v>0</v>
      </c>
      <c r="O11" s="290">
        <f t="shared" si="5"/>
        <v>0</v>
      </c>
      <c r="P11" s="290">
        <f t="shared" si="5"/>
        <v>0</v>
      </c>
      <c r="Q11" s="290">
        <f t="shared" si="5"/>
        <v>0</v>
      </c>
      <c r="R11" s="290">
        <f t="shared" si="5"/>
        <v>0</v>
      </c>
      <c r="S11" s="290">
        <f t="shared" si="5"/>
        <v>0</v>
      </c>
      <c r="T11" s="290">
        <f t="shared" si="5"/>
        <v>4929080000</v>
      </c>
      <c r="U11" s="290">
        <f>+U12</f>
        <v>1085460000</v>
      </c>
      <c r="V11" s="290">
        <f t="shared" si="5"/>
        <v>0</v>
      </c>
      <c r="W11" s="290">
        <f>+W12</f>
        <v>3843620000</v>
      </c>
      <c r="X11" s="275"/>
      <c r="Y11" s="276"/>
    </row>
    <row r="12" spans="1:25" s="246" customFormat="1" ht="44.25" customHeight="1">
      <c r="A12" s="273"/>
      <c r="B12" s="80" t="s">
        <v>381</v>
      </c>
      <c r="C12" s="277"/>
      <c r="D12" s="277"/>
      <c r="E12" s="277"/>
      <c r="F12" s="277"/>
      <c r="G12" s="277"/>
      <c r="H12" s="277"/>
      <c r="I12" s="274">
        <f t="shared" si="4"/>
        <v>4929080000</v>
      </c>
      <c r="J12" s="315"/>
      <c r="K12" s="315">
        <f t="shared" si="5"/>
        <v>0</v>
      </c>
      <c r="L12" s="315">
        <f t="shared" si="5"/>
        <v>0</v>
      </c>
      <c r="M12" s="315">
        <f t="shared" si="5"/>
        <v>0</v>
      </c>
      <c r="N12" s="315">
        <f t="shared" si="5"/>
        <v>0</v>
      </c>
      <c r="O12" s="315">
        <f t="shared" si="5"/>
        <v>0</v>
      </c>
      <c r="P12" s="315">
        <f t="shared" si="5"/>
        <v>0</v>
      </c>
      <c r="Q12" s="315">
        <f t="shared" si="5"/>
        <v>0</v>
      </c>
      <c r="R12" s="315">
        <f t="shared" si="5"/>
        <v>0</v>
      </c>
      <c r="S12" s="315">
        <f t="shared" si="5"/>
        <v>0</v>
      </c>
      <c r="T12" s="315">
        <f>+T13</f>
        <v>4929080000</v>
      </c>
      <c r="U12" s="315">
        <f>+U13</f>
        <v>1085460000</v>
      </c>
      <c r="V12" s="315">
        <f t="shared" si="5"/>
        <v>0</v>
      </c>
      <c r="W12" s="315">
        <f t="shared" si="5"/>
        <v>3843620000</v>
      </c>
      <c r="X12" s="275"/>
      <c r="Y12" s="276"/>
    </row>
    <row r="13" spans="1:25" s="246" customFormat="1" ht="26.25" customHeight="1">
      <c r="A13" s="273"/>
      <c r="B13" s="80" t="s">
        <v>382</v>
      </c>
      <c r="C13" s="277"/>
      <c r="D13" s="277"/>
      <c r="E13" s="277"/>
      <c r="F13" s="277"/>
      <c r="G13" s="277"/>
      <c r="H13" s="277"/>
      <c r="I13" s="274">
        <f t="shared" si="4"/>
        <v>4929080000</v>
      </c>
      <c r="J13" s="315"/>
      <c r="K13" s="315">
        <f t="shared" si="5"/>
        <v>0</v>
      </c>
      <c r="L13" s="315">
        <f t="shared" si="5"/>
        <v>0</v>
      </c>
      <c r="M13" s="315">
        <f t="shared" si="5"/>
        <v>0</v>
      </c>
      <c r="N13" s="315">
        <f t="shared" si="5"/>
        <v>0</v>
      </c>
      <c r="O13" s="315">
        <f t="shared" si="5"/>
        <v>0</v>
      </c>
      <c r="P13" s="315">
        <f t="shared" si="5"/>
        <v>0</v>
      </c>
      <c r="Q13" s="315">
        <f t="shared" si="5"/>
        <v>0</v>
      </c>
      <c r="R13" s="315">
        <f t="shared" si="5"/>
        <v>0</v>
      </c>
      <c r="S13" s="315">
        <f t="shared" si="5"/>
        <v>0</v>
      </c>
      <c r="T13" s="315">
        <f>+T14</f>
        <v>4929080000</v>
      </c>
      <c r="U13" s="315">
        <f t="shared" si="5"/>
        <v>1085460000</v>
      </c>
      <c r="V13" s="315">
        <f t="shared" si="5"/>
        <v>0</v>
      </c>
      <c r="W13" s="315">
        <f t="shared" si="5"/>
        <v>3843620000</v>
      </c>
      <c r="X13" s="275"/>
      <c r="Y13" s="276"/>
    </row>
    <row r="14" spans="1:25" s="246" customFormat="1" ht="26.25" customHeight="1">
      <c r="A14" s="273"/>
      <c r="B14" s="80" t="s">
        <v>383</v>
      </c>
      <c r="C14" s="277"/>
      <c r="D14" s="277"/>
      <c r="E14" s="277"/>
      <c r="F14" s="277"/>
      <c r="G14" s="277"/>
      <c r="H14" s="277"/>
      <c r="I14" s="274">
        <f t="shared" si="4"/>
        <v>4929080000</v>
      </c>
      <c r="J14" s="315"/>
      <c r="K14" s="315">
        <f t="shared" si="5"/>
        <v>0</v>
      </c>
      <c r="L14" s="315">
        <f t="shared" si="5"/>
        <v>0</v>
      </c>
      <c r="M14" s="315">
        <f t="shared" si="5"/>
        <v>0</v>
      </c>
      <c r="N14" s="315">
        <f t="shared" si="5"/>
        <v>0</v>
      </c>
      <c r="O14" s="315">
        <f t="shared" si="5"/>
        <v>0</v>
      </c>
      <c r="P14" s="315">
        <f t="shared" si="5"/>
        <v>0</v>
      </c>
      <c r="Q14" s="315">
        <f t="shared" si="5"/>
        <v>0</v>
      </c>
      <c r="R14" s="315">
        <f t="shared" si="5"/>
        <v>0</v>
      </c>
      <c r="S14" s="315">
        <f t="shared" si="5"/>
        <v>0</v>
      </c>
      <c r="T14" s="315">
        <f>+T15</f>
        <v>4929080000</v>
      </c>
      <c r="U14" s="315">
        <f t="shared" si="5"/>
        <v>1085460000</v>
      </c>
      <c r="V14" s="315">
        <f t="shared" si="5"/>
        <v>0</v>
      </c>
      <c r="W14" s="315">
        <f t="shared" si="5"/>
        <v>3843620000</v>
      </c>
      <c r="X14" s="275"/>
      <c r="Y14" s="276"/>
    </row>
    <row r="15" spans="1:25" s="246" customFormat="1" ht="26.25" customHeight="1">
      <c r="A15" s="273"/>
      <c r="B15" s="80" t="s">
        <v>174</v>
      </c>
      <c r="C15" s="84">
        <v>1163290</v>
      </c>
      <c r="D15" s="316">
        <v>831</v>
      </c>
      <c r="E15" s="277">
        <v>280</v>
      </c>
      <c r="F15" s="277">
        <v>281</v>
      </c>
      <c r="G15" s="277">
        <v>12</v>
      </c>
      <c r="H15" s="277">
        <v>10513</v>
      </c>
      <c r="I15" s="274">
        <f t="shared" si="4"/>
        <v>4929080000</v>
      </c>
      <c r="J15" s="315"/>
      <c r="K15" s="315"/>
      <c r="L15" s="315"/>
      <c r="M15" s="315"/>
      <c r="N15" s="315"/>
      <c r="O15" s="315"/>
      <c r="P15" s="315"/>
      <c r="Q15" s="315"/>
      <c r="R15" s="315"/>
      <c r="S15" s="315"/>
      <c r="T15" s="315">
        <v>4929080000</v>
      </c>
      <c r="U15" s="315">
        <v>1085460000</v>
      </c>
      <c r="V15" s="315"/>
      <c r="W15" s="315">
        <f>I15-U15</f>
        <v>3843620000</v>
      </c>
      <c r="X15" s="275"/>
      <c r="Y15" s="276"/>
    </row>
    <row r="16" spans="1:25" s="246" customFormat="1" ht="26.25" customHeight="1">
      <c r="A16" s="273" t="s">
        <v>358</v>
      </c>
      <c r="B16" s="277" t="s">
        <v>384</v>
      </c>
      <c r="C16" s="84"/>
      <c r="D16" s="295"/>
      <c r="E16" s="318"/>
      <c r="F16" s="318"/>
      <c r="G16" s="295"/>
      <c r="H16" s="277"/>
      <c r="I16" s="274">
        <f t="shared" si="4"/>
        <v>123145000</v>
      </c>
      <c r="J16" s="290"/>
      <c r="K16" s="290">
        <f t="shared" ref="K16:W16" si="6">+K17</f>
        <v>0</v>
      </c>
      <c r="L16" s="290">
        <f t="shared" si="6"/>
        <v>0</v>
      </c>
      <c r="M16" s="290">
        <f t="shared" si="6"/>
        <v>0</v>
      </c>
      <c r="N16" s="290">
        <f t="shared" si="6"/>
        <v>0</v>
      </c>
      <c r="O16" s="290">
        <f t="shared" si="6"/>
        <v>0</v>
      </c>
      <c r="P16" s="290">
        <f t="shared" si="6"/>
        <v>0</v>
      </c>
      <c r="Q16" s="290">
        <f t="shared" si="6"/>
        <v>0</v>
      </c>
      <c r="R16" s="290">
        <f t="shared" si="6"/>
        <v>0</v>
      </c>
      <c r="S16" s="290">
        <f t="shared" si="6"/>
        <v>0</v>
      </c>
      <c r="T16" s="290">
        <f t="shared" si="6"/>
        <v>123145000</v>
      </c>
      <c r="U16" s="290">
        <f t="shared" si="6"/>
        <v>77721000</v>
      </c>
      <c r="V16" s="290">
        <f t="shared" si="6"/>
        <v>0</v>
      </c>
      <c r="W16" s="290">
        <f t="shared" si="6"/>
        <v>45424000</v>
      </c>
      <c r="X16" s="275"/>
      <c r="Y16" s="276"/>
    </row>
    <row r="17" spans="1:25" s="246" customFormat="1" ht="26.25" customHeight="1">
      <c r="A17" s="273"/>
      <c r="B17" s="80" t="s">
        <v>385</v>
      </c>
      <c r="C17" s="312">
        <v>1160187</v>
      </c>
      <c r="D17" s="312">
        <v>820</v>
      </c>
      <c r="E17" s="312">
        <v>370</v>
      </c>
      <c r="F17" s="312">
        <v>398</v>
      </c>
      <c r="G17" s="312">
        <v>12</v>
      </c>
      <c r="H17" s="80">
        <v>10518</v>
      </c>
      <c r="I17" s="274">
        <f t="shared" si="4"/>
        <v>123145000</v>
      </c>
      <c r="J17" s="310"/>
      <c r="K17" s="80"/>
      <c r="L17" s="80"/>
      <c r="M17" s="80"/>
      <c r="N17" s="80"/>
      <c r="O17" s="80"/>
      <c r="P17" s="80"/>
      <c r="Q17" s="80"/>
      <c r="R17" s="80"/>
      <c r="S17" s="310"/>
      <c r="T17" s="310">
        <v>123145000</v>
      </c>
      <c r="U17" s="317">
        <v>77721000</v>
      </c>
      <c r="V17" s="317"/>
      <c r="W17" s="310">
        <f>I17-U17</f>
        <v>45424000</v>
      </c>
      <c r="X17" s="275"/>
      <c r="Y17" s="276"/>
    </row>
    <row r="18" spans="1:25" s="246" customFormat="1" ht="26.25" customHeight="1">
      <c r="A18" s="273">
        <v>2</v>
      </c>
      <c r="B18" s="277" t="s">
        <v>440</v>
      </c>
      <c r="C18" s="312"/>
      <c r="D18" s="312"/>
      <c r="E18" s="312"/>
      <c r="F18" s="312"/>
      <c r="G18" s="312"/>
      <c r="H18" s="80"/>
      <c r="I18" s="274"/>
      <c r="J18" s="310"/>
      <c r="K18" s="80"/>
      <c r="L18" s="80"/>
      <c r="M18" s="80"/>
      <c r="N18" s="80"/>
      <c r="O18" s="80"/>
      <c r="P18" s="80"/>
      <c r="Q18" s="80"/>
      <c r="R18" s="80"/>
      <c r="S18" s="310"/>
      <c r="T18" s="310"/>
      <c r="U18" s="317"/>
      <c r="V18" s="313">
        <v>1163181000</v>
      </c>
      <c r="W18" s="290">
        <f>+V18</f>
        <v>1163181000</v>
      </c>
      <c r="X18" s="275"/>
      <c r="Y18" s="276"/>
    </row>
    <row r="19" spans="1:25" s="246" customFormat="1" ht="26.25" customHeight="1">
      <c r="A19" s="273" t="s">
        <v>26</v>
      </c>
      <c r="B19" s="273" t="s">
        <v>430</v>
      </c>
      <c r="C19" s="273"/>
      <c r="D19" s="273"/>
      <c r="E19" s="273"/>
      <c r="F19" s="273"/>
      <c r="G19" s="273"/>
      <c r="H19" s="273"/>
      <c r="I19" s="274">
        <f>+I20</f>
        <v>652000000</v>
      </c>
      <c r="J19" s="274">
        <f t="shared" ref="J19:W21" si="7">+J20</f>
        <v>652000000</v>
      </c>
      <c r="K19" s="274">
        <f t="shared" si="7"/>
        <v>0</v>
      </c>
      <c r="L19" s="274">
        <f t="shared" si="7"/>
        <v>0</v>
      </c>
      <c r="M19" s="274">
        <f t="shared" si="7"/>
        <v>0</v>
      </c>
      <c r="N19" s="274">
        <f t="shared" si="7"/>
        <v>0</v>
      </c>
      <c r="O19" s="274">
        <f t="shared" si="7"/>
        <v>0</v>
      </c>
      <c r="P19" s="274">
        <f t="shared" si="7"/>
        <v>0</v>
      </c>
      <c r="Q19" s="274">
        <f t="shared" si="7"/>
        <v>0</v>
      </c>
      <c r="R19" s="274">
        <f t="shared" si="7"/>
        <v>0</v>
      </c>
      <c r="S19" s="274">
        <f t="shared" si="7"/>
        <v>652000000</v>
      </c>
      <c r="T19" s="274"/>
      <c r="U19" s="274">
        <f t="shared" si="7"/>
        <v>652000000</v>
      </c>
      <c r="V19" s="274">
        <f t="shared" si="7"/>
        <v>652000000</v>
      </c>
      <c r="W19" s="274">
        <f t="shared" si="7"/>
        <v>652000000</v>
      </c>
      <c r="X19" s="275"/>
      <c r="Y19" s="276"/>
    </row>
    <row r="20" spans="1:25" s="246" customFormat="1" ht="28">
      <c r="A20" s="273" t="s">
        <v>42</v>
      </c>
      <c r="B20" s="277" t="s">
        <v>216</v>
      </c>
      <c r="C20" s="278"/>
      <c r="D20" s="278"/>
      <c r="E20" s="278"/>
      <c r="F20" s="278"/>
      <c r="G20" s="278"/>
      <c r="H20" s="278"/>
      <c r="I20" s="274">
        <f>+I21</f>
        <v>652000000</v>
      </c>
      <c r="J20" s="274">
        <f t="shared" si="7"/>
        <v>652000000</v>
      </c>
      <c r="K20" s="274">
        <f t="shared" si="7"/>
        <v>0</v>
      </c>
      <c r="L20" s="274">
        <f t="shared" si="7"/>
        <v>0</v>
      </c>
      <c r="M20" s="274">
        <f t="shared" si="7"/>
        <v>0</v>
      </c>
      <c r="N20" s="274">
        <f t="shared" si="7"/>
        <v>0</v>
      </c>
      <c r="O20" s="274">
        <f t="shared" si="7"/>
        <v>0</v>
      </c>
      <c r="P20" s="274">
        <f t="shared" si="7"/>
        <v>0</v>
      </c>
      <c r="Q20" s="274">
        <f t="shared" si="7"/>
        <v>0</v>
      </c>
      <c r="R20" s="274">
        <f t="shared" si="7"/>
        <v>0</v>
      </c>
      <c r="S20" s="274">
        <f t="shared" si="7"/>
        <v>652000000</v>
      </c>
      <c r="T20" s="274"/>
      <c r="U20" s="274">
        <f t="shared" si="7"/>
        <v>652000000</v>
      </c>
      <c r="V20" s="274">
        <f>+V21+V27</f>
        <v>652000000</v>
      </c>
      <c r="W20" s="274">
        <f>+W21+W27</f>
        <v>652000000</v>
      </c>
      <c r="X20" s="275"/>
    </row>
    <row r="21" spans="1:25" s="246" customFormat="1" ht="19.5" customHeight="1">
      <c r="A21" s="273">
        <v>1</v>
      </c>
      <c r="B21" s="277" t="s">
        <v>211</v>
      </c>
      <c r="C21" s="278"/>
      <c r="D21" s="278"/>
      <c r="E21" s="278"/>
      <c r="F21" s="278"/>
      <c r="G21" s="278"/>
      <c r="H21" s="278"/>
      <c r="I21" s="274">
        <f>+I22</f>
        <v>652000000</v>
      </c>
      <c r="J21" s="274">
        <f t="shared" si="7"/>
        <v>652000000</v>
      </c>
      <c r="K21" s="274">
        <f t="shared" si="7"/>
        <v>0</v>
      </c>
      <c r="L21" s="274">
        <f t="shared" si="7"/>
        <v>0</v>
      </c>
      <c r="M21" s="274">
        <f t="shared" si="7"/>
        <v>0</v>
      </c>
      <c r="N21" s="274">
        <f t="shared" si="7"/>
        <v>0</v>
      </c>
      <c r="O21" s="274">
        <f t="shared" si="7"/>
        <v>0</v>
      </c>
      <c r="P21" s="274">
        <f t="shared" si="7"/>
        <v>0</v>
      </c>
      <c r="Q21" s="274">
        <f t="shared" si="7"/>
        <v>0</v>
      </c>
      <c r="R21" s="274">
        <f t="shared" si="7"/>
        <v>0</v>
      </c>
      <c r="S21" s="274">
        <f t="shared" si="7"/>
        <v>652000000</v>
      </c>
      <c r="T21" s="274"/>
      <c r="U21" s="274">
        <f t="shared" si="7"/>
        <v>652000000</v>
      </c>
      <c r="V21" s="274">
        <f t="shared" si="7"/>
        <v>0</v>
      </c>
      <c r="W21" s="274">
        <f t="shared" si="7"/>
        <v>0</v>
      </c>
      <c r="X21" s="289"/>
      <c r="Y21" s="291">
        <f>I21-J21</f>
        <v>0</v>
      </c>
    </row>
    <row r="22" spans="1:25" s="246" customFormat="1" ht="28">
      <c r="A22" s="273" t="s">
        <v>357</v>
      </c>
      <c r="B22" s="277" t="s">
        <v>222</v>
      </c>
      <c r="C22" s="278"/>
      <c r="D22" s="278"/>
      <c r="E22" s="278"/>
      <c r="F22" s="278"/>
      <c r="G22" s="278"/>
      <c r="H22" s="278"/>
      <c r="I22" s="274">
        <f t="shared" ref="I22:I26" si="8">+J22</f>
        <v>652000000</v>
      </c>
      <c r="J22" s="274">
        <f t="shared" ref="J22:W22" si="9">+J23</f>
        <v>652000000</v>
      </c>
      <c r="K22" s="274">
        <f t="shared" si="9"/>
        <v>0</v>
      </c>
      <c r="L22" s="274">
        <f t="shared" si="9"/>
        <v>0</v>
      </c>
      <c r="M22" s="274">
        <f t="shared" si="9"/>
        <v>0</v>
      </c>
      <c r="N22" s="274">
        <f t="shared" si="9"/>
        <v>0</v>
      </c>
      <c r="O22" s="274">
        <f t="shared" si="9"/>
        <v>0</v>
      </c>
      <c r="P22" s="274">
        <f t="shared" si="9"/>
        <v>0</v>
      </c>
      <c r="Q22" s="274">
        <f t="shared" si="9"/>
        <v>0</v>
      </c>
      <c r="R22" s="274">
        <f t="shared" si="9"/>
        <v>0</v>
      </c>
      <c r="S22" s="274">
        <f t="shared" si="9"/>
        <v>652000000</v>
      </c>
      <c r="T22" s="274"/>
      <c r="U22" s="274">
        <f t="shared" si="9"/>
        <v>652000000</v>
      </c>
      <c r="V22" s="274">
        <f t="shared" si="9"/>
        <v>0</v>
      </c>
      <c r="W22" s="274">
        <f t="shared" si="9"/>
        <v>0</v>
      </c>
      <c r="X22" s="274"/>
      <c r="Y22" s="292" t="e">
        <f>#REF!-#REF!</f>
        <v>#REF!</v>
      </c>
    </row>
    <row r="23" spans="1:25" s="246" customFormat="1" ht="49.5" customHeight="1">
      <c r="A23" s="273"/>
      <c r="B23" s="277" t="s">
        <v>223</v>
      </c>
      <c r="C23" s="278"/>
      <c r="D23" s="278"/>
      <c r="E23" s="278"/>
      <c r="F23" s="278"/>
      <c r="G23" s="278"/>
      <c r="H23" s="278"/>
      <c r="I23" s="274">
        <f t="shared" si="8"/>
        <v>652000000</v>
      </c>
      <c r="J23" s="274">
        <f t="shared" ref="J23:W23" si="10">+J25</f>
        <v>652000000</v>
      </c>
      <c r="K23" s="274">
        <f t="shared" si="10"/>
        <v>0</v>
      </c>
      <c r="L23" s="274">
        <f t="shared" si="10"/>
        <v>0</v>
      </c>
      <c r="M23" s="274">
        <f t="shared" si="10"/>
        <v>0</v>
      </c>
      <c r="N23" s="274">
        <f t="shared" si="10"/>
        <v>0</v>
      </c>
      <c r="O23" s="274">
        <f t="shared" si="10"/>
        <v>0</v>
      </c>
      <c r="P23" s="274">
        <f t="shared" si="10"/>
        <v>0</v>
      </c>
      <c r="Q23" s="274">
        <f t="shared" si="10"/>
        <v>0</v>
      </c>
      <c r="R23" s="274">
        <f t="shared" si="10"/>
        <v>0</v>
      </c>
      <c r="S23" s="274">
        <f t="shared" si="10"/>
        <v>652000000</v>
      </c>
      <c r="T23" s="274"/>
      <c r="U23" s="274">
        <f t="shared" si="10"/>
        <v>652000000</v>
      </c>
      <c r="V23" s="274">
        <f t="shared" si="10"/>
        <v>0</v>
      </c>
      <c r="W23" s="274">
        <f t="shared" si="10"/>
        <v>0</v>
      </c>
      <c r="X23" s="274"/>
    </row>
    <row r="24" spans="1:25" s="246" customFormat="1" hidden="1">
      <c r="A24" s="273"/>
      <c r="B24" s="80" t="s">
        <v>174</v>
      </c>
      <c r="C24" s="280"/>
      <c r="D24" s="280"/>
      <c r="E24" s="280"/>
      <c r="F24" s="280"/>
      <c r="G24" s="280"/>
      <c r="H24" s="280"/>
      <c r="I24" s="274">
        <f t="shared" si="8"/>
        <v>1493897000</v>
      </c>
      <c r="J24" s="281">
        <f>2145897000-K24</f>
        <v>1493897000</v>
      </c>
      <c r="K24" s="281">
        <v>652000000</v>
      </c>
      <c r="L24" s="280"/>
      <c r="M24" s="280"/>
      <c r="N24" s="280"/>
      <c r="O24" s="280"/>
      <c r="P24" s="280"/>
      <c r="Q24" s="280"/>
      <c r="R24" s="281">
        <v>1474000000</v>
      </c>
      <c r="S24" s="274">
        <f>I24-R24</f>
        <v>19897000</v>
      </c>
      <c r="T24" s="274"/>
      <c r="U24" s="281">
        <v>652000000</v>
      </c>
      <c r="V24" s="281"/>
      <c r="W24" s="274">
        <f>I24-U24+V24</f>
        <v>841897000</v>
      </c>
      <c r="X24" s="274"/>
    </row>
    <row r="25" spans="1:25" s="246" customFormat="1" ht="49.5" customHeight="1">
      <c r="A25" s="273"/>
      <c r="B25" s="285" t="s">
        <v>367</v>
      </c>
      <c r="C25" s="286"/>
      <c r="D25" s="286"/>
      <c r="E25" s="273"/>
      <c r="F25" s="273"/>
      <c r="G25" s="273"/>
      <c r="H25" s="278"/>
      <c r="I25" s="274">
        <f t="shared" si="8"/>
        <v>652000000</v>
      </c>
      <c r="J25" s="287">
        <f t="shared" ref="J25:S25" si="11">+J26</f>
        <v>652000000</v>
      </c>
      <c r="K25" s="287">
        <f t="shared" si="11"/>
        <v>0</v>
      </c>
      <c r="L25" s="287">
        <f t="shared" si="11"/>
        <v>0</v>
      </c>
      <c r="M25" s="287">
        <f t="shared" si="11"/>
        <v>0</v>
      </c>
      <c r="N25" s="287">
        <f t="shared" si="11"/>
        <v>0</v>
      </c>
      <c r="O25" s="287">
        <f t="shared" si="11"/>
        <v>0</v>
      </c>
      <c r="P25" s="287">
        <f t="shared" si="11"/>
        <v>0</v>
      </c>
      <c r="Q25" s="287">
        <f t="shared" si="11"/>
        <v>0</v>
      </c>
      <c r="R25" s="287">
        <f t="shared" si="11"/>
        <v>0</v>
      </c>
      <c r="S25" s="287">
        <f t="shared" si="11"/>
        <v>652000000</v>
      </c>
      <c r="T25" s="287"/>
      <c r="U25" s="287">
        <f>+U26</f>
        <v>652000000</v>
      </c>
      <c r="V25" s="286"/>
      <c r="W25" s="293">
        <f>I25-U25+V25</f>
        <v>0</v>
      </c>
      <c r="X25" s="293"/>
    </row>
    <row r="26" spans="1:25" s="246" customFormat="1" ht="37.5" customHeight="1">
      <c r="A26" s="273"/>
      <c r="B26" s="296" t="s">
        <v>368</v>
      </c>
      <c r="C26" s="84">
        <v>1163290</v>
      </c>
      <c r="D26" s="297">
        <v>831</v>
      </c>
      <c r="E26" s="297">
        <v>280</v>
      </c>
      <c r="F26" s="297">
        <v>338</v>
      </c>
      <c r="G26" s="297">
        <v>12</v>
      </c>
      <c r="H26" s="298" t="s">
        <v>369</v>
      </c>
      <c r="I26" s="274">
        <f t="shared" si="8"/>
        <v>652000000</v>
      </c>
      <c r="J26" s="287">
        <v>652000000</v>
      </c>
      <c r="K26" s="286"/>
      <c r="L26" s="286"/>
      <c r="M26" s="286"/>
      <c r="N26" s="286"/>
      <c r="O26" s="286"/>
      <c r="P26" s="286"/>
      <c r="Q26" s="286"/>
      <c r="R26" s="286"/>
      <c r="S26" s="294">
        <f>I26-R26</f>
        <v>652000000</v>
      </c>
      <c r="T26" s="294"/>
      <c r="U26" s="287">
        <v>652000000</v>
      </c>
      <c r="V26" s="286"/>
      <c r="W26" s="274">
        <f>I26-U26+V26</f>
        <v>0</v>
      </c>
      <c r="X26" s="274"/>
    </row>
    <row r="27" spans="1:25" ht="38.25" customHeight="1">
      <c r="A27" s="1">
        <v>2</v>
      </c>
      <c r="B27" s="277" t="s">
        <v>440</v>
      </c>
      <c r="C27" s="2"/>
      <c r="D27" s="2"/>
      <c r="E27" s="2"/>
      <c r="F27" s="2"/>
      <c r="G27" s="2"/>
      <c r="H27" s="2"/>
      <c r="I27" s="2"/>
      <c r="J27" s="336"/>
      <c r="K27" s="2"/>
      <c r="L27" s="2"/>
      <c r="M27" s="2"/>
      <c r="N27" s="2"/>
      <c r="O27" s="2"/>
      <c r="P27" s="2"/>
      <c r="Q27" s="2"/>
      <c r="R27" s="2"/>
      <c r="S27" s="2"/>
      <c r="T27" s="2"/>
      <c r="U27" s="2"/>
      <c r="V27" s="326">
        <v>652000000</v>
      </c>
      <c r="W27" s="361">
        <f>+V27</f>
        <v>652000000</v>
      </c>
      <c r="X27" s="2"/>
    </row>
  </sheetData>
  <sheetProtection formatCells="0" formatColumns="0"/>
  <mergeCells count="18">
    <mergeCell ref="A2:X2"/>
    <mergeCell ref="A3:X3"/>
    <mergeCell ref="P4:X4"/>
    <mergeCell ref="A5:A6"/>
    <mergeCell ref="B5:B6"/>
    <mergeCell ref="C5:C6"/>
    <mergeCell ref="D5:D6"/>
    <mergeCell ref="E5:E6"/>
    <mergeCell ref="F5:F6"/>
    <mergeCell ref="G5:G6"/>
    <mergeCell ref="W5:W6"/>
    <mergeCell ref="X5:X6"/>
    <mergeCell ref="H5:H6"/>
    <mergeCell ref="I5:I6"/>
    <mergeCell ref="R5:R6"/>
    <mergeCell ref="S5:S6"/>
    <mergeCell ref="J5:Q6"/>
    <mergeCell ref="U5:V5"/>
  </mergeCells>
  <pageMargins left="0.7" right="0.7" top="0.75" bottom="0.75" header="0.3" footer="0.3"/>
  <pageSetup paperSize="9" scale="7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workbookViewId="0">
      <selection activeCell="Q25" sqref="A1:Q25"/>
    </sheetView>
  </sheetViews>
  <sheetFormatPr defaultRowHeight="14"/>
  <cols>
    <col min="1" max="1" width="5.6640625" customWidth="1"/>
    <col min="2" max="2" width="15.6640625" customWidth="1"/>
    <col min="3" max="3" width="10.6640625" customWidth="1"/>
    <col min="4" max="4" width="9.6640625" customWidth="1"/>
    <col min="5" max="5" width="10.4140625" style="246" customWidth="1"/>
    <col min="6" max="6" width="9.08203125" style="246" customWidth="1"/>
    <col min="7" max="7" width="11.08203125" style="246" customWidth="1"/>
    <col min="8" max="9" width="12.58203125" style="246" customWidth="1"/>
    <col min="10" max="10" width="11.58203125" style="232" customWidth="1"/>
    <col min="11" max="11" width="10.58203125" style="232" customWidth="1"/>
    <col min="12" max="13" width="11.6640625" style="232" customWidth="1"/>
    <col min="14" max="17" width="15.33203125" style="232" customWidth="1"/>
    <col min="18" max="22" width="15.33203125" customWidth="1"/>
    <col min="23" max="23" width="15" customWidth="1"/>
    <col min="24" max="24" width="11.6640625" customWidth="1"/>
    <col min="25" max="25" width="16.58203125" customWidth="1"/>
    <col min="26" max="26" width="13.08203125" customWidth="1"/>
    <col min="27" max="27" width="17.58203125" customWidth="1"/>
    <col min="28" max="28" width="13.33203125" bestFit="1" customWidth="1"/>
  </cols>
  <sheetData>
    <row r="1" spans="1:28">
      <c r="A1" s="406" t="s">
        <v>355</v>
      </c>
      <c r="B1" s="406"/>
      <c r="C1" s="406"/>
      <c r="D1" s="406"/>
      <c r="E1" s="406"/>
      <c r="F1" s="406"/>
      <c r="G1" s="406"/>
      <c r="H1" s="406"/>
      <c r="I1" s="406"/>
      <c r="J1" s="406"/>
      <c r="K1" s="406"/>
      <c r="L1" s="406"/>
      <c r="M1" s="406"/>
      <c r="N1" s="406"/>
      <c r="O1" s="254"/>
      <c r="P1" s="254"/>
      <c r="Q1" s="254"/>
      <c r="R1" s="178"/>
      <c r="S1" s="178"/>
      <c r="T1" s="178"/>
      <c r="U1" s="178"/>
    </row>
    <row r="2" spans="1:28" ht="14.5">
      <c r="A2" s="407"/>
      <c r="B2" s="407"/>
      <c r="C2" s="407"/>
      <c r="D2" s="407"/>
      <c r="E2" s="407"/>
      <c r="F2" s="407"/>
      <c r="G2" s="407"/>
      <c r="H2" s="407"/>
      <c r="I2" s="407"/>
      <c r="J2" s="407"/>
      <c r="K2" s="407"/>
      <c r="L2" s="407"/>
      <c r="M2" s="407"/>
      <c r="N2" s="407"/>
      <c r="O2" s="255"/>
      <c r="P2" s="255" t="s">
        <v>356</v>
      </c>
      <c r="Q2" s="255"/>
      <c r="R2" s="179"/>
      <c r="S2" s="179"/>
      <c r="T2" s="179"/>
      <c r="U2" s="179"/>
    </row>
    <row r="3" spans="1:28" ht="15.75" customHeight="1">
      <c r="A3" s="408" t="s">
        <v>251</v>
      </c>
      <c r="B3" s="408" t="s">
        <v>252</v>
      </c>
      <c r="C3" s="399" t="s">
        <v>253</v>
      </c>
      <c r="D3" s="408" t="s">
        <v>254</v>
      </c>
      <c r="E3" s="408" t="s">
        <v>255</v>
      </c>
      <c r="F3" s="399" t="s">
        <v>279</v>
      </c>
      <c r="G3" s="399" t="s">
        <v>256</v>
      </c>
      <c r="H3" s="408" t="s">
        <v>257</v>
      </c>
      <c r="I3" s="399" t="s">
        <v>303</v>
      </c>
      <c r="J3" s="402" t="s">
        <v>286</v>
      </c>
      <c r="K3" s="403" t="s">
        <v>287</v>
      </c>
      <c r="L3" s="403" t="s">
        <v>256</v>
      </c>
      <c r="M3" s="402" t="s">
        <v>288</v>
      </c>
      <c r="N3" s="402" t="s">
        <v>350</v>
      </c>
      <c r="O3" s="402" t="s">
        <v>351</v>
      </c>
      <c r="P3" s="402" t="s">
        <v>352</v>
      </c>
      <c r="Q3" s="402" t="s">
        <v>354</v>
      </c>
      <c r="R3" s="234"/>
      <c r="S3" s="234"/>
      <c r="T3" s="234"/>
      <c r="U3" s="234"/>
    </row>
    <row r="4" spans="1:28" ht="31.5" customHeight="1">
      <c r="A4" s="408"/>
      <c r="B4" s="408"/>
      <c r="C4" s="401"/>
      <c r="D4" s="408"/>
      <c r="E4" s="408"/>
      <c r="F4" s="401"/>
      <c r="G4" s="401"/>
      <c r="H4" s="408"/>
      <c r="I4" s="400"/>
      <c r="J4" s="402"/>
      <c r="K4" s="404"/>
      <c r="L4" s="404"/>
      <c r="M4" s="402"/>
      <c r="N4" s="402"/>
      <c r="O4" s="402"/>
      <c r="P4" s="402"/>
      <c r="Q4" s="402"/>
      <c r="R4" s="234"/>
      <c r="S4" s="234"/>
      <c r="T4" s="234"/>
      <c r="U4" s="234"/>
    </row>
    <row r="5" spans="1:28" ht="26.25" customHeight="1">
      <c r="A5" s="163"/>
      <c r="B5" s="163"/>
      <c r="C5" s="164"/>
      <c r="D5" s="163"/>
      <c r="E5" s="163">
        <v>1</v>
      </c>
      <c r="F5" s="163">
        <v>2</v>
      </c>
      <c r="G5" s="163" t="s">
        <v>280</v>
      </c>
      <c r="H5" s="165" t="s">
        <v>281</v>
      </c>
      <c r="I5" s="401"/>
      <c r="J5" s="256">
        <v>5</v>
      </c>
      <c r="K5" s="256">
        <v>6</v>
      </c>
      <c r="L5" s="256" t="s">
        <v>283</v>
      </c>
      <c r="M5" s="180" t="s">
        <v>282</v>
      </c>
      <c r="N5" s="402"/>
      <c r="O5" s="402"/>
      <c r="P5" s="402"/>
      <c r="Q5" s="402"/>
      <c r="R5" s="234" t="s">
        <v>349</v>
      </c>
      <c r="S5" s="234"/>
      <c r="T5" s="234"/>
      <c r="U5" s="234"/>
      <c r="Y5" s="398" t="s">
        <v>299</v>
      </c>
      <c r="Z5" s="398"/>
      <c r="AA5" s="398"/>
    </row>
    <row r="6" spans="1:28" ht="15" customHeight="1">
      <c r="A6" s="163"/>
      <c r="B6" s="163"/>
      <c r="C6" s="164"/>
      <c r="D6" s="163"/>
      <c r="E6" s="412" t="s">
        <v>284</v>
      </c>
      <c r="F6" s="413"/>
      <c r="G6" s="413"/>
      <c r="H6" s="414"/>
      <c r="I6" s="238"/>
      <c r="J6" s="395" t="s">
        <v>285</v>
      </c>
      <c r="K6" s="396"/>
      <c r="L6" s="396"/>
      <c r="M6" s="397"/>
      <c r="N6" s="256"/>
      <c r="O6" s="257"/>
      <c r="P6" s="256"/>
      <c r="Q6" s="256" t="s">
        <v>353</v>
      </c>
      <c r="R6" s="235"/>
      <c r="S6" s="235"/>
      <c r="T6" s="235"/>
      <c r="U6" s="235"/>
      <c r="W6" t="s">
        <v>298</v>
      </c>
      <c r="X6" t="s">
        <v>297</v>
      </c>
      <c r="Y6" t="s">
        <v>300</v>
      </c>
      <c r="Z6" t="s">
        <v>301</v>
      </c>
      <c r="AA6" t="s">
        <v>302</v>
      </c>
    </row>
    <row r="7" spans="1:28" s="253" customFormat="1" ht="30.75" customHeight="1">
      <c r="A7" s="166">
        <v>1</v>
      </c>
      <c r="B7" s="167" t="s">
        <v>258</v>
      </c>
      <c r="C7" s="409" t="s">
        <v>259</v>
      </c>
      <c r="D7" s="248" t="s">
        <v>260</v>
      </c>
      <c r="E7" s="239">
        <v>5100000</v>
      </c>
      <c r="F7" s="240"/>
      <c r="G7" s="240">
        <f>E7*21.5%</f>
        <v>1096500</v>
      </c>
      <c r="H7" s="240">
        <f>+E7+G7+F7</f>
        <v>6196500</v>
      </c>
      <c r="I7" s="240">
        <f>H7*12</f>
        <v>74358000</v>
      </c>
      <c r="J7" s="168">
        <v>3700000</v>
      </c>
      <c r="K7" s="258">
        <v>1.8</v>
      </c>
      <c r="L7" s="168">
        <f>J7*21.5%</f>
        <v>795500</v>
      </c>
      <c r="M7" s="168">
        <f>(J7*K7)+L7</f>
        <v>7455500</v>
      </c>
      <c r="N7" s="168">
        <f>M7*12</f>
        <v>89466000</v>
      </c>
      <c r="O7" s="168">
        <v>11700000</v>
      </c>
      <c r="P7" s="168">
        <f>+N7+O7</f>
        <v>101166000</v>
      </c>
      <c r="Q7" s="168">
        <f>M7-H7</f>
        <v>1259000</v>
      </c>
      <c r="R7" s="236">
        <v>161460000</v>
      </c>
      <c r="S7" s="236">
        <f>+N7+N8</f>
        <v>178932000</v>
      </c>
      <c r="T7" s="236">
        <f>S7-R7</f>
        <v>17472000</v>
      </c>
      <c r="U7" s="236">
        <f>T7/2</f>
        <v>8736000</v>
      </c>
      <c r="V7" s="249">
        <f>M7-H7</f>
        <v>1259000</v>
      </c>
      <c r="W7" s="250">
        <f>E7*10.5%</f>
        <v>535500</v>
      </c>
      <c r="X7" s="249">
        <f>E7+F7-W7</f>
        <v>4564500</v>
      </c>
      <c r="Y7" s="251">
        <f>J7*K7</f>
        <v>6660000</v>
      </c>
      <c r="Z7" s="252">
        <f>J7*10.5%</f>
        <v>388500</v>
      </c>
      <c r="AA7" s="252">
        <f>Y7-Z7</f>
        <v>6271500</v>
      </c>
      <c r="AB7" s="252">
        <f>AA7-X7</f>
        <v>1707000</v>
      </c>
    </row>
    <row r="8" spans="1:28" s="253" customFormat="1" ht="27" customHeight="1">
      <c r="A8" s="166">
        <v>2</v>
      </c>
      <c r="B8" s="167" t="s">
        <v>261</v>
      </c>
      <c r="C8" s="410"/>
      <c r="D8" s="248" t="s">
        <v>228</v>
      </c>
      <c r="E8" s="239">
        <v>5100000</v>
      </c>
      <c r="F8" s="240"/>
      <c r="G8" s="240">
        <f t="shared" ref="G8:G23" si="0">E8*21.5%</f>
        <v>1096500</v>
      </c>
      <c r="H8" s="240">
        <f t="shared" ref="H8:H24" si="1">+E8+G8+F8</f>
        <v>6196500</v>
      </c>
      <c r="I8" s="240">
        <f t="shared" ref="I8:I24" si="2">H8*12</f>
        <v>74358000</v>
      </c>
      <c r="J8" s="168">
        <v>3700000</v>
      </c>
      <c r="K8" s="258">
        <v>1.8</v>
      </c>
      <c r="L8" s="168">
        <f t="shared" ref="L8:L24" si="3">J8*21.5%</f>
        <v>795500</v>
      </c>
      <c r="M8" s="168">
        <f t="shared" ref="M8:M24" si="4">(J8*K8)+L8</f>
        <v>7455500</v>
      </c>
      <c r="N8" s="168">
        <f t="shared" ref="N8:N24" si="5">M8*12</f>
        <v>89466000</v>
      </c>
      <c r="O8" s="168">
        <v>11700000</v>
      </c>
      <c r="P8" s="168">
        <f t="shared" ref="P8:P24" si="6">+N8+O8</f>
        <v>101166000</v>
      </c>
      <c r="Q8" s="168">
        <f t="shared" ref="Q8:Q24" si="7">M8-H8</f>
        <v>1259000</v>
      </c>
      <c r="R8" s="236"/>
      <c r="S8" s="236"/>
      <c r="T8" s="236">
        <f t="shared" ref="T8:T24" si="8">S8-R8</f>
        <v>0</v>
      </c>
      <c r="U8" s="236">
        <f t="shared" ref="U8:U24" si="9">T8/2</f>
        <v>0</v>
      </c>
      <c r="V8" s="249">
        <f t="shared" ref="V8:V25" si="10">M8-H8</f>
        <v>1259000</v>
      </c>
      <c r="W8" s="250">
        <f t="shared" ref="W8:W25" si="11">E8*10.5%</f>
        <v>535500</v>
      </c>
      <c r="X8" s="249">
        <f t="shared" ref="X8:X25" si="12">E8+F8-W8</f>
        <v>4564500</v>
      </c>
      <c r="Y8" s="251">
        <f t="shared" ref="Y8:Y25" si="13">J8*K8</f>
        <v>6660000</v>
      </c>
      <c r="Z8" s="252">
        <f t="shared" ref="Z8:Z25" si="14">J8*10.5%</f>
        <v>388500</v>
      </c>
      <c r="AA8" s="252">
        <f t="shared" ref="AA8:AA25" si="15">Y8-Z8</f>
        <v>6271500</v>
      </c>
      <c r="AB8" s="252">
        <f t="shared" ref="AB8:AB24" si="16">AA8-X8</f>
        <v>1707000</v>
      </c>
    </row>
    <row r="9" spans="1:28" s="253" customFormat="1" ht="21.75" customHeight="1">
      <c r="A9" s="166">
        <v>3</v>
      </c>
      <c r="B9" s="169" t="s">
        <v>262</v>
      </c>
      <c r="C9" s="409" t="s">
        <v>263</v>
      </c>
      <c r="D9" s="248" t="s">
        <v>228</v>
      </c>
      <c r="E9" s="241">
        <v>5930200</v>
      </c>
      <c r="F9" s="242"/>
      <c r="G9" s="240">
        <f t="shared" si="0"/>
        <v>1274993</v>
      </c>
      <c r="H9" s="240">
        <f t="shared" si="1"/>
        <v>7205193</v>
      </c>
      <c r="I9" s="240">
        <f t="shared" si="2"/>
        <v>86462316</v>
      </c>
      <c r="J9" s="168">
        <v>3700000</v>
      </c>
      <c r="K9" s="258">
        <v>2</v>
      </c>
      <c r="L9" s="168">
        <f t="shared" si="3"/>
        <v>795500</v>
      </c>
      <c r="M9" s="168">
        <f t="shared" si="4"/>
        <v>8195500</v>
      </c>
      <c r="N9" s="168">
        <f t="shared" si="5"/>
        <v>98346000</v>
      </c>
      <c r="O9" s="168">
        <v>11700000</v>
      </c>
      <c r="P9" s="168">
        <f t="shared" si="6"/>
        <v>110046000</v>
      </c>
      <c r="Q9" s="168">
        <f t="shared" si="7"/>
        <v>990307</v>
      </c>
      <c r="R9" s="236">
        <v>228571200</v>
      </c>
      <c r="S9" s="236">
        <f>+N9+N10+N11</f>
        <v>277278000</v>
      </c>
      <c r="T9" s="236">
        <f t="shared" si="8"/>
        <v>48706800</v>
      </c>
      <c r="U9" s="236">
        <f t="shared" si="9"/>
        <v>24353400</v>
      </c>
      <c r="V9" s="249">
        <f t="shared" si="10"/>
        <v>990307</v>
      </c>
      <c r="W9" s="250">
        <f t="shared" si="11"/>
        <v>622671</v>
      </c>
      <c r="X9" s="249">
        <f t="shared" si="12"/>
        <v>5307529</v>
      </c>
      <c r="Y9" s="251">
        <f t="shared" si="13"/>
        <v>7400000</v>
      </c>
      <c r="Z9" s="252">
        <f t="shared" si="14"/>
        <v>388500</v>
      </c>
      <c r="AA9" s="252">
        <f t="shared" si="15"/>
        <v>7011500</v>
      </c>
      <c r="AB9" s="252">
        <f t="shared" si="16"/>
        <v>1703971</v>
      </c>
    </row>
    <row r="10" spans="1:28" s="253" customFormat="1" ht="21" customHeight="1">
      <c r="A10" s="166">
        <v>4</v>
      </c>
      <c r="B10" s="169" t="s">
        <v>225</v>
      </c>
      <c r="C10" s="411"/>
      <c r="D10" s="248" t="s">
        <v>226</v>
      </c>
      <c r="E10" s="241">
        <v>5453400</v>
      </c>
      <c r="F10" s="242"/>
      <c r="G10" s="240">
        <f t="shared" si="0"/>
        <v>1172481</v>
      </c>
      <c r="H10" s="240">
        <f t="shared" si="1"/>
        <v>6625881</v>
      </c>
      <c r="I10" s="240">
        <f t="shared" si="2"/>
        <v>79510572</v>
      </c>
      <c r="J10" s="168">
        <v>3700000</v>
      </c>
      <c r="K10" s="258">
        <v>1.8</v>
      </c>
      <c r="L10" s="168">
        <f t="shared" si="3"/>
        <v>795500</v>
      </c>
      <c r="M10" s="168">
        <f t="shared" si="4"/>
        <v>7455500</v>
      </c>
      <c r="N10" s="168">
        <f t="shared" si="5"/>
        <v>89466000</v>
      </c>
      <c r="O10" s="168">
        <v>11700000</v>
      </c>
      <c r="P10" s="168">
        <f t="shared" si="6"/>
        <v>101166000</v>
      </c>
      <c r="Q10" s="168">
        <f t="shared" si="7"/>
        <v>829619</v>
      </c>
      <c r="R10" s="236"/>
      <c r="S10" s="236"/>
      <c r="T10" s="236">
        <f t="shared" si="8"/>
        <v>0</v>
      </c>
      <c r="U10" s="236">
        <f t="shared" si="9"/>
        <v>0</v>
      </c>
      <c r="V10" s="249">
        <f t="shared" si="10"/>
        <v>829619</v>
      </c>
      <c r="W10" s="250">
        <f t="shared" si="11"/>
        <v>572607</v>
      </c>
      <c r="X10" s="249">
        <f t="shared" si="12"/>
        <v>4880793</v>
      </c>
      <c r="Y10" s="251">
        <f t="shared" si="13"/>
        <v>6660000</v>
      </c>
      <c r="Z10" s="252">
        <f t="shared" si="14"/>
        <v>388500</v>
      </c>
      <c r="AA10" s="252">
        <f t="shared" si="15"/>
        <v>6271500</v>
      </c>
      <c r="AB10" s="252">
        <f t="shared" si="16"/>
        <v>1390707</v>
      </c>
    </row>
    <row r="11" spans="1:28" s="253" customFormat="1" ht="22.5" customHeight="1">
      <c r="A11" s="166">
        <v>5</v>
      </c>
      <c r="B11" s="169" t="s">
        <v>227</v>
      </c>
      <c r="C11" s="410"/>
      <c r="D11" s="248" t="s">
        <v>228</v>
      </c>
      <c r="E11" s="241">
        <v>3700000</v>
      </c>
      <c r="F11" s="242">
        <v>1260000</v>
      </c>
      <c r="G11" s="240">
        <f>3700000*21.5%</f>
        <v>795500</v>
      </c>
      <c r="H11" s="240">
        <f t="shared" si="1"/>
        <v>5755500</v>
      </c>
      <c r="I11" s="240">
        <f t="shared" si="2"/>
        <v>69066000</v>
      </c>
      <c r="J11" s="168">
        <v>3700000</v>
      </c>
      <c r="K11" s="258">
        <v>1.8</v>
      </c>
      <c r="L11" s="168">
        <f t="shared" si="3"/>
        <v>795500</v>
      </c>
      <c r="M11" s="168">
        <f t="shared" si="4"/>
        <v>7455500</v>
      </c>
      <c r="N11" s="168">
        <f t="shared" si="5"/>
        <v>89466000</v>
      </c>
      <c r="O11" s="168">
        <v>11700000</v>
      </c>
      <c r="P11" s="168">
        <f t="shared" si="6"/>
        <v>101166000</v>
      </c>
      <c r="Q11" s="168">
        <f t="shared" si="7"/>
        <v>1700000</v>
      </c>
      <c r="R11" s="236"/>
      <c r="S11" s="236"/>
      <c r="T11" s="236">
        <f t="shared" si="8"/>
        <v>0</v>
      </c>
      <c r="U11" s="236">
        <f t="shared" si="9"/>
        <v>0</v>
      </c>
      <c r="V11" s="249">
        <f t="shared" si="10"/>
        <v>1700000</v>
      </c>
      <c r="W11" s="250">
        <f t="shared" si="11"/>
        <v>388500</v>
      </c>
      <c r="X11" s="249">
        <f t="shared" si="12"/>
        <v>4571500</v>
      </c>
      <c r="Y11" s="251">
        <f t="shared" si="13"/>
        <v>6660000</v>
      </c>
      <c r="Z11" s="252">
        <f t="shared" si="14"/>
        <v>388500</v>
      </c>
      <c r="AA11" s="252">
        <f t="shared" si="15"/>
        <v>6271500</v>
      </c>
      <c r="AB11" s="252">
        <f t="shared" si="16"/>
        <v>1700000</v>
      </c>
    </row>
    <row r="12" spans="1:28" s="253" customFormat="1" ht="24.75" customHeight="1">
      <c r="A12" s="166">
        <v>6</v>
      </c>
      <c r="B12" s="167" t="s">
        <v>229</v>
      </c>
      <c r="C12" s="177" t="s">
        <v>230</v>
      </c>
      <c r="D12" s="248" t="s">
        <v>231</v>
      </c>
      <c r="E12" s="239">
        <v>4510000</v>
      </c>
      <c r="F12" s="240"/>
      <c r="G12" s="240">
        <f t="shared" si="0"/>
        <v>969650</v>
      </c>
      <c r="H12" s="240">
        <f t="shared" si="1"/>
        <v>5479650</v>
      </c>
      <c r="I12" s="240">
        <f t="shared" si="2"/>
        <v>65755800</v>
      </c>
      <c r="J12" s="168">
        <v>3700000</v>
      </c>
      <c r="K12" s="258">
        <v>1.8</v>
      </c>
      <c r="L12" s="168">
        <f t="shared" si="3"/>
        <v>795500</v>
      </c>
      <c r="M12" s="168">
        <f t="shared" si="4"/>
        <v>7455500</v>
      </c>
      <c r="N12" s="168">
        <f t="shared" si="5"/>
        <v>89466000</v>
      </c>
      <c r="O12" s="168">
        <v>11700000</v>
      </c>
      <c r="P12" s="168">
        <f t="shared" si="6"/>
        <v>101166000</v>
      </c>
      <c r="Q12" s="168">
        <f t="shared" si="7"/>
        <v>1975850</v>
      </c>
      <c r="R12" s="236">
        <v>71604000</v>
      </c>
      <c r="S12" s="236">
        <f>+N12</f>
        <v>89466000</v>
      </c>
      <c r="T12" s="236">
        <f t="shared" si="8"/>
        <v>17862000</v>
      </c>
      <c r="U12" s="236">
        <f t="shared" si="9"/>
        <v>8931000</v>
      </c>
      <c r="V12" s="249">
        <f t="shared" si="10"/>
        <v>1975850</v>
      </c>
      <c r="W12" s="250">
        <f t="shared" si="11"/>
        <v>473550</v>
      </c>
      <c r="X12" s="249">
        <f t="shared" si="12"/>
        <v>4036450</v>
      </c>
      <c r="Y12" s="251">
        <f t="shared" si="13"/>
        <v>6660000</v>
      </c>
      <c r="Z12" s="252">
        <f t="shared" si="14"/>
        <v>388500</v>
      </c>
      <c r="AA12" s="252">
        <f t="shared" si="15"/>
        <v>6271500</v>
      </c>
      <c r="AB12" s="252">
        <f t="shared" si="16"/>
        <v>2235050</v>
      </c>
    </row>
    <row r="13" spans="1:28" s="253" customFormat="1" ht="21" customHeight="1">
      <c r="A13" s="166">
        <v>7</v>
      </c>
      <c r="B13" s="169" t="s">
        <v>232</v>
      </c>
      <c r="C13" s="405" t="s">
        <v>233</v>
      </c>
      <c r="D13" s="248" t="s">
        <v>226</v>
      </c>
      <c r="E13" s="243">
        <v>5185200</v>
      </c>
      <c r="F13" s="244"/>
      <c r="G13" s="240">
        <f t="shared" si="0"/>
        <v>1114818</v>
      </c>
      <c r="H13" s="240">
        <f t="shared" si="1"/>
        <v>6300018</v>
      </c>
      <c r="I13" s="240">
        <f t="shared" si="2"/>
        <v>75600216</v>
      </c>
      <c r="J13" s="168">
        <v>3700000</v>
      </c>
      <c r="K13" s="258">
        <v>1.8</v>
      </c>
      <c r="L13" s="168">
        <f t="shared" si="3"/>
        <v>795500</v>
      </c>
      <c r="M13" s="168">
        <f t="shared" si="4"/>
        <v>7455500</v>
      </c>
      <c r="N13" s="168">
        <f t="shared" si="5"/>
        <v>89466000</v>
      </c>
      <c r="O13" s="168">
        <v>11700000</v>
      </c>
      <c r="P13" s="168">
        <f t="shared" si="6"/>
        <v>101166000</v>
      </c>
      <c r="Q13" s="168">
        <f t="shared" si="7"/>
        <v>1155482</v>
      </c>
      <c r="R13" s="236"/>
      <c r="S13" s="236"/>
      <c r="T13" s="236">
        <f t="shared" si="8"/>
        <v>0</v>
      </c>
      <c r="U13" s="236">
        <f t="shared" si="9"/>
        <v>0</v>
      </c>
      <c r="V13" s="249">
        <f t="shared" si="10"/>
        <v>1155482</v>
      </c>
      <c r="W13" s="250">
        <f t="shared" si="11"/>
        <v>544446</v>
      </c>
      <c r="X13" s="249">
        <f t="shared" si="12"/>
        <v>4640754</v>
      </c>
      <c r="Y13" s="251">
        <f t="shared" si="13"/>
        <v>6660000</v>
      </c>
      <c r="Z13" s="252">
        <f t="shared" si="14"/>
        <v>388500</v>
      </c>
      <c r="AA13" s="252">
        <f t="shared" si="15"/>
        <v>6271500</v>
      </c>
      <c r="AB13" s="252">
        <f t="shared" si="16"/>
        <v>1630746</v>
      </c>
    </row>
    <row r="14" spans="1:28" s="253" customFormat="1" ht="22.5" customHeight="1">
      <c r="A14" s="166">
        <v>8</v>
      </c>
      <c r="B14" s="169" t="s">
        <v>234</v>
      </c>
      <c r="C14" s="405"/>
      <c r="D14" s="248" t="s">
        <v>228</v>
      </c>
      <c r="E14" s="243">
        <v>5662000</v>
      </c>
      <c r="F14" s="244"/>
      <c r="G14" s="240">
        <f t="shared" si="0"/>
        <v>1217330</v>
      </c>
      <c r="H14" s="240">
        <f t="shared" si="1"/>
        <v>6879330</v>
      </c>
      <c r="I14" s="240">
        <f t="shared" si="2"/>
        <v>82551960</v>
      </c>
      <c r="J14" s="168">
        <v>3700000</v>
      </c>
      <c r="K14" s="258">
        <v>2.1</v>
      </c>
      <c r="L14" s="168">
        <f t="shared" si="3"/>
        <v>795500</v>
      </c>
      <c r="M14" s="168">
        <f t="shared" si="4"/>
        <v>8565500</v>
      </c>
      <c r="N14" s="168">
        <f t="shared" si="5"/>
        <v>102786000</v>
      </c>
      <c r="O14" s="168">
        <v>11700000</v>
      </c>
      <c r="P14" s="168">
        <f t="shared" si="6"/>
        <v>114486000</v>
      </c>
      <c r="Q14" s="168">
        <f t="shared" si="7"/>
        <v>1686170</v>
      </c>
      <c r="R14" s="236">
        <v>223797600</v>
      </c>
      <c r="S14" s="236">
        <f>+N13+N14+N15</f>
        <v>281718000</v>
      </c>
      <c r="T14" s="236">
        <f t="shared" si="8"/>
        <v>57920400</v>
      </c>
      <c r="U14" s="236">
        <f t="shared" si="9"/>
        <v>28960200</v>
      </c>
      <c r="V14" s="249">
        <f t="shared" si="10"/>
        <v>1686170</v>
      </c>
      <c r="W14" s="250">
        <f t="shared" si="11"/>
        <v>594510</v>
      </c>
      <c r="X14" s="249">
        <f t="shared" si="12"/>
        <v>5067490</v>
      </c>
      <c r="Y14" s="251">
        <f t="shared" si="13"/>
        <v>7770000</v>
      </c>
      <c r="Z14" s="252">
        <f t="shared" si="14"/>
        <v>388500</v>
      </c>
      <c r="AA14" s="252">
        <f t="shared" si="15"/>
        <v>7381500</v>
      </c>
      <c r="AB14" s="252">
        <f t="shared" si="16"/>
        <v>2314010</v>
      </c>
    </row>
    <row r="15" spans="1:28" s="253" customFormat="1" ht="24" customHeight="1">
      <c r="A15" s="166">
        <v>9</v>
      </c>
      <c r="B15" s="169" t="s">
        <v>235</v>
      </c>
      <c r="C15" s="405"/>
      <c r="D15" s="248" t="s">
        <v>231</v>
      </c>
      <c r="E15" s="243">
        <v>4510000</v>
      </c>
      <c r="F15" s="244"/>
      <c r="G15" s="240">
        <f t="shared" si="0"/>
        <v>969650</v>
      </c>
      <c r="H15" s="240">
        <f t="shared" si="1"/>
        <v>5479650</v>
      </c>
      <c r="I15" s="240">
        <f t="shared" si="2"/>
        <v>65755800</v>
      </c>
      <c r="J15" s="168">
        <v>3700000</v>
      </c>
      <c r="K15" s="258">
        <v>1.8</v>
      </c>
      <c r="L15" s="168">
        <f t="shared" si="3"/>
        <v>795500</v>
      </c>
      <c r="M15" s="168">
        <f t="shared" si="4"/>
        <v>7455500</v>
      </c>
      <c r="N15" s="168">
        <f t="shared" si="5"/>
        <v>89466000</v>
      </c>
      <c r="O15" s="168">
        <v>11700000</v>
      </c>
      <c r="P15" s="168">
        <f t="shared" si="6"/>
        <v>101166000</v>
      </c>
      <c r="Q15" s="168">
        <f t="shared" si="7"/>
        <v>1975850</v>
      </c>
      <c r="R15" s="236"/>
      <c r="S15" s="236"/>
      <c r="T15" s="236">
        <f t="shared" si="8"/>
        <v>0</v>
      </c>
      <c r="U15" s="236">
        <f t="shared" si="9"/>
        <v>0</v>
      </c>
      <c r="V15" s="249">
        <f t="shared" si="10"/>
        <v>1975850</v>
      </c>
      <c r="W15" s="250">
        <f t="shared" si="11"/>
        <v>473550</v>
      </c>
      <c r="X15" s="249">
        <f t="shared" si="12"/>
        <v>4036450</v>
      </c>
      <c r="Y15" s="251">
        <f t="shared" si="13"/>
        <v>6660000</v>
      </c>
      <c r="Z15" s="252">
        <f t="shared" si="14"/>
        <v>388500</v>
      </c>
      <c r="AA15" s="252">
        <f t="shared" si="15"/>
        <v>6271500</v>
      </c>
      <c r="AB15" s="252">
        <f t="shared" si="16"/>
        <v>2235050</v>
      </c>
    </row>
    <row r="16" spans="1:28" s="253" customFormat="1" ht="22.5" customHeight="1">
      <c r="A16" s="166">
        <v>10</v>
      </c>
      <c r="B16" s="169" t="s">
        <v>236</v>
      </c>
      <c r="C16" s="405" t="s">
        <v>237</v>
      </c>
      <c r="D16" s="248" t="s">
        <v>228</v>
      </c>
      <c r="E16" s="243">
        <v>4510000</v>
      </c>
      <c r="F16" s="244"/>
      <c r="G16" s="240">
        <f t="shared" si="0"/>
        <v>969650</v>
      </c>
      <c r="H16" s="240">
        <f t="shared" si="1"/>
        <v>5479650</v>
      </c>
      <c r="I16" s="240">
        <f t="shared" si="2"/>
        <v>65755800</v>
      </c>
      <c r="J16" s="168">
        <v>3700000</v>
      </c>
      <c r="K16" s="258">
        <v>1.8</v>
      </c>
      <c r="L16" s="168">
        <f t="shared" si="3"/>
        <v>795500</v>
      </c>
      <c r="M16" s="168">
        <f t="shared" si="4"/>
        <v>7455500</v>
      </c>
      <c r="N16" s="168">
        <f t="shared" si="5"/>
        <v>89466000</v>
      </c>
      <c r="O16" s="168">
        <v>11700000</v>
      </c>
      <c r="P16" s="168">
        <f t="shared" si="6"/>
        <v>101166000</v>
      </c>
      <c r="Q16" s="168">
        <f t="shared" si="7"/>
        <v>1975850</v>
      </c>
      <c r="R16" s="236">
        <v>181958400</v>
      </c>
      <c r="S16" s="236">
        <f>+N16+N17</f>
        <v>178932000</v>
      </c>
      <c r="T16" s="236">
        <f t="shared" si="8"/>
        <v>-3026400</v>
      </c>
      <c r="U16" s="236"/>
      <c r="V16" s="249">
        <f t="shared" si="10"/>
        <v>1975850</v>
      </c>
      <c r="W16" s="250">
        <f t="shared" si="11"/>
        <v>473550</v>
      </c>
      <c r="X16" s="249">
        <f t="shared" si="12"/>
        <v>4036450</v>
      </c>
      <c r="Y16" s="251">
        <f t="shared" si="13"/>
        <v>6660000</v>
      </c>
      <c r="Z16" s="252">
        <f t="shared" si="14"/>
        <v>388500</v>
      </c>
      <c r="AA16" s="252">
        <f t="shared" si="15"/>
        <v>6271500</v>
      </c>
      <c r="AB16" s="252">
        <f t="shared" si="16"/>
        <v>2235050</v>
      </c>
    </row>
    <row r="17" spans="1:28" s="253" customFormat="1" ht="23.25" customHeight="1">
      <c r="A17" s="166">
        <v>11</v>
      </c>
      <c r="B17" s="169" t="s">
        <v>238</v>
      </c>
      <c r="C17" s="405"/>
      <c r="D17" s="248" t="s">
        <v>228</v>
      </c>
      <c r="E17" s="243">
        <v>4510000</v>
      </c>
      <c r="F17" s="244"/>
      <c r="G17" s="240">
        <f t="shared" si="0"/>
        <v>969650</v>
      </c>
      <c r="H17" s="240">
        <f t="shared" si="1"/>
        <v>5479650</v>
      </c>
      <c r="I17" s="240">
        <f t="shared" si="2"/>
        <v>65755800</v>
      </c>
      <c r="J17" s="168">
        <v>3700000</v>
      </c>
      <c r="K17" s="258">
        <v>1.8</v>
      </c>
      <c r="L17" s="168">
        <f t="shared" si="3"/>
        <v>795500</v>
      </c>
      <c r="M17" s="168">
        <f t="shared" si="4"/>
        <v>7455500</v>
      </c>
      <c r="N17" s="168">
        <f t="shared" si="5"/>
        <v>89466000</v>
      </c>
      <c r="O17" s="168">
        <v>11700000</v>
      </c>
      <c r="P17" s="168">
        <f t="shared" si="6"/>
        <v>101166000</v>
      </c>
      <c r="Q17" s="168">
        <f t="shared" si="7"/>
        <v>1975850</v>
      </c>
      <c r="R17" s="236"/>
      <c r="S17" s="236"/>
      <c r="T17" s="236">
        <f t="shared" si="8"/>
        <v>0</v>
      </c>
      <c r="U17" s="236">
        <f t="shared" si="9"/>
        <v>0</v>
      </c>
      <c r="V17" s="249">
        <f t="shared" si="10"/>
        <v>1975850</v>
      </c>
      <c r="W17" s="250">
        <f t="shared" si="11"/>
        <v>473550</v>
      </c>
      <c r="X17" s="249">
        <f t="shared" si="12"/>
        <v>4036450</v>
      </c>
      <c r="Y17" s="251">
        <f t="shared" si="13"/>
        <v>6660000</v>
      </c>
      <c r="Z17" s="252">
        <f t="shared" si="14"/>
        <v>388500</v>
      </c>
      <c r="AA17" s="252">
        <f t="shared" si="15"/>
        <v>6271500</v>
      </c>
      <c r="AB17" s="252">
        <f t="shared" si="16"/>
        <v>2235050</v>
      </c>
    </row>
    <row r="18" spans="1:28" s="253" customFormat="1" ht="23.25" customHeight="1">
      <c r="A18" s="166">
        <v>12</v>
      </c>
      <c r="B18" s="169" t="s">
        <v>239</v>
      </c>
      <c r="C18" s="177" t="s">
        <v>240</v>
      </c>
      <c r="D18" s="248" t="s">
        <v>231</v>
      </c>
      <c r="E18" s="243">
        <v>5155400</v>
      </c>
      <c r="F18" s="244"/>
      <c r="G18" s="240">
        <f t="shared" si="0"/>
        <v>1108411</v>
      </c>
      <c r="H18" s="240">
        <f t="shared" si="1"/>
        <v>6263811</v>
      </c>
      <c r="I18" s="240">
        <f t="shared" si="2"/>
        <v>75165732</v>
      </c>
      <c r="J18" s="168">
        <v>3700000</v>
      </c>
      <c r="K18" s="258">
        <v>2.1</v>
      </c>
      <c r="L18" s="168">
        <f t="shared" si="3"/>
        <v>795500</v>
      </c>
      <c r="M18" s="168">
        <f t="shared" si="4"/>
        <v>8565500</v>
      </c>
      <c r="N18" s="168">
        <f t="shared" si="5"/>
        <v>102786000</v>
      </c>
      <c r="O18" s="168">
        <v>11700000</v>
      </c>
      <c r="P18" s="168">
        <f t="shared" si="6"/>
        <v>114486000</v>
      </c>
      <c r="Q18" s="168">
        <f t="shared" si="7"/>
        <v>2301689</v>
      </c>
      <c r="R18" s="236">
        <v>75254400</v>
      </c>
      <c r="S18" s="236">
        <f>+N18</f>
        <v>102786000</v>
      </c>
      <c r="T18" s="236">
        <f t="shared" si="8"/>
        <v>27531600</v>
      </c>
      <c r="U18" s="236">
        <f t="shared" si="9"/>
        <v>13765800</v>
      </c>
      <c r="V18" s="249">
        <f t="shared" si="10"/>
        <v>2301689</v>
      </c>
      <c r="W18" s="250">
        <f t="shared" si="11"/>
        <v>541317</v>
      </c>
      <c r="X18" s="249">
        <f t="shared" si="12"/>
        <v>4614083</v>
      </c>
      <c r="Y18" s="251">
        <f t="shared" si="13"/>
        <v>7770000</v>
      </c>
      <c r="Z18" s="252">
        <f t="shared" si="14"/>
        <v>388500</v>
      </c>
      <c r="AA18" s="252">
        <f t="shared" si="15"/>
        <v>7381500</v>
      </c>
      <c r="AB18" s="252">
        <f t="shared" si="16"/>
        <v>2767417</v>
      </c>
    </row>
    <row r="19" spans="1:28" s="253" customFormat="1" ht="24.75" customHeight="1">
      <c r="A19" s="166">
        <v>13</v>
      </c>
      <c r="B19" s="170" t="s">
        <v>241</v>
      </c>
      <c r="C19" s="177" t="s">
        <v>242</v>
      </c>
      <c r="D19" s="248" t="s">
        <v>231</v>
      </c>
      <c r="E19" s="243">
        <v>3700000</v>
      </c>
      <c r="F19" s="244">
        <v>1260000</v>
      </c>
      <c r="G19" s="240">
        <f>3700000*21.5%</f>
        <v>795500</v>
      </c>
      <c r="H19" s="240">
        <f>+E19+G19+F19</f>
        <v>5755500</v>
      </c>
      <c r="I19" s="240">
        <f t="shared" si="2"/>
        <v>69066000</v>
      </c>
      <c r="J19" s="168">
        <v>3700000</v>
      </c>
      <c r="K19" s="258">
        <v>1.8</v>
      </c>
      <c r="L19" s="168">
        <f t="shared" si="3"/>
        <v>795500</v>
      </c>
      <c r="M19" s="168">
        <f t="shared" si="4"/>
        <v>7455500</v>
      </c>
      <c r="N19" s="168">
        <f t="shared" si="5"/>
        <v>89466000</v>
      </c>
      <c r="O19" s="168">
        <v>11700000</v>
      </c>
      <c r="P19" s="168">
        <f t="shared" si="6"/>
        <v>101166000</v>
      </c>
      <c r="Q19" s="168">
        <f t="shared" si="7"/>
        <v>1700000</v>
      </c>
      <c r="R19" s="236">
        <v>62618400</v>
      </c>
      <c r="S19" s="236">
        <f>+N19</f>
        <v>89466000</v>
      </c>
      <c r="T19" s="236">
        <f t="shared" si="8"/>
        <v>26847600</v>
      </c>
      <c r="U19" s="236">
        <f t="shared" si="9"/>
        <v>13423800</v>
      </c>
      <c r="V19" s="249">
        <f t="shared" si="10"/>
        <v>1700000</v>
      </c>
      <c r="W19" s="250">
        <f t="shared" si="11"/>
        <v>388500</v>
      </c>
      <c r="X19" s="249">
        <f t="shared" si="12"/>
        <v>4571500</v>
      </c>
      <c r="Y19" s="251">
        <f t="shared" si="13"/>
        <v>6660000</v>
      </c>
      <c r="Z19" s="252">
        <f t="shared" si="14"/>
        <v>388500</v>
      </c>
      <c r="AA19" s="252">
        <f t="shared" si="15"/>
        <v>6271500</v>
      </c>
      <c r="AB19" s="252">
        <f t="shared" si="16"/>
        <v>1700000</v>
      </c>
    </row>
    <row r="20" spans="1:28" s="253" customFormat="1" ht="27" customHeight="1">
      <c r="A20" s="166">
        <v>14</v>
      </c>
      <c r="B20" s="169" t="s">
        <v>243</v>
      </c>
      <c r="C20" s="405" t="s">
        <v>244</v>
      </c>
      <c r="D20" s="248" t="s">
        <v>228</v>
      </c>
      <c r="E20" s="243">
        <v>4827000</v>
      </c>
      <c r="F20" s="244"/>
      <c r="G20" s="240">
        <f t="shared" si="0"/>
        <v>1037805</v>
      </c>
      <c r="H20" s="240">
        <f t="shared" si="1"/>
        <v>5864805</v>
      </c>
      <c r="I20" s="240">
        <f t="shared" si="2"/>
        <v>70377660</v>
      </c>
      <c r="J20" s="168">
        <v>3700000</v>
      </c>
      <c r="K20" s="258">
        <v>2.1</v>
      </c>
      <c r="L20" s="168">
        <f t="shared" si="3"/>
        <v>795500</v>
      </c>
      <c r="M20" s="168">
        <f t="shared" si="4"/>
        <v>8565500</v>
      </c>
      <c r="N20" s="168">
        <f t="shared" si="5"/>
        <v>102786000</v>
      </c>
      <c r="O20" s="168">
        <v>11700000</v>
      </c>
      <c r="P20" s="168">
        <f t="shared" si="6"/>
        <v>114486000</v>
      </c>
      <c r="Q20" s="168">
        <f t="shared" si="7"/>
        <v>2700695</v>
      </c>
      <c r="R20" s="236"/>
      <c r="S20" s="236"/>
      <c r="T20" s="236">
        <f t="shared" si="8"/>
        <v>0</v>
      </c>
      <c r="U20" s="236">
        <f t="shared" si="9"/>
        <v>0</v>
      </c>
      <c r="V20" s="249">
        <f t="shared" si="10"/>
        <v>2700695</v>
      </c>
      <c r="W20" s="250">
        <f t="shared" si="11"/>
        <v>506835</v>
      </c>
      <c r="X20" s="249">
        <f t="shared" si="12"/>
        <v>4320165</v>
      </c>
      <c r="Y20" s="251">
        <f t="shared" si="13"/>
        <v>7770000</v>
      </c>
      <c r="Z20" s="252">
        <f t="shared" si="14"/>
        <v>388500</v>
      </c>
      <c r="AA20" s="252">
        <f t="shared" si="15"/>
        <v>7381500</v>
      </c>
      <c r="AB20" s="252">
        <f t="shared" si="16"/>
        <v>3061335</v>
      </c>
    </row>
    <row r="21" spans="1:28" s="253" customFormat="1" ht="24" customHeight="1">
      <c r="A21" s="166">
        <v>15</v>
      </c>
      <c r="B21" s="169" t="s">
        <v>245</v>
      </c>
      <c r="C21" s="405"/>
      <c r="D21" s="248" t="s">
        <v>231</v>
      </c>
      <c r="E21" s="243">
        <v>4510000</v>
      </c>
      <c r="F21" s="244"/>
      <c r="G21" s="240">
        <f t="shared" si="0"/>
        <v>969650</v>
      </c>
      <c r="H21" s="240">
        <f t="shared" si="1"/>
        <v>5479650</v>
      </c>
      <c r="I21" s="240">
        <f t="shared" si="2"/>
        <v>65755800</v>
      </c>
      <c r="J21" s="168">
        <v>3700000</v>
      </c>
      <c r="K21" s="258">
        <v>1.8</v>
      </c>
      <c r="L21" s="168">
        <f t="shared" si="3"/>
        <v>795500</v>
      </c>
      <c r="M21" s="168">
        <f t="shared" si="4"/>
        <v>7455500</v>
      </c>
      <c r="N21" s="168">
        <f t="shared" si="5"/>
        <v>89466000</v>
      </c>
      <c r="O21" s="168">
        <v>11700000</v>
      </c>
      <c r="P21" s="168">
        <f t="shared" si="6"/>
        <v>101166000</v>
      </c>
      <c r="Q21" s="168">
        <f t="shared" si="7"/>
        <v>1975850</v>
      </c>
      <c r="R21" s="236">
        <v>136188000</v>
      </c>
      <c r="S21" s="236">
        <f>+N20+N21</f>
        <v>192252000</v>
      </c>
      <c r="T21" s="236">
        <f t="shared" si="8"/>
        <v>56064000</v>
      </c>
      <c r="U21" s="236">
        <f t="shared" si="9"/>
        <v>28032000</v>
      </c>
      <c r="V21" s="249">
        <f t="shared" si="10"/>
        <v>1975850</v>
      </c>
      <c r="W21" s="250">
        <f t="shared" si="11"/>
        <v>473550</v>
      </c>
      <c r="X21" s="249">
        <f t="shared" si="12"/>
        <v>4036450</v>
      </c>
      <c r="Y21" s="251">
        <f t="shared" si="13"/>
        <v>6660000</v>
      </c>
      <c r="Z21" s="252">
        <f t="shared" si="14"/>
        <v>388500</v>
      </c>
      <c r="AA21" s="252">
        <f t="shared" si="15"/>
        <v>6271500</v>
      </c>
      <c r="AB21" s="252">
        <f t="shared" si="16"/>
        <v>2235050</v>
      </c>
    </row>
    <row r="22" spans="1:28" s="253" customFormat="1" ht="28.5" customHeight="1">
      <c r="A22" s="166">
        <v>16</v>
      </c>
      <c r="B22" s="169" t="s">
        <v>246</v>
      </c>
      <c r="C22" s="405" t="s">
        <v>247</v>
      </c>
      <c r="D22" s="248" t="s">
        <v>231</v>
      </c>
      <c r="E22" s="243">
        <v>6198400</v>
      </c>
      <c r="F22" s="244"/>
      <c r="G22" s="240">
        <f t="shared" si="0"/>
        <v>1332656</v>
      </c>
      <c r="H22" s="240">
        <f>+E22+G22+F22</f>
        <v>7531056</v>
      </c>
      <c r="I22" s="240">
        <f>H22*12</f>
        <v>90372672</v>
      </c>
      <c r="J22" s="168">
        <v>3700000</v>
      </c>
      <c r="K22" s="258">
        <v>2.1</v>
      </c>
      <c r="L22" s="168">
        <f t="shared" si="3"/>
        <v>795500</v>
      </c>
      <c r="M22" s="168">
        <f t="shared" si="4"/>
        <v>8565500</v>
      </c>
      <c r="N22" s="168">
        <f>M22*12</f>
        <v>102786000</v>
      </c>
      <c r="O22" s="168">
        <v>11700000</v>
      </c>
      <c r="P22" s="168">
        <f t="shared" si="6"/>
        <v>114486000</v>
      </c>
      <c r="Q22" s="168">
        <f t="shared" si="7"/>
        <v>1034444</v>
      </c>
      <c r="R22" s="236"/>
      <c r="S22" s="236"/>
      <c r="T22" s="236">
        <f t="shared" si="8"/>
        <v>0</v>
      </c>
      <c r="U22" s="236">
        <f t="shared" si="9"/>
        <v>0</v>
      </c>
      <c r="V22" s="249">
        <f t="shared" si="10"/>
        <v>1034444</v>
      </c>
      <c r="W22" s="250">
        <f t="shared" si="11"/>
        <v>650832</v>
      </c>
      <c r="X22" s="249">
        <f t="shared" si="12"/>
        <v>5547568</v>
      </c>
      <c r="Y22" s="251">
        <f t="shared" si="13"/>
        <v>7770000</v>
      </c>
      <c r="Z22" s="252">
        <f t="shared" si="14"/>
        <v>388500</v>
      </c>
      <c r="AA22" s="252">
        <f t="shared" si="15"/>
        <v>7381500</v>
      </c>
      <c r="AB22" s="252">
        <f t="shared" si="16"/>
        <v>1833932</v>
      </c>
    </row>
    <row r="23" spans="1:28" s="253" customFormat="1" ht="23.25" customHeight="1">
      <c r="A23" s="166">
        <v>17</v>
      </c>
      <c r="B23" s="169" t="s">
        <v>248</v>
      </c>
      <c r="C23" s="405"/>
      <c r="D23" s="248" t="s">
        <v>226</v>
      </c>
      <c r="E23" s="243">
        <v>5100000</v>
      </c>
      <c r="F23" s="244"/>
      <c r="G23" s="240">
        <f t="shared" si="0"/>
        <v>1096500</v>
      </c>
      <c r="H23" s="240">
        <f t="shared" si="1"/>
        <v>6196500</v>
      </c>
      <c r="I23" s="240">
        <f t="shared" si="2"/>
        <v>74358000</v>
      </c>
      <c r="J23" s="168">
        <v>3700000</v>
      </c>
      <c r="K23" s="258">
        <v>1.8</v>
      </c>
      <c r="L23" s="168">
        <f t="shared" si="3"/>
        <v>795500</v>
      </c>
      <c r="M23" s="168">
        <f t="shared" si="4"/>
        <v>7455500</v>
      </c>
      <c r="N23" s="168">
        <f t="shared" si="5"/>
        <v>89466000</v>
      </c>
      <c r="O23" s="168">
        <v>11700000</v>
      </c>
      <c r="P23" s="168">
        <f>+N23+O23</f>
        <v>101166000</v>
      </c>
      <c r="Q23" s="168">
        <f t="shared" si="7"/>
        <v>1259000</v>
      </c>
      <c r="R23" s="236">
        <v>227167200</v>
      </c>
      <c r="S23" s="236">
        <f>+N22+N23+N24</f>
        <v>281718000</v>
      </c>
      <c r="T23" s="236">
        <f t="shared" si="8"/>
        <v>54550800</v>
      </c>
      <c r="U23" s="236">
        <f t="shared" si="9"/>
        <v>27275400</v>
      </c>
      <c r="V23" s="249">
        <f t="shared" si="10"/>
        <v>1259000</v>
      </c>
      <c r="W23" s="250">
        <f t="shared" si="11"/>
        <v>535500</v>
      </c>
      <c r="X23" s="249">
        <f t="shared" si="12"/>
        <v>4564500</v>
      </c>
      <c r="Y23" s="251">
        <f t="shared" si="13"/>
        <v>6660000</v>
      </c>
      <c r="Z23" s="252">
        <f t="shared" si="14"/>
        <v>388500</v>
      </c>
      <c r="AA23" s="252">
        <f t="shared" si="15"/>
        <v>6271500</v>
      </c>
      <c r="AB23" s="252">
        <f t="shared" si="16"/>
        <v>1707000</v>
      </c>
    </row>
    <row r="24" spans="1:28" s="253" customFormat="1" ht="27.75" customHeight="1">
      <c r="A24" s="166">
        <v>18</v>
      </c>
      <c r="B24" s="169" t="s">
        <v>249</v>
      </c>
      <c r="C24" s="405"/>
      <c r="D24" s="248" t="s">
        <v>231</v>
      </c>
      <c r="E24" s="243">
        <v>3700000</v>
      </c>
      <c r="F24" s="244">
        <v>1260000</v>
      </c>
      <c r="G24" s="240">
        <f>E24*21.5%</f>
        <v>795500</v>
      </c>
      <c r="H24" s="240">
        <f t="shared" si="1"/>
        <v>5755500</v>
      </c>
      <c r="I24" s="240">
        <f t="shared" si="2"/>
        <v>69066000</v>
      </c>
      <c r="J24" s="168">
        <v>3700000</v>
      </c>
      <c r="K24" s="258">
        <v>1.8</v>
      </c>
      <c r="L24" s="168">
        <f t="shared" si="3"/>
        <v>795500</v>
      </c>
      <c r="M24" s="168">
        <f t="shared" si="4"/>
        <v>7455500</v>
      </c>
      <c r="N24" s="168">
        <f t="shared" si="5"/>
        <v>89466000</v>
      </c>
      <c r="O24" s="168">
        <v>11700000</v>
      </c>
      <c r="P24" s="168">
        <f t="shared" si="6"/>
        <v>101166000</v>
      </c>
      <c r="Q24" s="168">
        <f t="shared" si="7"/>
        <v>1700000</v>
      </c>
      <c r="R24" s="236"/>
      <c r="S24" s="236"/>
      <c r="T24" s="236">
        <f t="shared" si="8"/>
        <v>0</v>
      </c>
      <c r="U24" s="236">
        <f t="shared" si="9"/>
        <v>0</v>
      </c>
      <c r="V24" s="249">
        <f t="shared" si="10"/>
        <v>1700000</v>
      </c>
      <c r="W24" s="250">
        <f t="shared" si="11"/>
        <v>388500</v>
      </c>
      <c r="X24" s="249">
        <f t="shared" si="12"/>
        <v>4571500</v>
      </c>
      <c r="Y24" s="251">
        <f t="shared" si="13"/>
        <v>6660000</v>
      </c>
      <c r="Z24" s="252">
        <f t="shared" si="14"/>
        <v>388500</v>
      </c>
      <c r="AA24" s="252">
        <f t="shared" si="15"/>
        <v>6271500</v>
      </c>
      <c r="AB24" s="252">
        <f t="shared" si="16"/>
        <v>1700000</v>
      </c>
    </row>
    <row r="25" spans="1:28" s="253" customFormat="1" ht="22.5" customHeight="1">
      <c r="A25" s="171"/>
      <c r="B25" s="172" t="s">
        <v>250</v>
      </c>
      <c r="C25" s="172"/>
      <c r="D25" s="172"/>
      <c r="E25" s="245">
        <f t="shared" ref="E25:L25" si="17">SUM(E7:E24)</f>
        <v>87361600</v>
      </c>
      <c r="F25" s="245">
        <f t="shared" si="17"/>
        <v>3780000</v>
      </c>
      <c r="G25" s="245">
        <f t="shared" si="17"/>
        <v>18782744</v>
      </c>
      <c r="H25" s="245">
        <f t="shared" si="17"/>
        <v>109924344</v>
      </c>
      <c r="I25" s="245"/>
      <c r="J25" s="173">
        <f t="shared" si="17"/>
        <v>66600000</v>
      </c>
      <c r="K25" s="173">
        <f t="shared" si="17"/>
        <v>33.800000000000004</v>
      </c>
      <c r="L25" s="173">
        <f t="shared" si="17"/>
        <v>14319000</v>
      </c>
      <c r="M25" s="173">
        <f t="shared" ref="M25" si="18">SUM(M7:M24)</f>
        <v>139379000</v>
      </c>
      <c r="N25" s="173">
        <f>SUM(N7:N24)</f>
        <v>1672548000</v>
      </c>
      <c r="O25" s="173">
        <f>SUM(O7:O24)</f>
        <v>210600000</v>
      </c>
      <c r="P25" s="173">
        <f>SUM(P7:P24)</f>
        <v>1883148000</v>
      </c>
      <c r="Q25" s="173">
        <f>SUM(Q7:Q24)</f>
        <v>29454656</v>
      </c>
      <c r="R25" s="237"/>
      <c r="S25" s="237"/>
      <c r="T25" s="237"/>
      <c r="U25" s="237"/>
      <c r="V25" s="249">
        <f t="shared" si="10"/>
        <v>29454656</v>
      </c>
      <c r="W25" s="250">
        <f t="shared" si="11"/>
        <v>9172968</v>
      </c>
      <c r="X25" s="249">
        <f t="shared" si="12"/>
        <v>81968632</v>
      </c>
      <c r="Y25" s="251">
        <f t="shared" si="13"/>
        <v>2251080000.0000005</v>
      </c>
      <c r="Z25" s="252">
        <f t="shared" si="14"/>
        <v>6993000</v>
      </c>
      <c r="AA25" s="252">
        <f t="shared" si="15"/>
        <v>2244087000.0000005</v>
      </c>
    </row>
    <row r="26" spans="1:28">
      <c r="N26" s="259"/>
      <c r="O26" s="260"/>
      <c r="P26" s="260"/>
      <c r="Q26" s="260"/>
      <c r="R26" s="236"/>
      <c r="S26" s="236"/>
      <c r="T26" s="236"/>
      <c r="U26" s="236"/>
      <c r="V26" s="174">
        <f>V25*6</f>
        <v>176727936</v>
      </c>
      <c r="W26" s="174">
        <f>W25/18</f>
        <v>509609.33333333331</v>
      </c>
      <c r="X26" s="174">
        <f>X25/18</f>
        <v>4553812.888888889</v>
      </c>
    </row>
    <row r="27" spans="1:28">
      <c r="P27" s="232">
        <f>J7*K7</f>
        <v>6660000</v>
      </c>
    </row>
    <row r="28" spans="1:28">
      <c r="H28" s="247"/>
      <c r="I28" s="247"/>
      <c r="J28" s="261"/>
      <c r="K28" s="261"/>
      <c r="L28" s="261"/>
      <c r="M28" s="261"/>
      <c r="N28" s="261"/>
      <c r="O28" s="261"/>
      <c r="P28" s="261">
        <f>J7*10.5%</f>
        <v>388500</v>
      </c>
      <c r="Q28" s="261"/>
      <c r="R28" s="162"/>
      <c r="S28" s="162"/>
      <c r="T28" s="162"/>
      <c r="U28" s="162"/>
    </row>
    <row r="29" spans="1:28">
      <c r="O29" s="233"/>
      <c r="P29" s="233">
        <f>P27-P28</f>
        <v>6271500</v>
      </c>
    </row>
    <row r="30" spans="1:28">
      <c r="P30" s="232">
        <f>J18*K18</f>
        <v>7770000</v>
      </c>
    </row>
    <row r="31" spans="1:28">
      <c r="O31" s="262"/>
      <c r="P31" s="233">
        <f>P30-P28</f>
        <v>7381500</v>
      </c>
    </row>
  </sheetData>
  <sheetProtection sheet="1" objects="1" scenarios="1" formatCells="0" formatColumns="0"/>
  <mergeCells count="28">
    <mergeCell ref="C22:C24"/>
    <mergeCell ref="A1:N1"/>
    <mergeCell ref="A2:N2"/>
    <mergeCell ref="A3:A4"/>
    <mergeCell ref="B3:B4"/>
    <mergeCell ref="C3:C4"/>
    <mergeCell ref="D3:D4"/>
    <mergeCell ref="E3:E4"/>
    <mergeCell ref="G3:G4"/>
    <mergeCell ref="H3:H4"/>
    <mergeCell ref="C7:C8"/>
    <mergeCell ref="C9:C11"/>
    <mergeCell ref="C13:C15"/>
    <mergeCell ref="C16:C17"/>
    <mergeCell ref="C20:C21"/>
    <mergeCell ref="E6:H6"/>
    <mergeCell ref="J6:M6"/>
    <mergeCell ref="Y5:AA5"/>
    <mergeCell ref="I3:I5"/>
    <mergeCell ref="F3:F4"/>
    <mergeCell ref="J3:J4"/>
    <mergeCell ref="K3:K4"/>
    <mergeCell ref="L3:L4"/>
    <mergeCell ref="M3:M4"/>
    <mergeCell ref="N3:N5"/>
    <mergeCell ref="O3:O5"/>
    <mergeCell ref="P3:P5"/>
    <mergeCell ref="Q3:Q5"/>
  </mergeCells>
  <pageMargins left="0.7" right="0.7"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I26" sqref="I26"/>
    </sheetView>
  </sheetViews>
  <sheetFormatPr defaultColWidth="9.08203125" defaultRowHeight="14"/>
  <cols>
    <col min="1" max="1" width="5.9140625" style="132" customWidth="1"/>
    <col min="2" max="2" width="34.08203125" style="132" customWidth="1"/>
    <col min="3" max="3" width="10.08203125" style="132" customWidth="1"/>
    <col min="4" max="4" width="8.4140625" style="134" customWidth="1"/>
    <col min="5" max="5" width="6.9140625" style="134" customWidth="1"/>
    <col min="6" max="6" width="7.08203125" style="134" customWidth="1"/>
    <col min="7" max="7" width="7.08203125" style="132" customWidth="1"/>
    <col min="8" max="8" width="11" style="132" hidden="1" customWidth="1"/>
    <col min="9" max="9" width="12.9140625" style="132" customWidth="1"/>
    <col min="10" max="10" width="13.4140625" style="132" customWidth="1"/>
    <col min="11" max="11" width="12.4140625" style="132" customWidth="1"/>
    <col min="12" max="12" width="11.4140625" style="132" customWidth="1"/>
    <col min="13" max="13" width="12.33203125" style="132" customWidth="1"/>
    <col min="14" max="14" width="10.08203125" style="132" customWidth="1"/>
    <col min="15" max="15" width="0" style="132" hidden="1" customWidth="1"/>
    <col min="16" max="16384" width="9.08203125" style="132"/>
  </cols>
  <sheetData>
    <row r="1" spans="1:15" ht="15">
      <c r="A1" s="3"/>
      <c r="B1" s="3"/>
      <c r="C1" s="3"/>
      <c r="D1" s="5"/>
      <c r="E1" s="5"/>
      <c r="F1" s="5"/>
      <c r="G1" s="3"/>
      <c r="H1" s="3"/>
      <c r="I1" s="3"/>
      <c r="J1" s="3"/>
      <c r="K1" s="426" t="s">
        <v>204</v>
      </c>
      <c r="L1" s="426"/>
      <c r="M1" s="426"/>
      <c r="N1" s="426"/>
    </row>
    <row r="2" spans="1:15" ht="15">
      <c r="A2" s="428" t="s">
        <v>201</v>
      </c>
      <c r="B2" s="428"/>
      <c r="C2" s="428"/>
      <c r="D2" s="428"/>
      <c r="E2" s="428"/>
      <c r="F2" s="428"/>
      <c r="G2" s="428"/>
      <c r="H2" s="428"/>
      <c r="I2" s="428"/>
      <c r="J2" s="428"/>
      <c r="K2" s="428"/>
      <c r="L2" s="428"/>
      <c r="M2" s="428"/>
      <c r="N2" s="428"/>
    </row>
    <row r="3" spans="1:15">
      <c r="A3" s="429" t="e">
        <f>#REF!</f>
        <v>#REF!</v>
      </c>
      <c r="B3" s="429"/>
      <c r="C3" s="429"/>
      <c r="D3" s="429"/>
      <c r="E3" s="429"/>
      <c r="F3" s="429"/>
      <c r="G3" s="429"/>
      <c r="H3" s="429"/>
      <c r="I3" s="429"/>
      <c r="J3" s="429"/>
      <c r="K3" s="429"/>
      <c r="L3" s="429"/>
      <c r="M3" s="429"/>
      <c r="N3" s="429"/>
      <c r="O3" s="132" t="s">
        <v>200</v>
      </c>
    </row>
    <row r="4" spans="1:15" ht="15.75" hidden="1" customHeight="1">
      <c r="A4" s="430" t="s">
        <v>175</v>
      </c>
      <c r="B4" s="430"/>
      <c r="C4" s="430"/>
      <c r="D4" s="430"/>
      <c r="E4" s="430"/>
      <c r="F4" s="430"/>
      <c r="G4" s="430"/>
      <c r="H4" s="430"/>
      <c r="I4" s="430"/>
      <c r="J4" s="430"/>
      <c r="K4" s="430"/>
      <c r="L4" s="430"/>
      <c r="M4" s="430"/>
      <c r="N4" s="430"/>
      <c r="O4" s="132" t="s">
        <v>189</v>
      </c>
    </row>
    <row r="5" spans="1:15" ht="15.75" hidden="1" customHeight="1">
      <c r="A5" s="427" t="s">
        <v>176</v>
      </c>
      <c r="B5" s="427"/>
      <c r="C5" s="427"/>
      <c r="D5" s="427"/>
      <c r="E5" s="427"/>
      <c r="F5" s="427"/>
      <c r="G5" s="427"/>
      <c r="H5" s="427"/>
      <c r="I5" s="427"/>
      <c r="J5" s="427"/>
      <c r="K5" s="427"/>
      <c r="L5" s="427"/>
      <c r="M5" s="427"/>
      <c r="N5" s="427"/>
    </row>
    <row r="6" spans="1:15" ht="15.75" hidden="1" customHeight="1">
      <c r="A6" s="427" t="s">
        <v>177</v>
      </c>
      <c r="B6" s="427"/>
      <c r="C6" s="427"/>
      <c r="D6" s="427"/>
      <c r="E6" s="427"/>
      <c r="F6" s="427"/>
      <c r="G6" s="427"/>
      <c r="H6" s="427"/>
      <c r="I6" s="427"/>
      <c r="J6" s="427"/>
      <c r="K6" s="427"/>
      <c r="L6" s="427"/>
      <c r="M6" s="427"/>
      <c r="N6" s="427"/>
    </row>
    <row r="7" spans="1:15" ht="15.75" hidden="1" customHeight="1">
      <c r="A7" s="427" t="s">
        <v>178</v>
      </c>
      <c r="B7" s="427"/>
      <c r="C7" s="427"/>
      <c r="D7" s="427"/>
      <c r="E7" s="427"/>
      <c r="F7" s="427"/>
      <c r="G7" s="427"/>
      <c r="H7" s="427"/>
      <c r="I7" s="427"/>
      <c r="J7" s="427"/>
      <c r="K7" s="427"/>
      <c r="L7" s="427"/>
      <c r="M7" s="427"/>
      <c r="N7" s="427"/>
    </row>
    <row r="8" spans="1:15" ht="15.5">
      <c r="A8" s="3"/>
      <c r="B8" s="3"/>
      <c r="C8" s="3"/>
      <c r="D8" s="5"/>
      <c r="E8" s="5"/>
      <c r="F8" s="5"/>
      <c r="G8" s="3"/>
      <c r="H8" s="3"/>
      <c r="I8" s="3"/>
      <c r="J8" s="417" t="s">
        <v>179</v>
      </c>
      <c r="K8" s="417"/>
      <c r="L8" s="417"/>
      <c r="M8" s="417"/>
      <c r="N8" s="417"/>
      <c r="O8" s="132" t="s">
        <v>188</v>
      </c>
    </row>
    <row r="9" spans="1:15" ht="15.75" customHeight="1">
      <c r="A9" s="415" t="s">
        <v>0</v>
      </c>
      <c r="B9" s="415" t="s">
        <v>180</v>
      </c>
      <c r="C9" s="415" t="s">
        <v>190</v>
      </c>
      <c r="D9" s="415" t="s">
        <v>7</v>
      </c>
      <c r="E9" s="415" t="s">
        <v>8</v>
      </c>
      <c r="F9" s="418" t="s">
        <v>181</v>
      </c>
      <c r="G9" s="420" t="s">
        <v>10</v>
      </c>
      <c r="H9" s="120"/>
      <c r="I9" s="422" t="s">
        <v>199</v>
      </c>
      <c r="J9" s="423"/>
      <c r="K9" s="424" t="s">
        <v>182</v>
      </c>
      <c r="L9" s="415" t="s">
        <v>206</v>
      </c>
      <c r="M9" s="415" t="s">
        <v>207</v>
      </c>
      <c r="N9" s="425" t="s">
        <v>183</v>
      </c>
    </row>
    <row r="10" spans="1:15" ht="39">
      <c r="A10" s="416"/>
      <c r="B10" s="416"/>
      <c r="C10" s="416"/>
      <c r="D10" s="416"/>
      <c r="E10" s="416"/>
      <c r="F10" s="419"/>
      <c r="G10" s="421"/>
      <c r="H10" s="120" t="s">
        <v>184</v>
      </c>
      <c r="I10" s="120" t="s">
        <v>185</v>
      </c>
      <c r="J10" s="121" t="s">
        <v>186</v>
      </c>
      <c r="K10" s="424"/>
      <c r="L10" s="416"/>
      <c r="M10" s="416"/>
      <c r="N10" s="425"/>
    </row>
    <row r="11" spans="1:15" ht="15.75" customHeight="1">
      <c r="A11" s="122" t="s">
        <v>25</v>
      </c>
      <c r="B11" s="122" t="s">
        <v>26</v>
      </c>
      <c r="C11" s="122"/>
      <c r="D11" s="122"/>
      <c r="E11" s="122"/>
      <c r="F11" s="122"/>
      <c r="G11" s="122"/>
      <c r="H11" s="122"/>
      <c r="I11" s="122">
        <v>1</v>
      </c>
      <c r="J11" s="122">
        <v>2</v>
      </c>
      <c r="K11" s="122">
        <v>3</v>
      </c>
      <c r="L11" s="122">
        <v>4</v>
      </c>
      <c r="M11" s="122" t="s">
        <v>208</v>
      </c>
      <c r="N11" s="133"/>
    </row>
    <row r="12" spans="1:15">
      <c r="A12" s="157" t="s">
        <v>42</v>
      </c>
      <c r="B12" s="157" t="s">
        <v>187</v>
      </c>
      <c r="C12" s="157"/>
      <c r="D12" s="157"/>
      <c r="E12" s="157"/>
      <c r="F12" s="157"/>
      <c r="G12" s="123"/>
      <c r="H12" s="124">
        <f>+H13</f>
        <v>0</v>
      </c>
      <c r="I12" s="136">
        <f>+I13</f>
        <v>1503000000</v>
      </c>
      <c r="J12" s="136">
        <f>+J13</f>
        <v>0</v>
      </c>
      <c r="K12" s="136">
        <f>I12</f>
        <v>1503000000</v>
      </c>
      <c r="L12" s="136">
        <f>+L20</f>
        <v>123046800</v>
      </c>
      <c r="M12" s="136">
        <f>K12-L12</f>
        <v>1379953200</v>
      </c>
      <c r="N12" s="137"/>
    </row>
    <row r="13" spans="1:15" ht="15">
      <c r="A13" s="157">
        <v>1</v>
      </c>
      <c r="B13" s="125" t="s">
        <v>197</v>
      </c>
      <c r="C13" s="125"/>
      <c r="D13" s="129"/>
      <c r="E13" s="129"/>
      <c r="F13" s="124"/>
      <c r="G13" s="123"/>
      <c r="H13" s="124">
        <f>SUM(H15:H19)</f>
        <v>0</v>
      </c>
      <c r="I13" s="136">
        <f>SUM(I15:I19)</f>
        <v>1503000000</v>
      </c>
      <c r="J13" s="136">
        <f>SUM(J15:J19)</f>
        <v>0</v>
      </c>
      <c r="K13" s="136">
        <v>0</v>
      </c>
      <c r="L13" s="136"/>
      <c r="M13" s="136"/>
      <c r="N13" s="137"/>
    </row>
    <row r="14" spans="1:15" ht="15.75" customHeight="1">
      <c r="A14" s="135" t="s">
        <v>4</v>
      </c>
      <c r="B14" s="140" t="s">
        <v>196</v>
      </c>
      <c r="C14" s="153" t="s">
        <v>202</v>
      </c>
      <c r="D14" s="141">
        <v>830</v>
      </c>
      <c r="E14" s="141">
        <v>810</v>
      </c>
      <c r="F14" s="142" t="s">
        <v>203</v>
      </c>
      <c r="G14" s="143">
        <v>12</v>
      </c>
      <c r="H14" s="143">
        <f>SUM(H15:H19)</f>
        <v>0</v>
      </c>
      <c r="I14" s="144">
        <f>SUM(I15:I19)</f>
        <v>1503000000</v>
      </c>
      <c r="J14" s="136"/>
      <c r="K14" s="136">
        <v>0</v>
      </c>
      <c r="L14" s="136"/>
      <c r="M14" s="136"/>
      <c r="N14" s="137"/>
    </row>
    <row r="15" spans="1:15" ht="26">
      <c r="A15" s="157"/>
      <c r="B15" s="126" t="s">
        <v>191</v>
      </c>
      <c r="C15" s="154"/>
      <c r="D15" s="145"/>
      <c r="E15" s="145"/>
      <c r="F15" s="145"/>
      <c r="G15" s="146"/>
      <c r="H15" s="147">
        <v>0</v>
      </c>
      <c r="I15" s="148">
        <v>168000000</v>
      </c>
      <c r="J15" s="138"/>
      <c r="K15" s="136">
        <v>0</v>
      </c>
      <c r="L15" s="136"/>
      <c r="M15" s="136"/>
      <c r="N15" s="137"/>
    </row>
    <row r="16" spans="1:15">
      <c r="A16" s="2"/>
      <c r="B16" s="71" t="s">
        <v>192</v>
      </c>
      <c r="C16" s="150"/>
      <c r="D16" s="150"/>
      <c r="E16" s="150"/>
      <c r="F16" s="150"/>
      <c r="G16" s="150"/>
      <c r="H16" s="149"/>
      <c r="I16" s="151">
        <v>627000000</v>
      </c>
      <c r="J16" s="139"/>
      <c r="K16" s="136">
        <v>0</v>
      </c>
      <c r="L16" s="136"/>
      <c r="M16" s="136"/>
      <c r="N16" s="139"/>
    </row>
    <row r="17" spans="1:14" ht="26">
      <c r="A17" s="2"/>
      <c r="B17" s="71" t="s">
        <v>193</v>
      </c>
      <c r="C17" s="150"/>
      <c r="D17" s="150"/>
      <c r="E17" s="150"/>
      <c r="F17" s="150"/>
      <c r="G17" s="150"/>
      <c r="H17" s="149"/>
      <c r="I17" s="151">
        <v>185000000</v>
      </c>
      <c r="J17" s="139"/>
      <c r="K17" s="136">
        <v>0</v>
      </c>
      <c r="L17" s="136"/>
      <c r="M17" s="136"/>
      <c r="N17" s="139"/>
    </row>
    <row r="18" spans="1:14" ht="15.75" customHeight="1">
      <c r="A18" s="2"/>
      <c r="B18" s="71" t="s">
        <v>194</v>
      </c>
      <c r="C18" s="150"/>
      <c r="D18" s="150"/>
      <c r="E18" s="150"/>
      <c r="F18" s="150"/>
      <c r="G18" s="150"/>
      <c r="H18" s="149"/>
      <c r="I18" s="151">
        <v>23000000</v>
      </c>
      <c r="J18" s="139"/>
      <c r="K18" s="136">
        <v>0</v>
      </c>
      <c r="L18" s="136"/>
      <c r="M18" s="136"/>
      <c r="N18" s="139"/>
    </row>
    <row r="19" spans="1:14" ht="39">
      <c r="A19" s="2"/>
      <c r="B19" s="71" t="s">
        <v>195</v>
      </c>
      <c r="C19" s="150"/>
      <c r="D19" s="150"/>
      <c r="E19" s="150"/>
      <c r="F19" s="150"/>
      <c r="G19" s="150"/>
      <c r="H19" s="149"/>
      <c r="I19" s="151">
        <v>500000000</v>
      </c>
      <c r="J19" s="139"/>
      <c r="K19" s="136">
        <v>0</v>
      </c>
      <c r="L19" s="136"/>
      <c r="M19" s="136"/>
      <c r="N19" s="139"/>
    </row>
    <row r="20" spans="1:14" ht="15.75" customHeight="1">
      <c r="A20" s="135" t="s">
        <v>4</v>
      </c>
      <c r="B20" s="152" t="s">
        <v>198</v>
      </c>
      <c r="C20" s="153" t="s">
        <v>205</v>
      </c>
      <c r="D20" s="141">
        <v>810</v>
      </c>
      <c r="E20" s="155" t="s">
        <v>209</v>
      </c>
      <c r="F20" s="142" t="s">
        <v>203</v>
      </c>
      <c r="G20" s="143">
        <v>12</v>
      </c>
      <c r="H20" s="143">
        <f t="shared" ref="H20:M20" si="0">SUM(H21:H25)</f>
        <v>0</v>
      </c>
      <c r="I20" s="144">
        <f t="shared" si="0"/>
        <v>0</v>
      </c>
      <c r="J20" s="136">
        <f t="shared" si="0"/>
        <v>1503000000</v>
      </c>
      <c r="K20" s="136">
        <f t="shared" si="0"/>
        <v>1503000000</v>
      </c>
      <c r="L20" s="136">
        <f t="shared" si="0"/>
        <v>123046800</v>
      </c>
      <c r="M20" s="136">
        <f t="shared" si="0"/>
        <v>1379953200</v>
      </c>
      <c r="N20" s="137"/>
    </row>
    <row r="21" spans="1:14" ht="30" customHeight="1">
      <c r="A21" s="157"/>
      <c r="B21" s="126" t="s">
        <v>191</v>
      </c>
      <c r="C21" s="126"/>
      <c r="D21" s="130"/>
      <c r="E21" s="131"/>
      <c r="F21" s="131"/>
      <c r="G21" s="127"/>
      <c r="H21" s="128">
        <v>0</v>
      </c>
      <c r="I21" s="138">
        <v>0</v>
      </c>
      <c r="J21" s="138">
        <v>168000000</v>
      </c>
      <c r="K21" s="138">
        <f>+J21</f>
        <v>168000000</v>
      </c>
      <c r="L21" s="138">
        <v>121362000</v>
      </c>
      <c r="M21" s="138">
        <f>K21-L21</f>
        <v>46638000</v>
      </c>
      <c r="N21" s="137"/>
    </row>
    <row r="22" spans="1:14" ht="20.25" customHeight="1">
      <c r="A22" s="2"/>
      <c r="B22" s="71" t="s">
        <v>192</v>
      </c>
      <c r="C22" s="2"/>
      <c r="D22" s="1"/>
      <c r="E22" s="1"/>
      <c r="F22" s="1"/>
      <c r="G22" s="2"/>
      <c r="H22" s="2"/>
      <c r="I22" s="139"/>
      <c r="J22" s="139">
        <v>627000000</v>
      </c>
      <c r="K22" s="138">
        <f>+J22</f>
        <v>627000000</v>
      </c>
      <c r="L22" s="138"/>
      <c r="M22" s="138">
        <f>K22-L22</f>
        <v>627000000</v>
      </c>
      <c r="N22" s="139"/>
    </row>
    <row r="23" spans="1:14" ht="42" customHeight="1">
      <c r="A23" s="2"/>
      <c r="B23" s="71" t="s">
        <v>193</v>
      </c>
      <c r="C23" s="2"/>
      <c r="D23" s="1"/>
      <c r="E23" s="1"/>
      <c r="F23" s="1"/>
      <c r="G23" s="2"/>
      <c r="H23" s="2"/>
      <c r="I23" s="139"/>
      <c r="J23" s="139">
        <v>185000000</v>
      </c>
      <c r="K23" s="138">
        <f>+J23</f>
        <v>185000000</v>
      </c>
      <c r="L23" s="138">
        <v>1684800</v>
      </c>
      <c r="M23" s="138">
        <f>K23-L23</f>
        <v>183315200</v>
      </c>
      <c r="N23" s="139"/>
    </row>
    <row r="24" spans="1:14" ht="27" customHeight="1">
      <c r="A24" s="2"/>
      <c r="B24" s="71" t="s">
        <v>194</v>
      </c>
      <c r="C24" s="2"/>
      <c r="D24" s="1"/>
      <c r="E24" s="1"/>
      <c r="F24" s="1"/>
      <c r="G24" s="2"/>
      <c r="H24" s="2"/>
      <c r="I24" s="139"/>
      <c r="J24" s="139">
        <v>23000000</v>
      </c>
      <c r="K24" s="138">
        <f>+J24</f>
        <v>23000000</v>
      </c>
      <c r="L24" s="138"/>
      <c r="M24" s="138">
        <f>K24-L24</f>
        <v>23000000</v>
      </c>
      <c r="N24" s="139"/>
    </row>
    <row r="25" spans="1:14" ht="45.75" customHeight="1">
      <c r="A25" s="2"/>
      <c r="B25" s="71" t="s">
        <v>195</v>
      </c>
      <c r="C25" s="2"/>
      <c r="D25" s="1"/>
      <c r="E25" s="1"/>
      <c r="F25" s="1"/>
      <c r="G25" s="2"/>
      <c r="H25" s="2"/>
      <c r="I25" s="139"/>
      <c r="J25" s="139">
        <v>500000000</v>
      </c>
      <c r="K25" s="138">
        <f>+J25</f>
        <v>500000000</v>
      </c>
      <c r="L25" s="138">
        <v>0</v>
      </c>
      <c r="M25" s="138">
        <f>K25-L25</f>
        <v>500000000</v>
      </c>
      <c r="N25" s="139"/>
    </row>
  </sheetData>
  <mergeCells count="20">
    <mergeCell ref="K1:N1"/>
    <mergeCell ref="A7:N7"/>
    <mergeCell ref="A2:N2"/>
    <mergeCell ref="A3:N3"/>
    <mergeCell ref="A4:N4"/>
    <mergeCell ref="A5:N5"/>
    <mergeCell ref="A6:N6"/>
    <mergeCell ref="C9:C10"/>
    <mergeCell ref="D9:D10"/>
    <mergeCell ref="E9:E10"/>
    <mergeCell ref="J8:N8"/>
    <mergeCell ref="A9:A10"/>
    <mergeCell ref="B9:B10"/>
    <mergeCell ref="F9:F10"/>
    <mergeCell ref="G9:G10"/>
    <mergeCell ref="I9:J9"/>
    <mergeCell ref="K9:K10"/>
    <mergeCell ref="N9:N10"/>
    <mergeCell ref="L9:L10"/>
    <mergeCell ref="M9:M10"/>
  </mergeCells>
  <pageMargins left="0.7" right="0.17" top="0.6" bottom="0.31" header="0.3" footer="0.3"/>
  <pageSetup paperSize="9" scale="9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G29" sqref="G29"/>
    </sheetView>
  </sheetViews>
  <sheetFormatPr defaultRowHeight="14"/>
  <cols>
    <col min="1" max="1" width="6.6640625" customWidth="1"/>
    <col min="2" max="2" width="22.58203125" customWidth="1"/>
    <col min="3" max="3" width="15.58203125" customWidth="1"/>
    <col min="4" max="4" width="15.08203125" customWidth="1"/>
    <col min="5" max="6" width="16.6640625" customWidth="1"/>
    <col min="7" max="7" width="21.33203125" customWidth="1"/>
    <col min="8" max="8" width="15.9140625" customWidth="1"/>
    <col min="9" max="9" width="15.33203125" customWidth="1"/>
  </cols>
  <sheetData>
    <row r="1" spans="1:9">
      <c r="A1" s="398" t="s">
        <v>278</v>
      </c>
      <c r="B1" s="398"/>
      <c r="C1" s="398"/>
      <c r="D1" s="398"/>
      <c r="E1" s="398"/>
      <c r="F1" s="398"/>
      <c r="G1" s="398"/>
      <c r="H1" s="398"/>
      <c r="I1" s="398"/>
    </row>
    <row r="3" spans="1:9" ht="56">
      <c r="A3" s="158" t="s">
        <v>0</v>
      </c>
      <c r="B3" s="158" t="s">
        <v>264</v>
      </c>
      <c r="C3" s="158" t="s">
        <v>265</v>
      </c>
      <c r="D3" s="158" t="s">
        <v>276</v>
      </c>
      <c r="E3" s="158" t="s">
        <v>272</v>
      </c>
      <c r="F3" s="9" t="s">
        <v>273</v>
      </c>
      <c r="G3" s="11" t="s">
        <v>270</v>
      </c>
      <c r="H3" s="158" t="s">
        <v>271</v>
      </c>
      <c r="I3" s="158" t="s">
        <v>266</v>
      </c>
    </row>
    <row r="4" spans="1:9">
      <c r="A4" s="158"/>
      <c r="B4" s="158"/>
      <c r="C4" s="158">
        <v>1</v>
      </c>
      <c r="D4" s="158">
        <v>2</v>
      </c>
      <c r="E4" s="158">
        <v>3</v>
      </c>
      <c r="F4" s="9" t="s">
        <v>274</v>
      </c>
      <c r="G4" s="9" t="s">
        <v>275</v>
      </c>
      <c r="H4" s="158">
        <v>6</v>
      </c>
      <c r="I4" s="158" t="s">
        <v>277</v>
      </c>
    </row>
    <row r="5" spans="1:9" ht="27" customHeight="1">
      <c r="A5" s="431">
        <v>1</v>
      </c>
      <c r="B5" s="431" t="s">
        <v>267</v>
      </c>
      <c r="C5" s="11">
        <v>5</v>
      </c>
      <c r="D5" s="160">
        <v>5200000</v>
      </c>
      <c r="E5" s="160">
        <f>70%*2530000</f>
        <v>1771000</v>
      </c>
      <c r="F5" s="160">
        <f>D5*21.5%</f>
        <v>1118000</v>
      </c>
      <c r="G5" s="160">
        <f>D5+E5+F5</f>
        <v>8089000</v>
      </c>
      <c r="H5" s="11">
        <v>6</v>
      </c>
      <c r="I5" s="161">
        <f>G5*H5</f>
        <v>48534000</v>
      </c>
    </row>
    <row r="6" spans="1:9" ht="32.25" customHeight="1">
      <c r="A6" s="431"/>
      <c r="B6" s="431"/>
      <c r="C6" s="11">
        <v>9</v>
      </c>
      <c r="D6" s="159">
        <v>4500000</v>
      </c>
      <c r="E6" s="160">
        <f>70%*2530000</f>
        <v>1771000</v>
      </c>
      <c r="F6" s="160">
        <f>D6*21.5%</f>
        <v>967500</v>
      </c>
      <c r="G6" s="160">
        <f>D6+E6+F6</f>
        <v>7238500</v>
      </c>
      <c r="H6" s="11">
        <v>6</v>
      </c>
      <c r="I6" s="161">
        <f>G6*H6</f>
        <v>43431000</v>
      </c>
    </row>
    <row r="7" spans="1:9" ht="27.75" customHeight="1">
      <c r="A7" s="9">
        <v>2</v>
      </c>
      <c r="B7" s="9" t="s">
        <v>268</v>
      </c>
      <c r="C7" s="11">
        <v>4</v>
      </c>
      <c r="D7" s="159">
        <v>4500000</v>
      </c>
      <c r="E7" s="160">
        <f>70%*2530000</f>
        <v>1771000</v>
      </c>
      <c r="F7" s="160">
        <f>D7*21.5%</f>
        <v>967500</v>
      </c>
      <c r="G7" s="160">
        <f>D7+E7+F7</f>
        <v>7238500</v>
      </c>
      <c r="H7" s="11">
        <v>6</v>
      </c>
      <c r="I7" s="161">
        <f>G7*H7</f>
        <v>43431000</v>
      </c>
    </row>
    <row r="8" spans="1:9">
      <c r="A8" s="9">
        <v>5</v>
      </c>
      <c r="B8" s="9" t="s">
        <v>269</v>
      </c>
      <c r="C8" s="9"/>
      <c r="D8" s="9"/>
      <c r="E8" s="9"/>
      <c r="F8" s="9"/>
      <c r="G8" s="9"/>
      <c r="H8" s="9"/>
      <c r="I8" s="9"/>
    </row>
    <row r="9" spans="1:9" ht="33.75" customHeight="1">
      <c r="A9" s="9"/>
      <c r="B9" s="15" t="s">
        <v>5</v>
      </c>
      <c r="C9" s="9"/>
      <c r="D9" s="9"/>
      <c r="E9" s="9"/>
      <c r="F9" s="9"/>
      <c r="G9" s="9"/>
      <c r="H9" s="9"/>
      <c r="I9" s="15"/>
    </row>
    <row r="15" spans="1:9">
      <c r="B15" t="s">
        <v>289</v>
      </c>
      <c r="D15" t="s">
        <v>291</v>
      </c>
      <c r="E15" t="s">
        <v>292</v>
      </c>
      <c r="F15" t="s">
        <v>293</v>
      </c>
    </row>
    <row r="16" spans="1:9">
      <c r="B16" t="s">
        <v>290</v>
      </c>
      <c r="C16" s="175">
        <v>112</v>
      </c>
      <c r="D16" s="176">
        <v>330000</v>
      </c>
      <c r="E16" s="176">
        <v>72000</v>
      </c>
      <c r="F16" s="175">
        <v>12</v>
      </c>
      <c r="G16" s="176">
        <f>(D16+E16)*C16*F16</f>
        <v>540288000</v>
      </c>
    </row>
    <row r="17" spans="2:7">
      <c r="B17" t="s">
        <v>294</v>
      </c>
      <c r="C17" s="175">
        <v>54</v>
      </c>
      <c r="D17" s="176">
        <v>330000</v>
      </c>
      <c r="E17" s="176">
        <v>72000</v>
      </c>
      <c r="F17" s="175">
        <v>7</v>
      </c>
      <c r="G17" s="176">
        <f>(D17+E17)*C17*F17</f>
        <v>151956000</v>
      </c>
    </row>
    <row r="19" spans="2:7">
      <c r="G19" s="174">
        <f>SUM(G16:G18)</f>
        <v>692244000</v>
      </c>
    </row>
    <row r="21" spans="2:7">
      <c r="B21" t="s">
        <v>289</v>
      </c>
      <c r="D21" t="s">
        <v>291</v>
      </c>
      <c r="E21" t="s">
        <v>292</v>
      </c>
      <c r="F21" t="s">
        <v>293</v>
      </c>
    </row>
    <row r="22" spans="2:7">
      <c r="B22" t="s">
        <v>290</v>
      </c>
      <c r="C22" s="175">
        <v>112</v>
      </c>
      <c r="D22" s="176">
        <v>330000</v>
      </c>
      <c r="E22" s="176">
        <v>72000</v>
      </c>
      <c r="F22" s="175">
        <v>11</v>
      </c>
      <c r="G22" s="176">
        <f>(D22+E22)*C22*F22</f>
        <v>495264000</v>
      </c>
    </row>
    <row r="23" spans="2:7">
      <c r="B23" t="s">
        <v>294</v>
      </c>
      <c r="C23" s="175">
        <v>54</v>
      </c>
      <c r="D23" s="176">
        <v>330000</v>
      </c>
      <c r="E23" s="176">
        <v>72000</v>
      </c>
      <c r="F23" s="175">
        <v>5</v>
      </c>
      <c r="G23" s="176">
        <f>(D23+E23)*C23*F23</f>
        <v>108540000</v>
      </c>
    </row>
    <row r="25" spans="2:7">
      <c r="G25" s="174">
        <f>SUM(G22:G24)</f>
        <v>603804000</v>
      </c>
    </row>
    <row r="27" spans="2:7">
      <c r="G27" s="162">
        <f>627000000</f>
        <v>627000000</v>
      </c>
    </row>
    <row r="28" spans="2:7">
      <c r="G28" s="174">
        <f>G19-G27</f>
        <v>65244000</v>
      </c>
    </row>
  </sheetData>
  <mergeCells count="3">
    <mergeCell ref="B5:B6"/>
    <mergeCell ref="A5:A6"/>
    <mergeCell ref="A1:I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topLeftCell="A16" workbookViewId="0">
      <selection activeCell="T11" sqref="T11:T36"/>
    </sheetView>
  </sheetViews>
  <sheetFormatPr defaultRowHeight="14"/>
  <cols>
    <col min="1" max="1" width="5.58203125" style="218" customWidth="1"/>
    <col min="2" max="2" width="20.6640625" style="198" customWidth="1"/>
    <col min="3" max="3" width="12.08203125" style="198" customWidth="1"/>
    <col min="4" max="4" width="10" style="198" customWidth="1"/>
    <col min="5" max="5" width="9.08203125" style="198" customWidth="1"/>
    <col min="6" max="6" width="6.9140625" style="198" customWidth="1"/>
    <col min="7" max="7" width="10.4140625" style="198" customWidth="1"/>
    <col min="8" max="8" width="6" style="198" customWidth="1"/>
    <col min="9" max="9" width="5.9140625" style="198" customWidth="1"/>
    <col min="10" max="10" width="9" style="198" customWidth="1"/>
    <col min="11" max="11" width="9.4140625" style="198" customWidth="1"/>
    <col min="12" max="12" width="6" style="198" customWidth="1"/>
    <col min="13" max="13" width="6.9140625" style="198" customWidth="1"/>
    <col min="14" max="14" width="7.33203125" style="198" customWidth="1"/>
    <col min="15" max="15" width="6" style="198" customWidth="1"/>
    <col min="16" max="16" width="5.4140625" style="198" customWidth="1"/>
    <col min="17" max="17" width="8.58203125" style="198" customWidth="1"/>
    <col min="18" max="18" width="6.33203125" style="198" customWidth="1"/>
    <col min="19" max="19" width="34.58203125" style="198" customWidth="1"/>
  </cols>
  <sheetData>
    <row r="1" spans="1:20">
      <c r="A1" s="432" t="s">
        <v>304</v>
      </c>
      <c r="B1" s="432"/>
      <c r="C1" s="432"/>
      <c r="D1" s="432"/>
      <c r="E1" s="432"/>
      <c r="F1" s="432"/>
      <c r="G1" s="432"/>
      <c r="H1" s="432"/>
      <c r="I1" s="432"/>
      <c r="J1" s="432"/>
      <c r="K1" s="432"/>
      <c r="L1" s="432"/>
      <c r="M1" s="432"/>
      <c r="N1" s="432"/>
      <c r="O1" s="432"/>
      <c r="P1" s="432"/>
      <c r="Q1" s="432"/>
      <c r="R1" s="432"/>
      <c r="S1" s="432"/>
    </row>
    <row r="2" spans="1:20" ht="15">
      <c r="A2" s="433" t="s">
        <v>305</v>
      </c>
      <c r="B2" s="433"/>
      <c r="C2" s="433"/>
      <c r="D2" s="433"/>
      <c r="E2" s="433"/>
      <c r="F2" s="433"/>
      <c r="G2" s="433"/>
      <c r="H2" s="433"/>
      <c r="I2" s="433"/>
      <c r="J2" s="433"/>
      <c r="K2" s="433"/>
      <c r="L2" s="433"/>
      <c r="M2" s="433"/>
      <c r="N2" s="433"/>
      <c r="O2" s="433"/>
      <c r="P2" s="433"/>
      <c r="Q2" s="433"/>
      <c r="R2" s="433"/>
      <c r="S2" s="433"/>
    </row>
    <row r="3" spans="1:20" ht="15">
      <c r="A3" s="434"/>
      <c r="B3" s="434"/>
      <c r="C3" s="434"/>
      <c r="D3" s="434"/>
      <c r="E3" s="434"/>
      <c r="F3" s="434"/>
      <c r="G3" s="434"/>
      <c r="H3" s="434"/>
      <c r="I3" s="434"/>
      <c r="J3" s="434"/>
      <c r="K3" s="434"/>
      <c r="L3" s="434"/>
      <c r="M3" s="434"/>
      <c r="N3" s="434"/>
      <c r="O3" s="434"/>
      <c r="P3" s="434"/>
      <c r="Q3" s="434"/>
      <c r="R3" s="434"/>
      <c r="S3" s="434"/>
    </row>
    <row r="4" spans="1:20" ht="15">
      <c r="A4" s="435" t="s">
        <v>0</v>
      </c>
      <c r="B4" s="435" t="s">
        <v>306</v>
      </c>
      <c r="C4" s="440" t="s">
        <v>307</v>
      </c>
      <c r="D4" s="443" t="s">
        <v>308</v>
      </c>
      <c r="E4" s="444"/>
      <c r="F4" s="444"/>
      <c r="G4" s="444"/>
      <c r="H4" s="444"/>
      <c r="I4" s="444"/>
      <c r="J4" s="444"/>
      <c r="K4" s="444"/>
      <c r="L4" s="444"/>
      <c r="M4" s="445"/>
      <c r="N4" s="446" t="s">
        <v>309</v>
      </c>
      <c r="O4" s="443" t="s">
        <v>310</v>
      </c>
      <c r="P4" s="444"/>
      <c r="Q4" s="444"/>
      <c r="R4" s="444"/>
      <c r="S4" s="445"/>
    </row>
    <row r="5" spans="1:20" ht="15">
      <c r="A5" s="436"/>
      <c r="B5" s="438"/>
      <c r="C5" s="441"/>
      <c r="D5" s="446" t="s">
        <v>311</v>
      </c>
      <c r="E5" s="457" t="s">
        <v>312</v>
      </c>
      <c r="F5" s="443" t="s">
        <v>313</v>
      </c>
      <c r="G5" s="445"/>
      <c r="H5" s="443" t="s">
        <v>314</v>
      </c>
      <c r="I5" s="445"/>
      <c r="J5" s="443" t="s">
        <v>315</v>
      </c>
      <c r="K5" s="445"/>
      <c r="L5" s="443" t="s">
        <v>316</v>
      </c>
      <c r="M5" s="445"/>
      <c r="N5" s="447"/>
      <c r="O5" s="446" t="s">
        <v>317</v>
      </c>
      <c r="P5" s="446" t="s">
        <v>318</v>
      </c>
      <c r="Q5" s="446" t="s">
        <v>319</v>
      </c>
      <c r="R5" s="446" t="s">
        <v>320</v>
      </c>
      <c r="S5" s="446" t="s">
        <v>321</v>
      </c>
    </row>
    <row r="6" spans="1:20" ht="60">
      <c r="A6" s="437"/>
      <c r="B6" s="439"/>
      <c r="C6" s="442"/>
      <c r="D6" s="448"/>
      <c r="E6" s="458"/>
      <c r="F6" s="181" t="s">
        <v>322</v>
      </c>
      <c r="G6" s="181" t="s">
        <v>323</v>
      </c>
      <c r="H6" s="181" t="s">
        <v>324</v>
      </c>
      <c r="I6" s="181" t="s">
        <v>323</v>
      </c>
      <c r="J6" s="181" t="s">
        <v>322</v>
      </c>
      <c r="K6" s="181" t="s">
        <v>323</v>
      </c>
      <c r="L6" s="181" t="s">
        <v>322</v>
      </c>
      <c r="M6" s="181" t="s">
        <v>323</v>
      </c>
      <c r="N6" s="448"/>
      <c r="O6" s="448"/>
      <c r="P6" s="448"/>
      <c r="Q6" s="448"/>
      <c r="R6" s="448"/>
      <c r="S6" s="448"/>
    </row>
    <row r="7" spans="1:20" ht="16.5">
      <c r="A7" s="182"/>
      <c r="B7" s="183"/>
      <c r="C7" s="184"/>
      <c r="D7" s="185"/>
      <c r="E7" s="186"/>
      <c r="F7" s="187"/>
      <c r="G7" s="187"/>
      <c r="H7" s="187"/>
      <c r="I7" s="187"/>
      <c r="J7" s="187"/>
      <c r="K7" s="187"/>
      <c r="L7" s="187"/>
      <c r="M7" s="187"/>
      <c r="N7" s="187"/>
      <c r="O7" s="185"/>
      <c r="P7" s="185"/>
      <c r="Q7" s="185"/>
      <c r="R7" s="185"/>
      <c r="S7" s="185"/>
    </row>
    <row r="8" spans="1:20" ht="16.5">
      <c r="A8" s="182"/>
      <c r="B8" s="183"/>
      <c r="C8" s="184"/>
      <c r="D8" s="187"/>
      <c r="E8" s="187"/>
      <c r="F8" s="187"/>
      <c r="G8" s="187"/>
      <c r="H8" s="187"/>
      <c r="I8" s="187"/>
      <c r="J8" s="187"/>
      <c r="K8" s="187"/>
      <c r="L8" s="187"/>
      <c r="M8" s="187"/>
      <c r="N8" s="185"/>
      <c r="O8" s="187"/>
      <c r="P8" s="185"/>
      <c r="Q8" s="185"/>
      <c r="R8" s="185"/>
      <c r="S8" s="185"/>
    </row>
    <row r="9" spans="1:20" ht="15">
      <c r="A9" s="459" t="s">
        <v>325</v>
      </c>
      <c r="B9" s="460"/>
      <c r="C9" s="188"/>
      <c r="D9" s="187">
        <f>D10+D25+D31</f>
        <v>73</v>
      </c>
      <c r="E9" s="187">
        <f>E10+E25+E31</f>
        <v>2203</v>
      </c>
      <c r="F9" s="187">
        <f>SUM(F11:F24)</f>
        <v>9</v>
      </c>
      <c r="G9" s="187">
        <f>G10</f>
        <v>970</v>
      </c>
      <c r="H9" s="187">
        <f>SUM(H11:H24)</f>
        <v>1</v>
      </c>
      <c r="I9" s="187">
        <f>I10</f>
        <v>84</v>
      </c>
      <c r="J9" s="187">
        <f>J10+J31</f>
        <v>39</v>
      </c>
      <c r="K9" s="187">
        <f>K10+K31</f>
        <v>914</v>
      </c>
      <c r="L9" s="187">
        <f>L10+L25</f>
        <v>24</v>
      </c>
      <c r="M9" s="187">
        <f>M10+M25</f>
        <v>235</v>
      </c>
      <c r="N9" s="187">
        <f>N10+N25+N31</f>
        <v>175</v>
      </c>
      <c r="O9" s="187"/>
      <c r="P9" s="187">
        <f>P10+P25+P31</f>
        <v>58</v>
      </c>
      <c r="Q9" s="187">
        <f>Q10+Q25+Q31</f>
        <v>100</v>
      </c>
      <c r="R9" s="187"/>
      <c r="S9" s="187"/>
    </row>
    <row r="10" spans="1:20" ht="15">
      <c r="A10" s="189" t="s">
        <v>42</v>
      </c>
      <c r="B10" s="190" t="s">
        <v>326</v>
      </c>
      <c r="C10" s="191"/>
      <c r="D10" s="192">
        <f>F10+H10+J10+L10</f>
        <v>30</v>
      </c>
      <c r="E10" s="192">
        <f>G10+I10+K10+M10</f>
        <v>1566</v>
      </c>
      <c r="F10" s="192">
        <f>SUM(F11:F24)</f>
        <v>9</v>
      </c>
      <c r="G10" s="192">
        <f t="shared" ref="G10:M10" si="0">SUM(G11:G24)</f>
        <v>970</v>
      </c>
      <c r="H10" s="192">
        <v>1</v>
      </c>
      <c r="I10" s="192">
        <f t="shared" si="0"/>
        <v>84</v>
      </c>
      <c r="J10" s="192">
        <f t="shared" si="0"/>
        <v>20</v>
      </c>
      <c r="K10" s="192">
        <f t="shared" si="0"/>
        <v>512</v>
      </c>
      <c r="L10" s="192">
        <f t="shared" si="0"/>
        <v>0</v>
      </c>
      <c r="M10" s="192">
        <f t="shared" si="0"/>
        <v>0</v>
      </c>
      <c r="N10" s="192">
        <v>175</v>
      </c>
      <c r="O10" s="193"/>
      <c r="P10" s="192">
        <v>10</v>
      </c>
      <c r="Q10" s="192">
        <v>50</v>
      </c>
      <c r="R10" s="193"/>
      <c r="S10" s="193"/>
    </row>
    <row r="11" spans="1:20" ht="15.5">
      <c r="A11" s="449">
        <v>1</v>
      </c>
      <c r="B11" s="455" t="s">
        <v>327</v>
      </c>
      <c r="C11" s="194">
        <v>46082</v>
      </c>
      <c r="D11" s="195">
        <f>SUM(F11,H11,J11,L11)</f>
        <v>2</v>
      </c>
      <c r="E11" s="195">
        <f>SUM(G11,I11,K11,M11)</f>
        <v>271</v>
      </c>
      <c r="F11" s="195">
        <v>2</v>
      </c>
      <c r="G11" s="195">
        <v>271</v>
      </c>
      <c r="H11" s="196"/>
      <c r="I11" s="196"/>
      <c r="J11" s="195"/>
      <c r="K11" s="197"/>
      <c r="L11" s="196"/>
      <c r="M11" s="196"/>
      <c r="O11" s="196"/>
      <c r="P11" s="196"/>
      <c r="Q11" s="196"/>
      <c r="R11" s="196"/>
      <c r="S11" s="196"/>
      <c r="T11">
        <v>1</v>
      </c>
    </row>
    <row r="12" spans="1:20" ht="15.5">
      <c r="A12" s="451"/>
      <c r="B12" s="456"/>
      <c r="C12" s="199">
        <v>46090</v>
      </c>
      <c r="D12" s="195">
        <f t="shared" ref="D12:E24" si="1">SUM(F12,H12,J12,L12)</f>
        <v>2</v>
      </c>
      <c r="E12" s="195">
        <f t="shared" si="1"/>
        <v>179</v>
      </c>
      <c r="F12" s="200">
        <v>1</v>
      </c>
      <c r="G12" s="200">
        <v>95</v>
      </c>
      <c r="H12" s="200">
        <v>1</v>
      </c>
      <c r="I12" s="200">
        <v>84</v>
      </c>
      <c r="J12" s="200"/>
      <c r="K12" s="201"/>
      <c r="L12" s="196"/>
      <c r="M12" s="196"/>
      <c r="O12" s="196"/>
      <c r="P12" s="196"/>
      <c r="Q12" s="196"/>
      <c r="R12" s="196"/>
      <c r="S12" s="196"/>
      <c r="T12">
        <v>1</v>
      </c>
    </row>
    <row r="13" spans="1:20" ht="15.5">
      <c r="A13" s="449">
        <v>2</v>
      </c>
      <c r="B13" s="452" t="s">
        <v>328</v>
      </c>
      <c r="C13" s="194">
        <v>46083</v>
      </c>
      <c r="D13" s="195">
        <f t="shared" si="1"/>
        <v>2</v>
      </c>
      <c r="E13" s="195">
        <f t="shared" si="1"/>
        <v>46</v>
      </c>
      <c r="F13" s="195"/>
      <c r="G13" s="195"/>
      <c r="H13" s="195"/>
      <c r="I13" s="195"/>
      <c r="J13" s="195">
        <v>2</v>
      </c>
      <c r="K13" s="195">
        <v>46</v>
      </c>
      <c r="L13" s="196"/>
      <c r="M13" s="196"/>
      <c r="O13" s="196"/>
      <c r="P13" s="196"/>
      <c r="Q13" s="196"/>
      <c r="R13" s="196"/>
      <c r="S13" s="196"/>
    </row>
    <row r="14" spans="1:20" ht="15.5">
      <c r="A14" s="450"/>
      <c r="B14" s="453"/>
      <c r="C14" s="194">
        <v>46117</v>
      </c>
      <c r="D14" s="195">
        <f t="shared" si="1"/>
        <v>3</v>
      </c>
      <c r="E14" s="195">
        <f t="shared" si="1"/>
        <v>73</v>
      </c>
      <c r="F14" s="195"/>
      <c r="G14" s="195"/>
      <c r="H14" s="195"/>
      <c r="I14" s="195"/>
      <c r="J14" s="195">
        <v>3</v>
      </c>
      <c r="K14" s="195">
        <v>73</v>
      </c>
      <c r="L14" s="195"/>
      <c r="M14" s="195"/>
      <c r="O14" s="196"/>
      <c r="P14" s="196"/>
      <c r="Q14" s="196"/>
      <c r="R14" s="196"/>
      <c r="S14" s="196"/>
    </row>
    <row r="15" spans="1:20" ht="15.5">
      <c r="A15" s="450"/>
      <c r="B15" s="453"/>
      <c r="C15" s="194">
        <v>46119</v>
      </c>
      <c r="D15" s="195">
        <f t="shared" si="1"/>
        <v>4</v>
      </c>
      <c r="E15" s="195">
        <f t="shared" si="1"/>
        <v>105</v>
      </c>
      <c r="F15" s="195"/>
      <c r="G15" s="195"/>
      <c r="H15" s="195"/>
      <c r="I15" s="195"/>
      <c r="J15" s="195">
        <v>4</v>
      </c>
      <c r="K15" s="195">
        <v>105</v>
      </c>
      <c r="L15" s="195"/>
      <c r="M15" s="195"/>
      <c r="O15" s="196"/>
      <c r="P15" s="196"/>
      <c r="Q15" s="196"/>
      <c r="R15" s="196"/>
      <c r="S15" s="196"/>
    </row>
    <row r="16" spans="1:20" ht="15.5">
      <c r="A16" s="450"/>
      <c r="B16" s="453"/>
      <c r="C16" s="194">
        <v>46120</v>
      </c>
      <c r="D16" s="195">
        <f t="shared" si="1"/>
        <v>4</v>
      </c>
      <c r="E16" s="195">
        <f t="shared" si="1"/>
        <v>106</v>
      </c>
      <c r="F16" s="195"/>
      <c r="G16" s="195"/>
      <c r="H16" s="195"/>
      <c r="I16" s="195"/>
      <c r="J16" s="195">
        <v>4</v>
      </c>
      <c r="K16" s="195">
        <v>106</v>
      </c>
      <c r="L16" s="195"/>
      <c r="M16" s="195"/>
      <c r="O16" s="196"/>
      <c r="P16" s="196"/>
      <c r="Q16" s="196"/>
      <c r="R16" s="196"/>
      <c r="S16" s="196"/>
    </row>
    <row r="17" spans="1:20" ht="15.5">
      <c r="A17" s="450"/>
      <c r="B17" s="453"/>
      <c r="C17" s="194">
        <v>46125</v>
      </c>
      <c r="D17" s="195">
        <f t="shared" si="1"/>
        <v>4</v>
      </c>
      <c r="E17" s="195">
        <f t="shared" si="1"/>
        <v>110</v>
      </c>
      <c r="F17" s="195"/>
      <c r="G17" s="195"/>
      <c r="H17" s="195"/>
      <c r="I17" s="195"/>
      <c r="J17" s="195">
        <v>4</v>
      </c>
      <c r="K17" s="195">
        <v>110</v>
      </c>
      <c r="L17" s="195"/>
      <c r="M17" s="195"/>
      <c r="O17" s="196"/>
      <c r="P17" s="196"/>
      <c r="Q17" s="196"/>
      <c r="R17" s="196"/>
      <c r="S17" s="196"/>
      <c r="T17">
        <v>3</v>
      </c>
    </row>
    <row r="18" spans="1:20" ht="15.5">
      <c r="A18" s="451"/>
      <c r="B18" s="454"/>
      <c r="C18" s="194">
        <v>46126</v>
      </c>
      <c r="D18" s="195">
        <f t="shared" si="1"/>
        <v>2</v>
      </c>
      <c r="E18" s="195">
        <f t="shared" si="1"/>
        <v>44</v>
      </c>
      <c r="F18" s="195"/>
      <c r="G18" s="195"/>
      <c r="H18" s="195"/>
      <c r="I18" s="195"/>
      <c r="J18" s="195">
        <v>2</v>
      </c>
      <c r="K18" s="195">
        <v>44</v>
      </c>
      <c r="L18" s="195"/>
      <c r="M18" s="195"/>
      <c r="O18" s="196"/>
      <c r="P18" s="196"/>
      <c r="Q18" s="196"/>
      <c r="R18" s="196"/>
      <c r="S18" s="196"/>
    </row>
    <row r="19" spans="1:20" ht="15.5">
      <c r="A19" s="202">
        <v>3</v>
      </c>
      <c r="B19" s="203" t="s">
        <v>329</v>
      </c>
      <c r="C19" s="194">
        <v>46083</v>
      </c>
      <c r="D19" s="195">
        <f t="shared" si="1"/>
        <v>1</v>
      </c>
      <c r="E19" s="195">
        <f t="shared" si="1"/>
        <v>200</v>
      </c>
      <c r="F19" s="195">
        <v>1</v>
      </c>
      <c r="G19" s="195">
        <v>200</v>
      </c>
      <c r="H19" s="195"/>
      <c r="I19" s="195"/>
      <c r="J19" s="195"/>
      <c r="K19" s="195"/>
      <c r="L19" s="195"/>
      <c r="M19" s="195"/>
      <c r="O19" s="196"/>
      <c r="P19" s="196"/>
      <c r="Q19" s="196"/>
      <c r="R19" s="196"/>
      <c r="S19" s="196"/>
    </row>
    <row r="20" spans="1:20" ht="15.5">
      <c r="A20" s="202">
        <v>4</v>
      </c>
      <c r="B20" s="203" t="s">
        <v>330</v>
      </c>
      <c r="C20" s="204">
        <v>46085</v>
      </c>
      <c r="D20" s="195">
        <f t="shared" si="1"/>
        <v>2</v>
      </c>
      <c r="E20" s="195">
        <f t="shared" si="1"/>
        <v>112</v>
      </c>
      <c r="F20" s="195">
        <v>1</v>
      </c>
      <c r="G20" s="195">
        <v>84</v>
      </c>
      <c r="H20" s="195"/>
      <c r="I20" s="195"/>
      <c r="J20" s="195">
        <v>1</v>
      </c>
      <c r="K20" s="195">
        <v>28</v>
      </c>
      <c r="L20" s="195"/>
      <c r="M20" s="195"/>
      <c r="O20" s="196"/>
      <c r="P20" s="196"/>
      <c r="Q20" s="196"/>
      <c r="R20" s="196"/>
      <c r="S20" s="196"/>
    </row>
    <row r="21" spans="1:20" ht="15.5">
      <c r="A21" s="202">
        <v>5</v>
      </c>
      <c r="B21" s="107" t="s">
        <v>331</v>
      </c>
      <c r="C21" s="205">
        <v>46090</v>
      </c>
      <c r="D21" s="195">
        <f t="shared" si="1"/>
        <v>1</v>
      </c>
      <c r="E21" s="195">
        <f t="shared" si="1"/>
        <v>85</v>
      </c>
      <c r="F21" s="195">
        <v>1</v>
      </c>
      <c r="G21" s="195">
        <v>85</v>
      </c>
      <c r="H21" s="195"/>
      <c r="I21" s="195"/>
      <c r="J21" s="195"/>
      <c r="K21" s="195"/>
      <c r="L21" s="195"/>
      <c r="M21" s="195"/>
      <c r="O21" s="196"/>
      <c r="P21" s="196"/>
      <c r="Q21" s="196"/>
      <c r="R21" s="196"/>
      <c r="S21" s="196"/>
    </row>
    <row r="22" spans="1:20" ht="15.5">
      <c r="A22" s="449">
        <v>6</v>
      </c>
      <c r="B22" s="455" t="s">
        <v>332</v>
      </c>
      <c r="C22" s="204">
        <v>46097</v>
      </c>
      <c r="D22" s="195">
        <f t="shared" si="1"/>
        <v>1</v>
      </c>
      <c r="E22" s="195">
        <f t="shared" si="1"/>
        <v>60</v>
      </c>
      <c r="F22" s="195">
        <v>1</v>
      </c>
      <c r="G22" s="195">
        <v>60</v>
      </c>
      <c r="H22" s="195"/>
      <c r="I22" s="195"/>
      <c r="J22" s="195"/>
      <c r="K22" s="195"/>
      <c r="L22" s="195"/>
      <c r="M22" s="195"/>
      <c r="O22" s="196"/>
      <c r="P22" s="196"/>
      <c r="Q22" s="196"/>
      <c r="R22" s="196"/>
      <c r="S22" s="196"/>
    </row>
    <row r="23" spans="1:20" ht="15.5">
      <c r="A23" s="451"/>
      <c r="B23" s="456"/>
      <c r="C23" s="204">
        <v>46098</v>
      </c>
      <c r="D23" s="195">
        <f t="shared" si="1"/>
        <v>1</v>
      </c>
      <c r="E23" s="195">
        <f t="shared" si="1"/>
        <v>90</v>
      </c>
      <c r="F23" s="195">
        <v>1</v>
      </c>
      <c r="G23" s="195">
        <v>90</v>
      </c>
      <c r="H23" s="206"/>
      <c r="I23" s="206"/>
      <c r="J23" s="206"/>
      <c r="K23" s="206"/>
      <c r="L23" s="206"/>
      <c r="M23" s="195"/>
      <c r="O23" s="196"/>
      <c r="P23" s="196"/>
      <c r="Q23" s="196"/>
      <c r="R23" s="196"/>
      <c r="S23" s="196"/>
    </row>
    <row r="24" spans="1:20" ht="15.5">
      <c r="A24" s="202">
        <v>7</v>
      </c>
      <c r="B24" s="203" t="s">
        <v>333</v>
      </c>
      <c r="C24" s="204">
        <v>46097</v>
      </c>
      <c r="D24" s="195">
        <f t="shared" si="1"/>
        <v>1</v>
      </c>
      <c r="E24" s="195">
        <f t="shared" si="1"/>
        <v>85</v>
      </c>
      <c r="F24" s="195">
        <v>1</v>
      </c>
      <c r="G24" s="195">
        <v>85</v>
      </c>
      <c r="H24" s="195"/>
      <c r="I24" s="195"/>
      <c r="J24" s="195"/>
      <c r="K24" s="195"/>
      <c r="L24" s="195"/>
      <c r="M24" s="195"/>
      <c r="O24" s="196"/>
      <c r="P24" s="196"/>
      <c r="Q24" s="196"/>
      <c r="R24" s="196"/>
      <c r="S24" s="196"/>
    </row>
    <row r="25" spans="1:20" ht="15">
      <c r="A25" s="189" t="s">
        <v>142</v>
      </c>
      <c r="B25" s="207" t="s">
        <v>334</v>
      </c>
      <c r="C25" s="208"/>
      <c r="D25" s="192">
        <f>D26+D27+D28+D29+D30</f>
        <v>24</v>
      </c>
      <c r="E25" s="192">
        <f>E26+E27+E28+E29+E30</f>
        <v>235</v>
      </c>
      <c r="F25" s="192"/>
      <c r="G25" s="192"/>
      <c r="H25" s="192"/>
      <c r="I25" s="192"/>
      <c r="J25" s="192"/>
      <c r="K25" s="192"/>
      <c r="L25" s="192">
        <f>L26+L27+L28+L29+L30</f>
        <v>24</v>
      </c>
      <c r="M25" s="192">
        <f>M26+M27+M28+M29+M30</f>
        <v>235</v>
      </c>
      <c r="N25" s="193"/>
      <c r="O25" s="193"/>
      <c r="P25" s="192">
        <v>28</v>
      </c>
      <c r="Q25" s="193">
        <v>25</v>
      </c>
      <c r="R25" s="193"/>
      <c r="S25" s="193"/>
    </row>
    <row r="26" spans="1:20" ht="15.5">
      <c r="A26" s="449">
        <v>1</v>
      </c>
      <c r="B26" s="449" t="s">
        <v>335</v>
      </c>
      <c r="C26" s="204">
        <v>46121</v>
      </c>
      <c r="D26" s="195">
        <f>L26</f>
        <v>7</v>
      </c>
      <c r="E26" s="195">
        <f>M26</f>
        <v>53</v>
      </c>
      <c r="F26" s="195"/>
      <c r="G26" s="195"/>
      <c r="H26" s="195"/>
      <c r="I26" s="195"/>
      <c r="J26" s="195"/>
      <c r="K26" s="195"/>
      <c r="L26" s="195">
        <v>7</v>
      </c>
      <c r="M26" s="195">
        <v>53</v>
      </c>
      <c r="N26" s="196"/>
      <c r="O26" s="196"/>
      <c r="P26" s="196"/>
      <c r="Q26" s="196"/>
      <c r="R26" s="196"/>
      <c r="S26" s="196"/>
    </row>
    <row r="27" spans="1:20" ht="15.5">
      <c r="A27" s="450"/>
      <c r="B27" s="450"/>
      <c r="C27" s="204">
        <v>46126</v>
      </c>
      <c r="D27" s="195">
        <v>6</v>
      </c>
      <c r="E27" s="195">
        <v>59</v>
      </c>
      <c r="F27" s="195"/>
      <c r="G27" s="195"/>
      <c r="H27" s="195"/>
      <c r="I27" s="195"/>
      <c r="J27" s="195"/>
      <c r="K27" s="195"/>
      <c r="L27" s="195">
        <v>6</v>
      </c>
      <c r="M27" s="195">
        <v>59</v>
      </c>
      <c r="N27" s="196"/>
      <c r="O27" s="196"/>
      <c r="P27" s="196"/>
      <c r="Q27" s="196"/>
      <c r="R27" s="196"/>
      <c r="S27" s="196"/>
      <c r="T27">
        <v>2</v>
      </c>
    </row>
    <row r="28" spans="1:20" ht="15.5">
      <c r="A28" s="450"/>
      <c r="B28" s="450"/>
      <c r="C28" s="204">
        <v>46127</v>
      </c>
      <c r="D28" s="195">
        <v>2</v>
      </c>
      <c r="E28" s="195">
        <v>23</v>
      </c>
      <c r="F28" s="195"/>
      <c r="G28" s="195"/>
      <c r="H28" s="195"/>
      <c r="I28" s="195"/>
      <c r="J28" s="195"/>
      <c r="K28" s="195"/>
      <c r="L28" s="195">
        <v>2</v>
      </c>
      <c r="M28" s="195">
        <v>23</v>
      </c>
      <c r="N28" s="196"/>
      <c r="O28" s="196"/>
      <c r="P28" s="196"/>
      <c r="Q28" s="196"/>
      <c r="R28" s="196"/>
      <c r="S28" s="196"/>
    </row>
    <row r="29" spans="1:20" ht="15.5">
      <c r="A29" s="450"/>
      <c r="B29" s="450"/>
      <c r="C29" s="204">
        <v>46130</v>
      </c>
      <c r="D29" s="195">
        <v>3</v>
      </c>
      <c r="E29" s="195">
        <v>37</v>
      </c>
      <c r="F29" s="195"/>
      <c r="G29" s="195"/>
      <c r="H29" s="195"/>
      <c r="I29" s="195"/>
      <c r="J29" s="195"/>
      <c r="K29" s="195"/>
      <c r="L29" s="195">
        <v>3</v>
      </c>
      <c r="M29" s="195">
        <v>37</v>
      </c>
      <c r="N29" s="196"/>
      <c r="O29" s="196"/>
      <c r="P29" s="196"/>
      <c r="Q29" s="196"/>
      <c r="R29" s="196"/>
      <c r="S29" s="196"/>
    </row>
    <row r="30" spans="1:20" ht="15.5">
      <c r="A30" s="451"/>
      <c r="B30" s="451"/>
      <c r="C30" s="209">
        <v>46136</v>
      </c>
      <c r="D30" s="210">
        <v>6</v>
      </c>
      <c r="E30" s="210">
        <v>63</v>
      </c>
      <c r="F30" s="210"/>
      <c r="G30" s="210"/>
      <c r="H30" s="210"/>
      <c r="I30" s="210"/>
      <c r="J30" s="210"/>
      <c r="K30" s="210"/>
      <c r="L30" s="210">
        <v>6</v>
      </c>
      <c r="M30" s="210">
        <v>63</v>
      </c>
      <c r="N30" s="196"/>
      <c r="O30" s="196"/>
      <c r="P30" s="196"/>
      <c r="Q30" s="196"/>
      <c r="R30" s="196"/>
      <c r="S30" s="196"/>
    </row>
    <row r="31" spans="1:20" ht="15.5">
      <c r="A31" s="202" t="s">
        <v>142</v>
      </c>
      <c r="B31" s="207" t="s">
        <v>336</v>
      </c>
      <c r="C31" s="208"/>
      <c r="D31" s="192">
        <f>SUM(D32:D37)</f>
        <v>19</v>
      </c>
      <c r="E31" s="211">
        <f>SUM(E32:E37)</f>
        <v>402</v>
      </c>
      <c r="F31" s="192"/>
      <c r="G31" s="192"/>
      <c r="H31" s="192"/>
      <c r="I31" s="192"/>
      <c r="J31" s="192">
        <f>SUM(J32:J37)</f>
        <v>19</v>
      </c>
      <c r="K31" s="192">
        <f>SUM(K32:K37)</f>
        <v>402</v>
      </c>
      <c r="L31" s="195"/>
      <c r="M31" s="195"/>
      <c r="N31" s="196"/>
      <c r="O31" s="196"/>
      <c r="P31" s="192">
        <v>20</v>
      </c>
      <c r="Q31" s="192">
        <v>25</v>
      </c>
      <c r="R31" s="196"/>
      <c r="S31" s="196"/>
    </row>
    <row r="32" spans="1:20" ht="15.5">
      <c r="A32" s="449">
        <v>1</v>
      </c>
      <c r="B32" s="449" t="s">
        <v>337</v>
      </c>
      <c r="C32" s="204">
        <v>46125</v>
      </c>
      <c r="D32" s="195">
        <v>5</v>
      </c>
      <c r="E32" s="195">
        <v>105</v>
      </c>
      <c r="F32" s="195"/>
      <c r="G32" s="195"/>
      <c r="H32" s="195"/>
      <c r="I32" s="195"/>
      <c r="J32" s="195">
        <v>5</v>
      </c>
      <c r="K32" s="195">
        <v>105</v>
      </c>
      <c r="L32" s="195"/>
      <c r="M32" s="195"/>
      <c r="N32" s="196"/>
      <c r="O32" s="196"/>
      <c r="P32" s="196"/>
      <c r="Q32" s="196"/>
      <c r="R32" s="196"/>
      <c r="S32" s="196"/>
    </row>
    <row r="33" spans="1:20" ht="15.5">
      <c r="A33" s="450"/>
      <c r="B33" s="450"/>
      <c r="C33" s="204">
        <v>46126</v>
      </c>
      <c r="D33" s="195">
        <v>1</v>
      </c>
      <c r="E33" s="195">
        <v>19</v>
      </c>
      <c r="F33" s="195"/>
      <c r="G33" s="195"/>
      <c r="H33" s="195"/>
      <c r="I33" s="195"/>
      <c r="J33" s="195">
        <v>1</v>
      </c>
      <c r="K33" s="195">
        <v>19</v>
      </c>
      <c r="L33" s="195"/>
      <c r="M33" s="195"/>
      <c r="N33" s="196"/>
      <c r="O33" s="196"/>
      <c r="P33" s="196"/>
      <c r="Q33" s="196"/>
      <c r="R33" s="196"/>
      <c r="S33" s="196"/>
    </row>
    <row r="34" spans="1:20" ht="15.5">
      <c r="A34" s="450"/>
      <c r="B34" s="450"/>
      <c r="C34" s="204">
        <v>46127</v>
      </c>
      <c r="D34" s="195">
        <v>6</v>
      </c>
      <c r="E34" s="195">
        <v>120</v>
      </c>
      <c r="F34" s="195"/>
      <c r="G34" s="195"/>
      <c r="H34" s="195"/>
      <c r="I34" s="195"/>
      <c r="J34" s="195">
        <v>6</v>
      </c>
      <c r="K34" s="195">
        <v>120</v>
      </c>
      <c r="L34" s="195"/>
      <c r="M34" s="195"/>
      <c r="N34" s="196"/>
      <c r="O34" s="196"/>
      <c r="P34" s="196"/>
      <c r="Q34" s="196"/>
      <c r="R34" s="196"/>
      <c r="S34" s="196"/>
      <c r="T34">
        <v>2</v>
      </c>
    </row>
    <row r="35" spans="1:20" ht="15.5">
      <c r="A35" s="450"/>
      <c r="B35" s="450"/>
      <c r="C35" s="204">
        <v>46129</v>
      </c>
      <c r="D35" s="195">
        <v>1</v>
      </c>
      <c r="E35" s="195">
        <v>22</v>
      </c>
      <c r="F35" s="195"/>
      <c r="G35" s="195"/>
      <c r="H35" s="195"/>
      <c r="I35" s="195"/>
      <c r="J35" s="195">
        <v>1</v>
      </c>
      <c r="K35" s="195">
        <v>22</v>
      </c>
      <c r="L35" s="195"/>
      <c r="M35" s="195"/>
      <c r="N35" s="196"/>
      <c r="O35" s="196"/>
      <c r="P35" s="196"/>
      <c r="Q35" s="196"/>
      <c r="R35" s="196"/>
      <c r="S35" s="196"/>
    </row>
    <row r="36" spans="1:20" ht="15.5">
      <c r="A36" s="450"/>
      <c r="B36" s="450"/>
      <c r="C36" s="204">
        <v>46130</v>
      </c>
      <c r="D36" s="195">
        <v>2</v>
      </c>
      <c r="E36" s="195">
        <v>46</v>
      </c>
      <c r="F36" s="195"/>
      <c r="G36" s="195"/>
      <c r="H36" s="195"/>
      <c r="I36" s="195"/>
      <c r="J36" s="195">
        <v>2</v>
      </c>
      <c r="K36" s="195">
        <v>46</v>
      </c>
      <c r="L36" s="195"/>
      <c r="M36" s="195"/>
      <c r="N36" s="196"/>
      <c r="O36" s="196"/>
      <c r="P36" s="196"/>
      <c r="Q36" s="196"/>
      <c r="R36" s="196"/>
      <c r="S36" s="196"/>
    </row>
    <row r="37" spans="1:20" ht="15.5">
      <c r="A37" s="451"/>
      <c r="B37" s="451"/>
      <c r="C37" s="212" t="s">
        <v>338</v>
      </c>
      <c r="D37" s="195">
        <v>4</v>
      </c>
      <c r="E37" s="195">
        <v>90</v>
      </c>
      <c r="F37" s="195"/>
      <c r="G37" s="195"/>
      <c r="H37" s="195"/>
      <c r="I37" s="195"/>
      <c r="J37" s="195">
        <v>4</v>
      </c>
      <c r="K37" s="195">
        <v>90</v>
      </c>
      <c r="L37" s="195"/>
      <c r="M37" s="195"/>
      <c r="N37" s="196"/>
      <c r="O37" s="196"/>
      <c r="P37" s="196"/>
      <c r="Q37" s="196"/>
      <c r="R37" s="196"/>
      <c r="S37" s="196"/>
    </row>
    <row r="38" spans="1:20" ht="15.5">
      <c r="A38" s="213"/>
      <c r="B38" s="214"/>
      <c r="C38" s="215"/>
      <c r="D38" s="216"/>
      <c r="E38" s="216"/>
      <c r="F38" s="216"/>
      <c r="G38" s="216"/>
      <c r="H38" s="216"/>
      <c r="I38" s="216"/>
      <c r="J38" s="216"/>
      <c r="K38" s="216"/>
      <c r="L38" s="216"/>
      <c r="M38" s="216"/>
      <c r="N38" s="217"/>
      <c r="O38" s="217"/>
      <c r="P38" s="217"/>
      <c r="Q38" s="217"/>
      <c r="R38" s="217"/>
      <c r="S38" s="217"/>
    </row>
    <row r="40" spans="1:20" ht="18">
      <c r="A40" s="219" t="s">
        <v>339</v>
      </c>
      <c r="B40" s="220"/>
      <c r="C40" s="221"/>
      <c r="D40" s="220"/>
      <c r="E40" s="220"/>
      <c r="F40" s="220"/>
      <c r="G40" s="220"/>
      <c r="H40" s="220"/>
      <c r="I40" s="220"/>
      <c r="J40" s="220"/>
      <c r="K40" s="220"/>
      <c r="L40" s="220"/>
      <c r="M40" s="220"/>
      <c r="N40" s="220"/>
      <c r="O40" s="220"/>
      <c r="P40" s="220"/>
      <c r="Q40" s="220"/>
      <c r="R40" s="220"/>
      <c r="S40" s="220"/>
    </row>
    <row r="41" spans="1:20" ht="18">
      <c r="A41" s="462" t="s">
        <v>340</v>
      </c>
      <c r="B41" s="462"/>
      <c r="C41" s="462"/>
      <c r="D41" s="462"/>
      <c r="E41" s="462"/>
      <c r="F41" s="462"/>
      <c r="G41" s="462"/>
      <c r="H41" s="220"/>
      <c r="I41" s="220"/>
      <c r="J41" s="220"/>
      <c r="K41" s="220"/>
      <c r="L41" s="220"/>
      <c r="M41" s="220"/>
      <c r="N41" s="220"/>
      <c r="O41" s="220"/>
      <c r="P41" s="220"/>
      <c r="Q41" s="220"/>
      <c r="R41" s="220"/>
      <c r="S41" s="220"/>
    </row>
    <row r="42" spans="1:20" ht="18">
      <c r="A42" s="462" t="s">
        <v>341</v>
      </c>
      <c r="B42" s="462"/>
      <c r="C42" s="462"/>
      <c r="D42" s="220"/>
      <c r="E42" s="220"/>
      <c r="F42" s="220"/>
      <c r="G42" s="220"/>
      <c r="H42" s="220"/>
      <c r="I42" s="220"/>
      <c r="J42" s="220"/>
      <c r="K42" s="220"/>
      <c r="L42" s="220"/>
      <c r="M42" s="220"/>
      <c r="N42" s="220"/>
      <c r="O42" s="220"/>
      <c r="P42" s="220"/>
      <c r="Q42" s="220"/>
      <c r="R42" s="220"/>
      <c r="S42" s="220"/>
    </row>
    <row r="43" spans="1:20" ht="18">
      <c r="A43" s="220"/>
      <c r="B43" s="220"/>
      <c r="C43" s="221"/>
      <c r="D43" s="220"/>
      <c r="E43" s="220"/>
      <c r="F43" s="220"/>
      <c r="G43" s="220"/>
      <c r="H43" s="220"/>
      <c r="I43" s="220"/>
      <c r="J43" s="220"/>
      <c r="K43" s="220"/>
      <c r="L43" s="220"/>
      <c r="M43" s="220"/>
      <c r="N43" s="220"/>
      <c r="O43" s="220"/>
      <c r="P43" s="220"/>
      <c r="Q43" s="220"/>
      <c r="R43" s="220"/>
      <c r="S43" s="220"/>
    </row>
    <row r="44" spans="1:20" ht="18">
      <c r="A44" s="463" t="s">
        <v>342</v>
      </c>
      <c r="B44" s="463"/>
      <c r="C44" s="463"/>
      <c r="D44" s="463"/>
      <c r="E44" s="463"/>
      <c r="F44" s="222"/>
      <c r="G44" s="222"/>
      <c r="H44" s="222"/>
      <c r="I44" s="222"/>
      <c r="J44" s="222"/>
      <c r="K44" s="222"/>
      <c r="L44" s="222"/>
      <c r="M44" s="223"/>
      <c r="N44" s="224"/>
      <c r="O44" s="225"/>
      <c r="P44" s="225"/>
      <c r="Q44" s="225"/>
      <c r="R44" s="225"/>
      <c r="S44" s="225"/>
    </row>
    <row r="45" spans="1:20" ht="17.5">
      <c r="A45" s="464" t="s">
        <v>343</v>
      </c>
      <c r="B45" s="464"/>
      <c r="C45" s="464"/>
      <c r="D45" s="464"/>
      <c r="E45" s="464"/>
      <c r="F45" s="464"/>
      <c r="G45" s="464"/>
      <c r="H45" s="464"/>
      <c r="I45" s="464"/>
      <c r="J45" s="464"/>
      <c r="K45" s="464"/>
      <c r="L45" s="464"/>
      <c r="M45" s="464"/>
      <c r="N45" s="464"/>
      <c r="O45" s="464"/>
      <c r="P45" s="464"/>
      <c r="Q45" s="464"/>
      <c r="R45" s="464"/>
      <c r="S45" s="464"/>
    </row>
    <row r="46" spans="1:20" ht="17.5">
      <c r="A46" s="465" t="s">
        <v>344</v>
      </c>
      <c r="B46" s="465"/>
      <c r="C46" s="465"/>
      <c r="D46" s="465"/>
      <c r="E46" s="465"/>
      <c r="F46" s="465"/>
      <c r="G46" s="465"/>
      <c r="H46" s="465"/>
      <c r="I46" s="465"/>
      <c r="J46" s="465"/>
      <c r="K46" s="465"/>
      <c r="L46" s="465"/>
      <c r="M46" s="465"/>
      <c r="N46" s="465"/>
      <c r="O46" s="465"/>
      <c r="P46" s="465"/>
      <c r="Q46" s="465"/>
      <c r="R46" s="465"/>
      <c r="S46" s="465"/>
    </row>
    <row r="47" spans="1:20" ht="17.5">
      <c r="A47" s="462" t="s">
        <v>345</v>
      </c>
      <c r="B47" s="462"/>
      <c r="C47" s="462"/>
      <c r="D47" s="462"/>
      <c r="E47" s="462"/>
      <c r="F47" s="462"/>
      <c r="G47" s="462"/>
      <c r="H47" s="462"/>
      <c r="I47" s="462"/>
      <c r="J47" s="462"/>
      <c r="K47" s="226"/>
      <c r="L47" s="226"/>
      <c r="M47" s="227"/>
      <c r="N47" s="228"/>
      <c r="O47" s="229"/>
      <c r="P47" s="229"/>
      <c r="Q47" s="229"/>
      <c r="R47" s="229"/>
      <c r="S47" s="229"/>
    </row>
    <row r="48" spans="1:20" ht="18">
      <c r="A48" s="461" t="s">
        <v>346</v>
      </c>
      <c r="B48" s="461"/>
      <c r="C48" s="461"/>
      <c r="D48" s="461"/>
      <c r="E48" s="461"/>
      <c r="F48" s="461"/>
      <c r="G48" s="461"/>
      <c r="H48" s="461"/>
      <c r="I48" s="461"/>
      <c r="J48" s="461"/>
      <c r="K48" s="461"/>
      <c r="L48" s="461"/>
      <c r="M48" s="222"/>
      <c r="N48" s="222"/>
      <c r="O48" s="222"/>
      <c r="P48" s="222"/>
      <c r="Q48" s="222"/>
      <c r="R48" s="222"/>
      <c r="S48" s="230"/>
    </row>
    <row r="49" spans="1:19" ht="18">
      <c r="A49" s="461" t="s">
        <v>347</v>
      </c>
      <c r="B49" s="461"/>
      <c r="C49" s="461"/>
      <c r="D49" s="461"/>
      <c r="E49" s="461"/>
      <c r="F49" s="461"/>
      <c r="G49" s="461"/>
      <c r="H49" s="461"/>
      <c r="I49" s="461"/>
      <c r="J49" s="461"/>
      <c r="K49" s="461"/>
      <c r="L49" s="461"/>
      <c r="M49" s="226"/>
      <c r="N49" s="226"/>
      <c r="O49" s="226"/>
      <c r="P49" s="226"/>
      <c r="Q49" s="226"/>
      <c r="R49" s="226"/>
      <c r="S49" s="230"/>
    </row>
    <row r="50" spans="1:19" ht="18">
      <c r="A50" s="466" t="s">
        <v>348</v>
      </c>
      <c r="B50" s="466"/>
      <c r="C50" s="466"/>
      <c r="D50" s="466"/>
      <c r="E50" s="466"/>
      <c r="F50" s="466"/>
      <c r="G50" s="466"/>
      <c r="H50" s="466"/>
      <c r="I50" s="466"/>
      <c r="J50" s="466"/>
      <c r="K50" s="466"/>
      <c r="L50" s="466"/>
      <c r="M50" s="226"/>
      <c r="N50" s="226"/>
      <c r="O50" s="226"/>
      <c r="P50" s="226"/>
      <c r="Q50" s="226"/>
      <c r="R50" s="226"/>
      <c r="S50" s="230"/>
    </row>
    <row r="51" spans="1:19" ht="18">
      <c r="A51" s="461"/>
      <c r="B51" s="461"/>
      <c r="C51" s="461"/>
      <c r="D51" s="461"/>
      <c r="E51" s="461"/>
      <c r="F51" s="461"/>
      <c r="G51" s="461"/>
      <c r="H51" s="461"/>
      <c r="I51" s="461"/>
      <c r="J51" s="461"/>
      <c r="K51" s="461"/>
      <c r="L51" s="461"/>
      <c r="M51" s="231"/>
      <c r="N51" s="231"/>
      <c r="O51" s="231"/>
      <c r="P51" s="231"/>
      <c r="Q51" s="231"/>
      <c r="R51" s="231"/>
      <c r="S51" s="231"/>
    </row>
  </sheetData>
  <mergeCells count="41">
    <mergeCell ref="A26:A30"/>
    <mergeCell ref="B26:B30"/>
    <mergeCell ref="A51:L51"/>
    <mergeCell ref="A32:A37"/>
    <mergeCell ref="B32:B37"/>
    <mergeCell ref="A41:G41"/>
    <mergeCell ref="A42:C42"/>
    <mergeCell ref="A44:E44"/>
    <mergeCell ref="A45:S45"/>
    <mergeCell ref="A46:S46"/>
    <mergeCell ref="A47:J47"/>
    <mergeCell ref="A48:L48"/>
    <mergeCell ref="A49:L49"/>
    <mergeCell ref="A50:L50"/>
    <mergeCell ref="O5:O6"/>
    <mergeCell ref="A13:A18"/>
    <mergeCell ref="B13:B18"/>
    <mergeCell ref="A22:A23"/>
    <mergeCell ref="B22:B23"/>
    <mergeCell ref="A11:A12"/>
    <mergeCell ref="B11:B12"/>
    <mergeCell ref="E5:E6"/>
    <mergeCell ref="F5:G5"/>
    <mergeCell ref="H5:I5"/>
    <mergeCell ref="A9:B9"/>
    <mergeCell ref="A1:S1"/>
    <mergeCell ref="A2:S2"/>
    <mergeCell ref="A3:S3"/>
    <mergeCell ref="A4:A6"/>
    <mergeCell ref="B4:B6"/>
    <mergeCell ref="C4:C6"/>
    <mergeCell ref="D4:M4"/>
    <mergeCell ref="N4:N6"/>
    <mergeCell ref="O4:S4"/>
    <mergeCell ref="D5:D6"/>
    <mergeCell ref="P5:P6"/>
    <mergeCell ref="Q5:Q6"/>
    <mergeCell ref="R5:R6"/>
    <mergeCell ref="S5:S6"/>
    <mergeCell ref="J5:K5"/>
    <mergeCell ref="L5: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3" sqref="A3:M3"/>
    </sheetView>
  </sheetViews>
  <sheetFormatPr defaultRowHeight="14"/>
  <cols>
    <col min="1" max="1" width="7" style="5" customWidth="1"/>
    <col min="2" max="2" width="43.4140625" style="3" customWidth="1"/>
    <col min="3" max="3" width="11.9140625" style="3" hidden="1" customWidth="1"/>
    <col min="4" max="4" width="9" style="3" hidden="1" customWidth="1"/>
    <col min="5" max="5" width="6.6640625" style="3" hidden="1" customWidth="1"/>
    <col min="6" max="6" width="7" style="3" hidden="1" customWidth="1"/>
    <col min="7" max="7" width="7.33203125" style="3" hidden="1" customWidth="1"/>
    <col min="8" max="8" width="7.58203125" style="3" hidden="1" customWidth="1"/>
    <col min="9" max="9" width="18.08203125" style="3" customWidth="1"/>
    <col min="10" max="10" width="22.9140625" style="156" customWidth="1"/>
    <col min="11" max="11" width="25.33203125" style="3" customWidth="1"/>
    <col min="12" max="12" width="17" style="3" hidden="1" customWidth="1"/>
    <col min="13" max="13" width="15.4140625" style="3" customWidth="1"/>
  </cols>
  <sheetData>
    <row r="1" spans="1:13" s="246" customFormat="1">
      <c r="A1" s="264"/>
      <c r="B1" s="265"/>
      <c r="C1" s="265"/>
      <c r="D1" s="265"/>
      <c r="E1" s="265"/>
      <c r="F1" s="265"/>
      <c r="G1" s="265"/>
      <c r="H1" s="265"/>
      <c r="I1" s="265"/>
      <c r="J1" s="266"/>
      <c r="K1" s="265"/>
      <c r="L1" s="265"/>
      <c r="M1" s="264" t="s">
        <v>204</v>
      </c>
    </row>
    <row r="2" spans="1:13" s="246" customFormat="1" ht="45" customHeight="1">
      <c r="A2" s="390" t="s">
        <v>443</v>
      </c>
      <c r="B2" s="390"/>
      <c r="C2" s="390"/>
      <c r="D2" s="390"/>
      <c r="E2" s="390"/>
      <c r="F2" s="390"/>
      <c r="G2" s="390"/>
      <c r="H2" s="390"/>
      <c r="I2" s="390"/>
      <c r="J2" s="390"/>
      <c r="K2" s="390"/>
      <c r="L2" s="390"/>
      <c r="M2" s="390"/>
    </row>
    <row r="3" spans="1:13" s="246" customFormat="1" ht="15" customHeight="1">
      <c r="A3" s="391" t="str">
        <f>'01'!A3:X3</f>
        <v>(Kèm theo Nghị quyết số:        /NQ-HĐND ngày   tháng 8 năm 2026 của HĐND xã Nậm Hàng)</v>
      </c>
      <c r="B3" s="391"/>
      <c r="C3" s="391"/>
      <c r="D3" s="391"/>
      <c r="E3" s="391"/>
      <c r="F3" s="391"/>
      <c r="G3" s="391"/>
      <c r="H3" s="391"/>
      <c r="I3" s="391"/>
      <c r="J3" s="391"/>
      <c r="K3" s="391"/>
      <c r="L3" s="391"/>
      <c r="M3" s="391"/>
    </row>
    <row r="4" spans="1:13" s="246" customFormat="1" ht="15" customHeight="1">
      <c r="A4" s="268"/>
      <c r="B4" s="268"/>
      <c r="C4" s="268"/>
      <c r="D4" s="268"/>
      <c r="E4" s="268"/>
      <c r="F4" s="268"/>
      <c r="G4" s="268"/>
      <c r="H4" s="268"/>
      <c r="I4" s="268"/>
      <c r="J4" s="269"/>
      <c r="K4" s="392" t="s">
        <v>432</v>
      </c>
      <c r="L4" s="392"/>
      <c r="M4" s="392"/>
    </row>
    <row r="5" spans="1:13" s="246" customFormat="1" ht="15.75" customHeight="1">
      <c r="A5" s="378" t="s">
        <v>0</v>
      </c>
      <c r="B5" s="378" t="s">
        <v>1</v>
      </c>
      <c r="C5" s="393" t="s">
        <v>12</v>
      </c>
      <c r="D5" s="393" t="s">
        <v>7</v>
      </c>
      <c r="E5" s="393" t="s">
        <v>8</v>
      </c>
      <c r="F5" s="393" t="s">
        <v>9</v>
      </c>
      <c r="G5" s="393" t="s">
        <v>10</v>
      </c>
      <c r="H5" s="393" t="s">
        <v>11</v>
      </c>
      <c r="I5" s="378" t="s">
        <v>2</v>
      </c>
      <c r="J5" s="467" t="s">
        <v>431</v>
      </c>
      <c r="K5" s="468"/>
      <c r="L5" s="357"/>
      <c r="M5" s="378" t="s">
        <v>3</v>
      </c>
    </row>
    <row r="6" spans="1:13" s="246" customFormat="1" ht="124.5" customHeight="1">
      <c r="A6" s="379"/>
      <c r="B6" s="379"/>
      <c r="C6" s="393"/>
      <c r="D6" s="393"/>
      <c r="E6" s="393"/>
      <c r="F6" s="393"/>
      <c r="G6" s="393"/>
      <c r="H6" s="393"/>
      <c r="I6" s="379"/>
      <c r="J6" s="295" t="s">
        <v>373</v>
      </c>
      <c r="K6" s="295" t="s">
        <v>379</v>
      </c>
      <c r="L6" s="360" t="s">
        <v>186</v>
      </c>
      <c r="M6" s="379"/>
    </row>
    <row r="7" spans="1:13" s="246" customFormat="1" ht="27" customHeight="1">
      <c r="A7" s="272"/>
      <c r="B7" s="273" t="s">
        <v>5</v>
      </c>
      <c r="C7" s="273"/>
      <c r="D7" s="273"/>
      <c r="E7" s="273"/>
      <c r="F7" s="273"/>
      <c r="G7" s="273"/>
      <c r="H7" s="273"/>
      <c r="I7" s="274">
        <f>+I8+I20</f>
        <v>1815181000</v>
      </c>
      <c r="J7" s="274">
        <f>+J8+J20</f>
        <v>652000000</v>
      </c>
      <c r="K7" s="274">
        <f>+K8+K20</f>
        <v>1163181000</v>
      </c>
      <c r="L7" s="274">
        <f>+L8+L20</f>
        <v>0</v>
      </c>
      <c r="M7" s="275">
        <v>0</v>
      </c>
    </row>
    <row r="8" spans="1:13" s="246" customFormat="1" ht="61.75" customHeight="1">
      <c r="A8" s="272" t="s">
        <v>25</v>
      </c>
      <c r="B8" s="359" t="s">
        <v>429</v>
      </c>
      <c r="C8" s="273"/>
      <c r="D8" s="273"/>
      <c r="E8" s="273"/>
      <c r="F8" s="273"/>
      <c r="G8" s="273"/>
      <c r="H8" s="273"/>
      <c r="I8" s="274">
        <f t="shared" ref="I8:I14" si="0">+J8+K8</f>
        <v>1163181000</v>
      </c>
      <c r="J8" s="274"/>
      <c r="K8" s="274">
        <f>+K9</f>
        <v>1163181000</v>
      </c>
      <c r="L8" s="274">
        <f t="shared" ref="K8:L13" si="1">+L9</f>
        <v>0</v>
      </c>
      <c r="M8" s="275"/>
    </row>
    <row r="9" spans="1:13" s="246" customFormat="1" ht="42.75" customHeight="1">
      <c r="A9" s="272" t="s">
        <v>42</v>
      </c>
      <c r="B9" s="277" t="s">
        <v>216</v>
      </c>
      <c r="C9" s="277"/>
      <c r="D9" s="277"/>
      <c r="E9" s="277"/>
      <c r="F9" s="277"/>
      <c r="G9" s="277"/>
      <c r="H9" s="277"/>
      <c r="I9" s="274">
        <f t="shared" si="0"/>
        <v>1163181000</v>
      </c>
      <c r="J9" s="290"/>
      <c r="K9" s="290">
        <f t="shared" si="1"/>
        <v>1163181000</v>
      </c>
      <c r="L9" s="290">
        <f t="shared" si="1"/>
        <v>0</v>
      </c>
      <c r="M9" s="275"/>
    </row>
    <row r="10" spans="1:13" s="246" customFormat="1" ht="19.5" customHeight="1">
      <c r="A10" s="272">
        <v>1</v>
      </c>
      <c r="B10" s="277" t="s">
        <v>211</v>
      </c>
      <c r="C10" s="277"/>
      <c r="D10" s="277"/>
      <c r="E10" s="277"/>
      <c r="F10" s="277"/>
      <c r="G10" s="277"/>
      <c r="H10" s="277"/>
      <c r="I10" s="274">
        <f t="shared" si="0"/>
        <v>1163181000</v>
      </c>
      <c r="J10" s="314"/>
      <c r="K10" s="314">
        <f t="shared" si="1"/>
        <v>1163181000</v>
      </c>
      <c r="L10" s="314">
        <f t="shared" si="1"/>
        <v>0</v>
      </c>
      <c r="M10" s="275"/>
    </row>
    <row r="11" spans="1:13" s="246" customFormat="1" ht="55.5" customHeight="1">
      <c r="A11" s="279" t="s">
        <v>4</v>
      </c>
      <c r="B11" s="277" t="s">
        <v>217</v>
      </c>
      <c r="C11" s="277"/>
      <c r="D11" s="277"/>
      <c r="E11" s="277"/>
      <c r="F11" s="277"/>
      <c r="G11" s="277"/>
      <c r="H11" s="277"/>
      <c r="I11" s="274">
        <f t="shared" si="0"/>
        <v>1163181000</v>
      </c>
      <c r="J11" s="290"/>
      <c r="K11" s="290">
        <f t="shared" si="1"/>
        <v>1163181000</v>
      </c>
      <c r="L11" s="290">
        <f t="shared" si="1"/>
        <v>0</v>
      </c>
      <c r="M11" s="275"/>
    </row>
    <row r="12" spans="1:13" s="246" customFormat="1" ht="52.5" customHeight="1">
      <c r="A12" s="272"/>
      <c r="B12" s="80" t="s">
        <v>218</v>
      </c>
      <c r="C12" s="277"/>
      <c r="D12" s="277"/>
      <c r="E12" s="277"/>
      <c r="F12" s="277"/>
      <c r="G12" s="277"/>
      <c r="H12" s="277"/>
      <c r="I12" s="274">
        <f t="shared" si="0"/>
        <v>1163181000</v>
      </c>
      <c r="J12" s="315"/>
      <c r="K12" s="310">
        <f>+K13+K17</f>
        <v>1163181000</v>
      </c>
      <c r="L12" s="315">
        <f t="shared" si="1"/>
        <v>0</v>
      </c>
      <c r="M12" s="275"/>
    </row>
    <row r="13" spans="1:13" s="246" customFormat="1" ht="31.5" customHeight="1">
      <c r="A13" s="272"/>
      <c r="B13" s="277" t="s">
        <v>377</v>
      </c>
      <c r="C13" s="277"/>
      <c r="D13" s="277"/>
      <c r="E13" s="277"/>
      <c r="F13" s="277"/>
      <c r="G13" s="277"/>
      <c r="H13" s="277"/>
      <c r="I13" s="274">
        <f t="shared" si="0"/>
        <v>463181000</v>
      </c>
      <c r="J13" s="315"/>
      <c r="K13" s="290">
        <f>+K14</f>
        <v>463181000</v>
      </c>
      <c r="L13" s="315">
        <f t="shared" si="1"/>
        <v>0</v>
      </c>
      <c r="M13" s="275"/>
    </row>
    <row r="14" spans="1:13" s="246" customFormat="1" ht="59.25" customHeight="1">
      <c r="A14" s="272"/>
      <c r="B14" s="80" t="s">
        <v>219</v>
      </c>
      <c r="C14" s="277"/>
      <c r="D14" s="277"/>
      <c r="E14" s="277"/>
      <c r="F14" s="277"/>
      <c r="G14" s="277"/>
      <c r="H14" s="277"/>
      <c r="I14" s="282">
        <f t="shared" si="0"/>
        <v>463181000</v>
      </c>
      <c r="J14" s="315"/>
      <c r="K14" s="317">
        <f>+K15+K16</f>
        <v>463181000</v>
      </c>
      <c r="L14" s="315">
        <f>+L18</f>
        <v>0</v>
      </c>
      <c r="M14" s="275"/>
    </row>
    <row r="15" spans="1:13" s="246" customFormat="1" ht="34.5" customHeight="1">
      <c r="A15" s="272"/>
      <c r="B15" s="80" t="s">
        <v>361</v>
      </c>
      <c r="C15" s="277"/>
      <c r="D15" s="277"/>
      <c r="E15" s="277"/>
      <c r="F15" s="277"/>
      <c r="G15" s="277"/>
      <c r="H15" s="277"/>
      <c r="I15" s="274"/>
      <c r="J15" s="315"/>
      <c r="K15" s="317">
        <v>298000000</v>
      </c>
      <c r="L15" s="315"/>
      <c r="M15" s="275"/>
    </row>
    <row r="16" spans="1:13" s="246" customFormat="1" ht="48" customHeight="1">
      <c r="A16" s="272"/>
      <c r="B16" s="80" t="s">
        <v>386</v>
      </c>
      <c r="C16" s="277"/>
      <c r="D16" s="277"/>
      <c r="E16" s="277"/>
      <c r="F16" s="277"/>
      <c r="G16" s="277"/>
      <c r="H16" s="277"/>
      <c r="I16" s="274"/>
      <c r="J16" s="315"/>
      <c r="K16" s="317">
        <v>165181000</v>
      </c>
      <c r="L16" s="315"/>
      <c r="M16" s="275"/>
    </row>
    <row r="17" spans="1:13" s="246" customFormat="1" ht="31.5" customHeight="1">
      <c r="A17" s="272"/>
      <c r="B17" s="277" t="s">
        <v>387</v>
      </c>
      <c r="C17" s="277"/>
      <c r="D17" s="277"/>
      <c r="E17" s="277"/>
      <c r="F17" s="277"/>
      <c r="G17" s="277"/>
      <c r="H17" s="277"/>
      <c r="I17" s="274"/>
      <c r="J17" s="315"/>
      <c r="K17" s="313">
        <f>+K18</f>
        <v>700000000</v>
      </c>
      <c r="L17" s="315"/>
      <c r="M17" s="275"/>
    </row>
    <row r="18" spans="1:13" s="246" customFormat="1" ht="59.25" customHeight="1">
      <c r="A18" s="272"/>
      <c r="B18" s="80" t="s">
        <v>219</v>
      </c>
      <c r="C18" s="84">
        <v>1163290</v>
      </c>
      <c r="D18" s="316">
        <v>831</v>
      </c>
      <c r="E18" s="277">
        <v>280</v>
      </c>
      <c r="F18" s="277">
        <v>281</v>
      </c>
      <c r="G18" s="277">
        <v>12</v>
      </c>
      <c r="H18" s="277">
        <v>10513</v>
      </c>
      <c r="I18" s="274">
        <f>+J18+K18</f>
        <v>700000000</v>
      </c>
      <c r="J18" s="315"/>
      <c r="K18" s="317">
        <f>+K19</f>
        <v>700000000</v>
      </c>
      <c r="L18" s="315"/>
      <c r="M18" s="275"/>
    </row>
    <row r="19" spans="1:13" s="246" customFormat="1" ht="59.25" customHeight="1">
      <c r="A19" s="272"/>
      <c r="B19" s="311" t="s">
        <v>388</v>
      </c>
      <c r="C19" s="84"/>
      <c r="D19" s="295"/>
      <c r="E19" s="318"/>
      <c r="F19" s="318"/>
      <c r="G19" s="295"/>
      <c r="H19" s="277"/>
      <c r="I19" s="274">
        <f>+J19+K19</f>
        <v>700000000</v>
      </c>
      <c r="J19" s="290"/>
      <c r="K19" s="317">
        <v>700000000</v>
      </c>
      <c r="L19" s="290" t="e">
        <f>+#REF!</f>
        <v>#REF!</v>
      </c>
      <c r="M19" s="275"/>
    </row>
    <row r="20" spans="1:13" s="246" customFormat="1" ht="22.5" customHeight="1">
      <c r="A20" s="273" t="s">
        <v>26</v>
      </c>
      <c r="B20" s="273" t="s">
        <v>430</v>
      </c>
      <c r="C20" s="273"/>
      <c r="D20" s="273"/>
      <c r="E20" s="273"/>
      <c r="F20" s="273"/>
      <c r="G20" s="273"/>
      <c r="H20" s="273"/>
      <c r="I20" s="274">
        <f>+I21</f>
        <v>652000000</v>
      </c>
      <c r="J20" s="274">
        <f t="shared" ref="J20:L23" si="2">+J21</f>
        <v>652000000</v>
      </c>
      <c r="K20" s="274"/>
      <c r="L20" s="274">
        <f t="shared" si="2"/>
        <v>0</v>
      </c>
      <c r="M20" s="275"/>
    </row>
    <row r="21" spans="1:13" s="246" customFormat="1" ht="55.5" customHeight="1">
      <c r="A21" s="273" t="s">
        <v>42</v>
      </c>
      <c r="B21" s="277" t="s">
        <v>216</v>
      </c>
      <c r="C21" s="278"/>
      <c r="D21" s="278"/>
      <c r="E21" s="278"/>
      <c r="F21" s="278"/>
      <c r="G21" s="278"/>
      <c r="H21" s="278"/>
      <c r="I21" s="274">
        <f>+I22</f>
        <v>652000000</v>
      </c>
      <c r="J21" s="274">
        <f t="shared" si="2"/>
        <v>652000000</v>
      </c>
      <c r="K21" s="274"/>
      <c r="L21" s="274">
        <f t="shared" si="2"/>
        <v>0</v>
      </c>
      <c r="M21" s="275"/>
    </row>
    <row r="22" spans="1:13" s="246" customFormat="1" ht="24" customHeight="1">
      <c r="A22" s="273">
        <v>1</v>
      </c>
      <c r="B22" s="277" t="s">
        <v>211</v>
      </c>
      <c r="C22" s="278"/>
      <c r="D22" s="278"/>
      <c r="E22" s="278"/>
      <c r="F22" s="278"/>
      <c r="G22" s="278"/>
      <c r="H22" s="278"/>
      <c r="I22" s="274">
        <f>+I23</f>
        <v>652000000</v>
      </c>
      <c r="J22" s="274">
        <f t="shared" si="2"/>
        <v>652000000</v>
      </c>
      <c r="K22" s="274"/>
      <c r="L22" s="274">
        <f t="shared" si="2"/>
        <v>0</v>
      </c>
      <c r="M22" s="289"/>
    </row>
    <row r="23" spans="1:13" s="246" customFormat="1" ht="42.75" customHeight="1">
      <c r="A23" s="273" t="s">
        <v>357</v>
      </c>
      <c r="B23" s="277" t="s">
        <v>217</v>
      </c>
      <c r="C23" s="278"/>
      <c r="D23" s="278"/>
      <c r="E23" s="278"/>
      <c r="F23" s="278"/>
      <c r="G23" s="278"/>
      <c r="H23" s="278"/>
      <c r="I23" s="274">
        <f t="shared" ref="I23:I27" si="3">+J23</f>
        <v>652000000</v>
      </c>
      <c r="J23" s="274">
        <v>652000000</v>
      </c>
      <c r="K23" s="274"/>
      <c r="L23" s="274">
        <f t="shared" si="2"/>
        <v>0</v>
      </c>
      <c r="M23" s="274"/>
    </row>
    <row r="24" spans="1:13" s="246" customFormat="1" ht="59.25" customHeight="1">
      <c r="A24" s="273"/>
      <c r="B24" s="80" t="s">
        <v>218</v>
      </c>
      <c r="C24" s="278"/>
      <c r="D24" s="278"/>
      <c r="E24" s="278"/>
      <c r="F24" s="278"/>
      <c r="G24" s="278"/>
      <c r="H24" s="278"/>
      <c r="I24" s="274">
        <f t="shared" si="3"/>
        <v>652000000</v>
      </c>
      <c r="J24" s="274">
        <v>652000000</v>
      </c>
      <c r="K24" s="274"/>
      <c r="L24" s="274">
        <f t="shared" ref="L24" si="4">+L26</f>
        <v>0</v>
      </c>
      <c r="M24" s="274"/>
    </row>
    <row r="25" spans="1:13" s="246" customFormat="1" ht="27" customHeight="1">
      <c r="A25" s="273"/>
      <c r="B25" s="80" t="s">
        <v>377</v>
      </c>
      <c r="C25" s="280"/>
      <c r="D25" s="280"/>
      <c r="E25" s="280"/>
      <c r="F25" s="280"/>
      <c r="G25" s="280"/>
      <c r="H25" s="280"/>
      <c r="I25" s="274">
        <f t="shared" si="3"/>
        <v>652000000</v>
      </c>
      <c r="J25" s="281">
        <v>652000000</v>
      </c>
      <c r="K25" s="274"/>
      <c r="L25" s="281"/>
      <c r="M25" s="274"/>
    </row>
    <row r="26" spans="1:13" s="246" customFormat="1" ht="48" customHeight="1">
      <c r="A26" s="273"/>
      <c r="B26" s="80" t="s">
        <v>219</v>
      </c>
      <c r="C26" s="286"/>
      <c r="D26" s="286"/>
      <c r="E26" s="273"/>
      <c r="F26" s="273"/>
      <c r="G26" s="273"/>
      <c r="H26" s="278"/>
      <c r="I26" s="274">
        <f t="shared" si="3"/>
        <v>652000000</v>
      </c>
      <c r="J26" s="287">
        <v>652000000</v>
      </c>
      <c r="K26" s="287"/>
      <c r="L26" s="286"/>
      <c r="M26" s="293"/>
    </row>
    <row r="27" spans="1:13" s="246" customFormat="1" ht="39.75" customHeight="1">
      <c r="A27" s="273"/>
      <c r="B27" s="80" t="s">
        <v>361</v>
      </c>
      <c r="C27" s="84">
        <v>1163290</v>
      </c>
      <c r="D27" s="297">
        <v>831</v>
      </c>
      <c r="E27" s="297">
        <v>280</v>
      </c>
      <c r="F27" s="297">
        <v>338</v>
      </c>
      <c r="G27" s="297">
        <v>12</v>
      </c>
      <c r="H27" s="298" t="s">
        <v>369</v>
      </c>
      <c r="I27" s="274">
        <f t="shared" si="3"/>
        <v>652000000</v>
      </c>
      <c r="J27" s="287">
        <v>652000000</v>
      </c>
      <c r="K27" s="294"/>
      <c r="L27" s="286"/>
      <c r="M27" s="274"/>
    </row>
    <row r="28" spans="1:13" s="246" customFormat="1" ht="22.5" customHeight="1">
      <c r="A28" s="5"/>
      <c r="B28" s="3"/>
      <c r="C28" s="3"/>
      <c r="D28" s="3"/>
      <c r="E28" s="3"/>
      <c r="F28" s="3"/>
      <c r="G28" s="3"/>
      <c r="H28" s="3"/>
      <c r="I28" s="3"/>
      <c r="J28" s="156"/>
      <c r="K28" s="3"/>
      <c r="L28" s="3"/>
      <c r="M28" s="3"/>
    </row>
  </sheetData>
  <mergeCells count="14">
    <mergeCell ref="A2:M2"/>
    <mergeCell ref="A3:M3"/>
    <mergeCell ref="H5:H6"/>
    <mergeCell ref="I5:I6"/>
    <mergeCell ref="K4:M4"/>
    <mergeCell ref="M5:M6"/>
    <mergeCell ref="J5:K5"/>
    <mergeCell ref="A5:A6"/>
    <mergeCell ref="B5:B6"/>
    <mergeCell ref="C5:C6"/>
    <mergeCell ref="D5:D6"/>
    <mergeCell ref="E5:E6"/>
    <mergeCell ref="F5:F6"/>
    <mergeCell ref="G5:G6"/>
  </mergeCells>
  <pageMargins left="0.7" right="0.22" top="0.28999999999999998" bottom="0.3" header="0.3" footer="0.3"/>
  <pageSetup paperSize="9" scale="9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zoomScaleNormal="100" workbookViewId="0">
      <selection activeCell="I12" sqref="I12"/>
    </sheetView>
  </sheetViews>
  <sheetFormatPr defaultColWidth="9.08203125" defaultRowHeight="14"/>
  <cols>
    <col min="1" max="1" width="5.33203125" style="5" customWidth="1"/>
    <col min="2" max="2" width="50.4140625" style="3" customWidth="1"/>
    <col min="3" max="3" width="8.6640625" style="3" hidden="1" customWidth="1"/>
    <col min="4" max="8" width="7.08203125" style="3" hidden="1" customWidth="1"/>
    <col min="9" max="9" width="15.6640625" style="3" customWidth="1"/>
    <col min="10" max="10" width="15.4140625" style="156" customWidth="1"/>
    <col min="11" max="11" width="19" style="3" hidden="1" customWidth="1"/>
    <col min="12" max="12" width="16.9140625" style="3" hidden="1" customWidth="1"/>
    <col min="13" max="13" width="12.4140625" style="3" hidden="1" customWidth="1"/>
    <col min="14" max="14" width="14.4140625" style="3" hidden="1" customWidth="1"/>
    <col min="15" max="15" width="12.33203125" style="3" hidden="1" customWidth="1"/>
    <col min="16" max="16" width="12" style="3" hidden="1" customWidth="1"/>
    <col min="17" max="17" width="18.08203125" style="3" hidden="1" customWidth="1"/>
    <col min="18" max="18" width="17.4140625" style="3" hidden="1" customWidth="1"/>
    <col min="19" max="19" width="18.08203125" style="3" hidden="1" customWidth="1"/>
    <col min="20" max="20" width="14.33203125" style="3" customWidth="1"/>
    <col min="21" max="21" width="17" style="362" hidden="1" customWidth="1"/>
    <col min="22" max="16384" width="9.08203125" style="362"/>
  </cols>
  <sheetData>
    <row r="1" spans="1:21">
      <c r="A1" s="264"/>
      <c r="B1" s="265"/>
      <c r="C1" s="265"/>
      <c r="D1" s="265"/>
      <c r="E1" s="265"/>
      <c r="F1" s="265"/>
      <c r="G1" s="265"/>
      <c r="H1" s="265"/>
      <c r="I1" s="265"/>
      <c r="J1" s="266"/>
      <c r="K1" s="265"/>
      <c r="L1" s="265"/>
      <c r="M1" s="265"/>
      <c r="N1" s="265"/>
      <c r="O1" s="265"/>
      <c r="P1" s="265"/>
      <c r="Q1" s="265"/>
      <c r="R1" s="265"/>
      <c r="S1" s="265"/>
      <c r="T1" s="319" t="s">
        <v>391</v>
      </c>
    </row>
    <row r="2" spans="1:21" ht="37.5" customHeight="1">
      <c r="A2" s="390" t="s">
        <v>378</v>
      </c>
      <c r="B2" s="470"/>
      <c r="C2" s="470"/>
      <c r="D2" s="470"/>
      <c r="E2" s="470"/>
      <c r="F2" s="470"/>
      <c r="G2" s="470"/>
      <c r="H2" s="470"/>
      <c r="I2" s="470"/>
      <c r="J2" s="470"/>
      <c r="K2" s="470"/>
      <c r="L2" s="470"/>
      <c r="M2" s="470"/>
      <c r="N2" s="470"/>
      <c r="O2" s="470"/>
      <c r="P2" s="470"/>
      <c r="Q2" s="470"/>
      <c r="R2" s="470"/>
      <c r="S2" s="470"/>
      <c r="T2" s="470"/>
    </row>
    <row r="3" spans="1:21">
      <c r="A3" s="391" t="str">
        <f>'01'!A3:X3</f>
        <v>(Kèm theo Nghị quyết số:        /NQ-HĐND ngày   tháng 8 năm 2026 của HĐND xã Nậm Hàng)</v>
      </c>
      <c r="B3" s="391"/>
      <c r="C3" s="391"/>
      <c r="D3" s="391"/>
      <c r="E3" s="391"/>
      <c r="F3" s="391"/>
      <c r="G3" s="391"/>
      <c r="H3" s="391"/>
      <c r="I3" s="391"/>
      <c r="J3" s="391"/>
      <c r="K3" s="391"/>
      <c r="L3" s="391"/>
      <c r="M3" s="391"/>
      <c r="N3" s="391"/>
      <c r="O3" s="391"/>
      <c r="P3" s="391"/>
      <c r="Q3" s="391"/>
      <c r="R3" s="391"/>
      <c r="S3" s="391"/>
      <c r="T3" s="391"/>
    </row>
    <row r="4" spans="1:21">
      <c r="A4" s="268"/>
      <c r="B4" s="268"/>
      <c r="C4" s="268"/>
      <c r="D4" s="268"/>
      <c r="E4" s="268"/>
      <c r="F4" s="268"/>
      <c r="G4" s="268"/>
      <c r="H4" s="268"/>
      <c r="I4" s="268"/>
      <c r="J4" s="469" t="s">
        <v>6</v>
      </c>
      <c r="K4" s="469"/>
      <c r="L4" s="469"/>
      <c r="M4" s="469"/>
      <c r="N4" s="469"/>
      <c r="O4" s="469"/>
      <c r="P4" s="469"/>
      <c r="Q4" s="469"/>
      <c r="R4" s="469"/>
      <c r="S4" s="469"/>
      <c r="T4" s="469"/>
    </row>
    <row r="5" spans="1:21" ht="15.75" customHeight="1">
      <c r="A5" s="378" t="s">
        <v>0</v>
      </c>
      <c r="B5" s="378" t="s">
        <v>1</v>
      </c>
      <c r="C5" s="471" t="s">
        <v>12</v>
      </c>
      <c r="D5" s="471" t="s">
        <v>7</v>
      </c>
      <c r="E5" s="471" t="s">
        <v>8</v>
      </c>
      <c r="F5" s="471" t="s">
        <v>9</v>
      </c>
      <c r="G5" s="471" t="s">
        <v>10</v>
      </c>
      <c r="H5" s="471" t="s">
        <v>11</v>
      </c>
      <c r="I5" s="378" t="s">
        <v>2</v>
      </c>
      <c r="J5" s="472" t="s">
        <v>360</v>
      </c>
      <c r="K5" s="473"/>
      <c r="L5" s="473"/>
      <c r="M5" s="473"/>
      <c r="N5" s="473"/>
      <c r="O5" s="473"/>
      <c r="P5" s="473"/>
      <c r="Q5" s="474"/>
      <c r="R5" s="380" t="s">
        <v>224</v>
      </c>
      <c r="S5" s="380" t="s">
        <v>296</v>
      </c>
      <c r="T5" s="378" t="s">
        <v>3</v>
      </c>
    </row>
    <row r="6" spans="1:21" ht="48" customHeight="1">
      <c r="A6" s="379"/>
      <c r="B6" s="379"/>
      <c r="C6" s="471"/>
      <c r="D6" s="471"/>
      <c r="E6" s="471"/>
      <c r="F6" s="471"/>
      <c r="G6" s="471"/>
      <c r="H6" s="471"/>
      <c r="I6" s="379"/>
      <c r="J6" s="475"/>
      <c r="K6" s="476"/>
      <c r="L6" s="476"/>
      <c r="M6" s="476"/>
      <c r="N6" s="476"/>
      <c r="O6" s="476"/>
      <c r="P6" s="476"/>
      <c r="Q6" s="477"/>
      <c r="R6" s="381"/>
      <c r="S6" s="381"/>
      <c r="T6" s="379"/>
    </row>
    <row r="7" spans="1:21">
      <c r="A7" s="272"/>
      <c r="B7" s="273" t="s">
        <v>5</v>
      </c>
      <c r="C7" s="273"/>
      <c r="D7" s="273"/>
      <c r="E7" s="273"/>
      <c r="F7" s="273"/>
      <c r="G7" s="273"/>
      <c r="H7" s="273"/>
      <c r="I7" s="309">
        <f>+I8</f>
        <v>9099000000</v>
      </c>
      <c r="J7" s="309">
        <f>+J8</f>
        <v>9099000000</v>
      </c>
      <c r="K7" s="274" t="e">
        <f t="shared" ref="K7:T7" si="0">+K8</f>
        <v>#REF!</v>
      </c>
      <c r="L7" s="274" t="e">
        <f t="shared" si="0"/>
        <v>#REF!</v>
      </c>
      <c r="M7" s="274" t="e">
        <f t="shared" si="0"/>
        <v>#REF!</v>
      </c>
      <c r="N7" s="274" t="e">
        <f t="shared" si="0"/>
        <v>#REF!</v>
      </c>
      <c r="O7" s="274" t="e">
        <f t="shared" si="0"/>
        <v>#REF!</v>
      </c>
      <c r="P7" s="274" t="e">
        <f t="shared" si="0"/>
        <v>#REF!</v>
      </c>
      <c r="Q7" s="274" t="e">
        <f t="shared" si="0"/>
        <v>#REF!</v>
      </c>
      <c r="R7" s="274" t="e">
        <f t="shared" si="0"/>
        <v>#REF!</v>
      </c>
      <c r="S7" s="274" t="e">
        <f t="shared" si="0"/>
        <v>#REF!</v>
      </c>
      <c r="T7" s="274">
        <f t="shared" si="0"/>
        <v>0</v>
      </c>
    </row>
    <row r="8" spans="1:21" ht="28">
      <c r="A8" s="273" t="s">
        <v>26</v>
      </c>
      <c r="B8" s="277" t="s">
        <v>210</v>
      </c>
      <c r="C8" s="278"/>
      <c r="D8" s="278"/>
      <c r="E8" s="278"/>
      <c r="F8" s="278"/>
      <c r="G8" s="278"/>
      <c r="H8" s="278"/>
      <c r="I8" s="303">
        <f>+I9+I22</f>
        <v>9099000000</v>
      </c>
      <c r="J8" s="303">
        <f t="shared" ref="J8:S8" si="1">+J9+J22</f>
        <v>9099000000</v>
      </c>
      <c r="K8" s="274" t="e">
        <f t="shared" si="1"/>
        <v>#REF!</v>
      </c>
      <c r="L8" s="274" t="e">
        <f t="shared" si="1"/>
        <v>#REF!</v>
      </c>
      <c r="M8" s="274" t="e">
        <f t="shared" si="1"/>
        <v>#REF!</v>
      </c>
      <c r="N8" s="274" t="e">
        <f t="shared" si="1"/>
        <v>#REF!</v>
      </c>
      <c r="O8" s="274" t="e">
        <f t="shared" si="1"/>
        <v>#REF!</v>
      </c>
      <c r="P8" s="274" t="e">
        <f t="shared" si="1"/>
        <v>#REF!</v>
      </c>
      <c r="Q8" s="274" t="e">
        <f t="shared" si="1"/>
        <v>#REF!</v>
      </c>
      <c r="R8" s="274" t="e">
        <f t="shared" si="1"/>
        <v>#REF!</v>
      </c>
      <c r="S8" s="274" t="e">
        <f t="shared" si="1"/>
        <v>#REF!</v>
      </c>
      <c r="T8" s="274"/>
      <c r="U8" s="363">
        <f>+U9+U24</f>
        <v>9099000000</v>
      </c>
    </row>
    <row r="9" spans="1:21">
      <c r="A9" s="273" t="s">
        <v>42</v>
      </c>
      <c r="B9" s="299" t="s">
        <v>374</v>
      </c>
      <c r="C9" s="278"/>
      <c r="D9" s="278"/>
      <c r="E9" s="278"/>
      <c r="F9" s="278"/>
      <c r="G9" s="278"/>
      <c r="H9" s="278"/>
      <c r="I9" s="303">
        <f>+I10</f>
        <v>2942000000</v>
      </c>
      <c r="J9" s="303">
        <f>+J10</f>
        <v>2942000000</v>
      </c>
      <c r="K9" s="274" t="e">
        <f t="shared" ref="K9:Q9" si="2">+K10</f>
        <v>#REF!</v>
      </c>
      <c r="L9" s="274" t="e">
        <f t="shared" si="2"/>
        <v>#REF!</v>
      </c>
      <c r="M9" s="274" t="e">
        <f t="shared" si="2"/>
        <v>#REF!</v>
      </c>
      <c r="N9" s="274" t="e">
        <f t="shared" si="2"/>
        <v>#REF!</v>
      </c>
      <c r="O9" s="274" t="e">
        <f t="shared" si="2"/>
        <v>#REF!</v>
      </c>
      <c r="P9" s="274" t="e">
        <f t="shared" si="2"/>
        <v>#REF!</v>
      </c>
      <c r="Q9" s="274" t="e">
        <f t="shared" si="2"/>
        <v>#REF!</v>
      </c>
      <c r="R9" s="274" t="e">
        <f>+R10</f>
        <v>#REF!</v>
      </c>
      <c r="S9" s="274" t="e">
        <f t="shared" ref="S9:S11" si="3">I9-R9</f>
        <v>#REF!</v>
      </c>
      <c r="T9" s="274"/>
      <c r="U9" s="364">
        <v>2942000000</v>
      </c>
    </row>
    <row r="10" spans="1:21">
      <c r="A10" s="273">
        <v>1</v>
      </c>
      <c r="B10" s="277" t="s">
        <v>211</v>
      </c>
      <c r="C10" s="278"/>
      <c r="D10" s="278"/>
      <c r="E10" s="278"/>
      <c r="F10" s="278"/>
      <c r="G10" s="278"/>
      <c r="H10" s="278"/>
      <c r="I10" s="303">
        <f>+I11+I19</f>
        <v>2942000000</v>
      </c>
      <c r="J10" s="303">
        <f>+J11+J19</f>
        <v>2942000000</v>
      </c>
      <c r="K10" s="274" t="e">
        <f>+K11+#REF!+#REF!+#REF!</f>
        <v>#REF!</v>
      </c>
      <c r="L10" s="274" t="e">
        <f>+L11+#REF!+#REF!+#REF!</f>
        <v>#REF!</v>
      </c>
      <c r="M10" s="274" t="e">
        <f>+M11+#REF!+#REF!+#REF!</f>
        <v>#REF!</v>
      </c>
      <c r="N10" s="274" t="e">
        <f>+N11+#REF!+#REF!+#REF!</f>
        <v>#REF!</v>
      </c>
      <c r="O10" s="274" t="e">
        <f>+O11+#REF!+#REF!+#REF!</f>
        <v>#REF!</v>
      </c>
      <c r="P10" s="274" t="e">
        <f>+P11+#REF!+#REF!+#REF!</f>
        <v>#REF!</v>
      </c>
      <c r="Q10" s="274" t="e">
        <f>+Q11+#REF!+#REF!+#REF!</f>
        <v>#REF!</v>
      </c>
      <c r="R10" s="274" t="e">
        <f>+R11+#REF!+#REF!+#REF!</f>
        <v>#REF!</v>
      </c>
      <c r="S10" s="274" t="e">
        <f>+S11+#REF!+#REF!+#REF!</f>
        <v>#REF!</v>
      </c>
      <c r="T10" s="274"/>
    </row>
    <row r="11" spans="1:21" ht="28">
      <c r="A11" s="284" t="s">
        <v>357</v>
      </c>
      <c r="B11" s="277" t="s">
        <v>212</v>
      </c>
      <c r="C11" s="277"/>
      <c r="D11" s="277"/>
      <c r="E11" s="277"/>
      <c r="F11" s="277"/>
      <c r="G11" s="277"/>
      <c r="H11" s="295">
        <v>10471</v>
      </c>
      <c r="I11" s="303">
        <f>+I12</f>
        <v>2942000000</v>
      </c>
      <c r="J11" s="303">
        <f t="shared" ref="J11:R11" si="4">+J12</f>
        <v>2942000000</v>
      </c>
      <c r="K11" s="274" t="e">
        <f t="shared" si="4"/>
        <v>#REF!</v>
      </c>
      <c r="L11" s="274" t="e">
        <f t="shared" si="4"/>
        <v>#REF!</v>
      </c>
      <c r="M11" s="274" t="e">
        <f t="shared" si="4"/>
        <v>#REF!</v>
      </c>
      <c r="N11" s="274" t="e">
        <f t="shared" si="4"/>
        <v>#REF!</v>
      </c>
      <c r="O11" s="274" t="e">
        <f t="shared" si="4"/>
        <v>#REF!</v>
      </c>
      <c r="P11" s="274" t="e">
        <f t="shared" si="4"/>
        <v>#REF!</v>
      </c>
      <c r="Q11" s="274" t="e">
        <f t="shared" si="4"/>
        <v>#REF!</v>
      </c>
      <c r="R11" s="274" t="e">
        <f t="shared" si="4"/>
        <v>#REF!</v>
      </c>
      <c r="S11" s="274" t="e">
        <f t="shared" si="3"/>
        <v>#REF!</v>
      </c>
      <c r="T11" s="274"/>
    </row>
    <row r="12" spans="1:21">
      <c r="A12" s="273"/>
      <c r="B12" s="277" t="s">
        <v>213</v>
      </c>
      <c r="C12" s="278"/>
      <c r="D12" s="278"/>
      <c r="E12" s="278"/>
      <c r="F12" s="278"/>
      <c r="G12" s="278"/>
      <c r="H12" s="278"/>
      <c r="I12" s="303">
        <f t="shared" ref="I12:S12" si="5">+I13+I16</f>
        <v>2942000000</v>
      </c>
      <c r="J12" s="303">
        <f t="shared" si="5"/>
        <v>2942000000</v>
      </c>
      <c r="K12" s="274" t="e">
        <f t="shared" si="5"/>
        <v>#REF!</v>
      </c>
      <c r="L12" s="274" t="e">
        <f t="shared" si="5"/>
        <v>#REF!</v>
      </c>
      <c r="M12" s="274" t="e">
        <f t="shared" si="5"/>
        <v>#REF!</v>
      </c>
      <c r="N12" s="274" t="e">
        <f t="shared" si="5"/>
        <v>#REF!</v>
      </c>
      <c r="O12" s="274" t="e">
        <f t="shared" si="5"/>
        <v>#REF!</v>
      </c>
      <c r="P12" s="274" t="e">
        <f t="shared" si="5"/>
        <v>#REF!</v>
      </c>
      <c r="Q12" s="274" t="e">
        <f t="shared" si="5"/>
        <v>#REF!</v>
      </c>
      <c r="R12" s="274" t="e">
        <f t="shared" si="5"/>
        <v>#REF!</v>
      </c>
      <c r="S12" s="274" t="e">
        <f t="shared" si="5"/>
        <v>#REF!</v>
      </c>
      <c r="T12" s="274"/>
    </row>
    <row r="13" spans="1:21" ht="42">
      <c r="A13" s="273"/>
      <c r="B13" s="277" t="s">
        <v>214</v>
      </c>
      <c r="C13" s="278"/>
      <c r="D13" s="278"/>
      <c r="E13" s="278"/>
      <c r="F13" s="278"/>
      <c r="G13" s="278"/>
      <c r="H13" s="278"/>
      <c r="I13" s="303">
        <f>+I14</f>
        <v>700000000</v>
      </c>
      <c r="J13" s="303">
        <f>+J14</f>
        <v>700000000</v>
      </c>
      <c r="K13" s="274" t="e">
        <f>+#REF!+K14+#REF!</f>
        <v>#REF!</v>
      </c>
      <c r="L13" s="274" t="e">
        <f>+#REF!+L14+#REF!</f>
        <v>#REF!</v>
      </c>
      <c r="M13" s="274" t="e">
        <f>+#REF!+M14+#REF!</f>
        <v>#REF!</v>
      </c>
      <c r="N13" s="274" t="e">
        <f>+#REF!+N14+#REF!</f>
        <v>#REF!</v>
      </c>
      <c r="O13" s="274" t="e">
        <f>+#REF!+O14+#REF!</f>
        <v>#REF!</v>
      </c>
      <c r="P13" s="274" t="e">
        <f>+#REF!+P14+#REF!</f>
        <v>#REF!</v>
      </c>
      <c r="Q13" s="274" t="e">
        <f>+#REF!+Q14+#REF!</f>
        <v>#REF!</v>
      </c>
      <c r="R13" s="274" t="e">
        <f>+#REF!+R14+#REF!</f>
        <v>#REF!</v>
      </c>
      <c r="S13" s="274" t="e">
        <f>+#REF!+S14+#REF!</f>
        <v>#REF!</v>
      </c>
      <c r="T13" s="274"/>
    </row>
    <row r="14" spans="1:21">
      <c r="A14" s="273"/>
      <c r="B14" s="277" t="s">
        <v>376</v>
      </c>
      <c r="C14" s="273">
        <v>1163289</v>
      </c>
      <c r="D14" s="273">
        <v>832</v>
      </c>
      <c r="E14" s="284">
        <v>280</v>
      </c>
      <c r="F14" s="273"/>
      <c r="G14" s="273">
        <v>12</v>
      </c>
      <c r="H14" s="273"/>
      <c r="I14" s="303">
        <f>+I15</f>
        <v>700000000</v>
      </c>
      <c r="J14" s="303">
        <f>+J15</f>
        <v>700000000</v>
      </c>
      <c r="K14" s="274" t="e">
        <f>+K15+#REF!+#REF!+#REF!+#REF!</f>
        <v>#REF!</v>
      </c>
      <c r="L14" s="274" t="e">
        <f>+L15+#REF!+#REF!+#REF!+#REF!</f>
        <v>#REF!</v>
      </c>
      <c r="M14" s="274" t="e">
        <f>+M15+#REF!+#REF!+#REF!+#REF!</f>
        <v>#REF!</v>
      </c>
      <c r="N14" s="274" t="e">
        <f>+N15+#REF!+#REF!+#REF!+#REF!</f>
        <v>#REF!</v>
      </c>
      <c r="O14" s="274" t="e">
        <f>+O15+#REF!+#REF!+#REF!+#REF!</f>
        <v>#REF!</v>
      </c>
      <c r="P14" s="274" t="e">
        <f>+P15+#REF!+#REF!+#REF!+#REF!</f>
        <v>#REF!</v>
      </c>
      <c r="Q14" s="274" t="e">
        <f>+Q15+#REF!+#REF!+#REF!+#REF!</f>
        <v>#REF!</v>
      </c>
      <c r="R14" s="274" t="e">
        <f>+R15+#REF!+#REF!+#REF!+#REF!</f>
        <v>#REF!</v>
      </c>
      <c r="S14" s="274" t="e">
        <f>+S15+#REF!+#REF!+#REF!+#REF!</f>
        <v>#REF!</v>
      </c>
      <c r="T14" s="274"/>
    </row>
    <row r="15" spans="1:21" ht="28">
      <c r="A15" s="273"/>
      <c r="B15" s="80" t="s">
        <v>375</v>
      </c>
      <c r="C15" s="278"/>
      <c r="D15" s="278"/>
      <c r="E15" s="278"/>
      <c r="F15" s="284">
        <v>292</v>
      </c>
      <c r="G15" s="278"/>
      <c r="H15" s="295">
        <v>10471</v>
      </c>
      <c r="I15" s="300">
        <v>700000000</v>
      </c>
      <c r="J15" s="300">
        <v>700000000</v>
      </c>
      <c r="K15" s="282"/>
      <c r="L15" s="282"/>
      <c r="M15" s="282"/>
      <c r="N15" s="365"/>
      <c r="O15" s="282"/>
      <c r="P15" s="282"/>
      <c r="Q15" s="282"/>
      <c r="R15" s="282"/>
      <c r="S15" s="282"/>
      <c r="T15" s="274"/>
    </row>
    <row r="16" spans="1:21" ht="42">
      <c r="A16" s="284"/>
      <c r="B16" s="277" t="s">
        <v>215</v>
      </c>
      <c r="C16" s="278"/>
      <c r="D16" s="277"/>
      <c r="E16" s="277"/>
      <c r="F16" s="277"/>
      <c r="G16" s="277"/>
      <c r="H16" s="277"/>
      <c r="I16" s="303">
        <f>+I17</f>
        <v>2242000000</v>
      </c>
      <c r="J16" s="303">
        <f>+J17</f>
        <v>2242000000</v>
      </c>
      <c r="K16" s="274" t="e">
        <f t="shared" ref="K16:S16" si="6">+K17</f>
        <v>#REF!</v>
      </c>
      <c r="L16" s="274" t="e">
        <f t="shared" si="6"/>
        <v>#REF!</v>
      </c>
      <c r="M16" s="274" t="e">
        <f t="shared" si="6"/>
        <v>#REF!</v>
      </c>
      <c r="N16" s="274" t="e">
        <f t="shared" si="6"/>
        <v>#REF!</v>
      </c>
      <c r="O16" s="274" t="e">
        <f t="shared" si="6"/>
        <v>#REF!</v>
      </c>
      <c r="P16" s="274" t="e">
        <f t="shared" si="6"/>
        <v>#REF!</v>
      </c>
      <c r="Q16" s="274" t="e">
        <f t="shared" si="6"/>
        <v>#REF!</v>
      </c>
      <c r="R16" s="274" t="e">
        <f t="shared" si="6"/>
        <v>#REF!</v>
      </c>
      <c r="S16" s="274" t="e">
        <f t="shared" si="6"/>
        <v>#REF!</v>
      </c>
      <c r="T16" s="274"/>
    </row>
    <row r="17" spans="1:21">
      <c r="A17" s="273"/>
      <c r="B17" s="277" t="s">
        <v>174</v>
      </c>
      <c r="C17" s="8">
        <v>1163290</v>
      </c>
      <c r="D17" s="295">
        <v>831</v>
      </c>
      <c r="E17" s="277">
        <v>280</v>
      </c>
      <c r="F17" s="277"/>
      <c r="G17" s="277"/>
      <c r="H17" s="277"/>
      <c r="I17" s="303">
        <f>+I18</f>
        <v>2242000000</v>
      </c>
      <c r="J17" s="303">
        <f>+J18</f>
        <v>2242000000</v>
      </c>
      <c r="K17" s="274" t="e">
        <f>+K18+#REF!</f>
        <v>#REF!</v>
      </c>
      <c r="L17" s="274" t="e">
        <f>+L18+#REF!</f>
        <v>#REF!</v>
      </c>
      <c r="M17" s="274" t="e">
        <f>+M18+#REF!</f>
        <v>#REF!</v>
      </c>
      <c r="N17" s="274" t="e">
        <f>+N18+#REF!</f>
        <v>#REF!</v>
      </c>
      <c r="O17" s="274" t="e">
        <f>+O18+#REF!</f>
        <v>#REF!</v>
      </c>
      <c r="P17" s="274" t="e">
        <f>+P18+#REF!</f>
        <v>#REF!</v>
      </c>
      <c r="Q17" s="274" t="e">
        <f>+Q18+#REF!</f>
        <v>#REF!</v>
      </c>
      <c r="R17" s="274" t="e">
        <f>+R18+#REF!</f>
        <v>#REF!</v>
      </c>
      <c r="S17" s="274" t="e">
        <f>+S18+#REF!</f>
        <v>#REF!</v>
      </c>
      <c r="T17" s="274"/>
    </row>
    <row r="18" spans="1:21">
      <c r="A18" s="273"/>
      <c r="B18" s="80" t="s">
        <v>362</v>
      </c>
      <c r="C18" s="280"/>
      <c r="D18" s="273"/>
      <c r="E18" s="280"/>
      <c r="F18" s="272">
        <v>292</v>
      </c>
      <c r="G18" s="272">
        <v>12</v>
      </c>
      <c r="H18" s="295">
        <v>10471</v>
      </c>
      <c r="I18" s="300">
        <f>+J18+K18</f>
        <v>2242000000</v>
      </c>
      <c r="J18" s="304">
        <f>20000000+2222000000</f>
        <v>2242000000</v>
      </c>
      <c r="K18" s="282"/>
      <c r="L18" s="282"/>
      <c r="M18" s="282"/>
      <c r="N18" s="282"/>
      <c r="O18" s="282"/>
      <c r="P18" s="282"/>
      <c r="Q18" s="282"/>
      <c r="R18" s="283">
        <v>70969000</v>
      </c>
      <c r="S18" s="282">
        <f t="shared" ref="S18" si="7">I18-R18</f>
        <v>2171031000</v>
      </c>
      <c r="T18" s="282"/>
    </row>
    <row r="19" spans="1:21" hidden="1">
      <c r="A19" s="273"/>
      <c r="B19" s="277" t="s">
        <v>364</v>
      </c>
      <c r="C19" s="278"/>
      <c r="D19" s="273"/>
      <c r="E19" s="278"/>
      <c r="F19" s="273"/>
      <c r="G19" s="273"/>
      <c r="H19" s="295"/>
      <c r="I19" s="303">
        <f>+I20</f>
        <v>0</v>
      </c>
      <c r="J19" s="303">
        <f t="shared" ref="J19:S19" si="8">+J20</f>
        <v>0</v>
      </c>
      <c r="K19" s="282">
        <f t="shared" si="8"/>
        <v>0</v>
      </c>
      <c r="L19" s="282">
        <f t="shared" si="8"/>
        <v>0</v>
      </c>
      <c r="M19" s="282">
        <f t="shared" si="8"/>
        <v>0</v>
      </c>
      <c r="N19" s="282">
        <f t="shared" si="8"/>
        <v>0</v>
      </c>
      <c r="O19" s="282">
        <f t="shared" si="8"/>
        <v>0</v>
      </c>
      <c r="P19" s="282">
        <f t="shared" si="8"/>
        <v>0</v>
      </c>
      <c r="Q19" s="282">
        <f t="shared" si="8"/>
        <v>0</v>
      </c>
      <c r="R19" s="282">
        <f t="shared" si="8"/>
        <v>0</v>
      </c>
      <c r="S19" s="282">
        <f t="shared" si="8"/>
        <v>0</v>
      </c>
      <c r="T19" s="282"/>
    </row>
    <row r="20" spans="1:21" hidden="1">
      <c r="A20" s="273"/>
      <c r="B20" s="301" t="s">
        <v>365</v>
      </c>
      <c r="C20" s="280"/>
      <c r="D20" s="273"/>
      <c r="E20" s="280"/>
      <c r="F20" s="272"/>
      <c r="G20" s="272"/>
      <c r="H20" s="295"/>
      <c r="I20" s="300">
        <f>+I21</f>
        <v>0</v>
      </c>
      <c r="J20" s="300">
        <f>+J21</f>
        <v>0</v>
      </c>
      <c r="K20" s="282"/>
      <c r="L20" s="282"/>
      <c r="M20" s="282"/>
      <c r="N20" s="282"/>
      <c r="O20" s="282"/>
      <c r="P20" s="282"/>
      <c r="Q20" s="282"/>
      <c r="R20" s="283"/>
      <c r="S20" s="282"/>
      <c r="T20" s="282"/>
    </row>
    <row r="21" spans="1:21" hidden="1">
      <c r="A21" s="273"/>
      <c r="B21" s="80" t="s">
        <v>174</v>
      </c>
      <c r="C21" s="280"/>
      <c r="D21" s="273"/>
      <c r="E21" s="280"/>
      <c r="F21" s="272"/>
      <c r="G21" s="272"/>
      <c r="H21" s="295"/>
      <c r="I21" s="300">
        <f>J21</f>
        <v>0</v>
      </c>
      <c r="J21" s="304">
        <v>0</v>
      </c>
      <c r="K21" s="282"/>
      <c r="L21" s="282"/>
      <c r="M21" s="282"/>
      <c r="N21" s="282"/>
      <c r="O21" s="282"/>
      <c r="P21" s="282"/>
      <c r="Q21" s="282"/>
      <c r="R21" s="283"/>
      <c r="S21" s="282"/>
      <c r="T21" s="282"/>
    </row>
    <row r="22" spans="1:21" ht="28">
      <c r="A22" s="273" t="s">
        <v>142</v>
      </c>
      <c r="B22" s="277" t="s">
        <v>216</v>
      </c>
      <c r="C22" s="278"/>
      <c r="D22" s="278"/>
      <c r="E22" s="278"/>
      <c r="F22" s="278"/>
      <c r="G22" s="278"/>
      <c r="H22" s="278"/>
      <c r="I22" s="305">
        <f>+I23</f>
        <v>6157000000</v>
      </c>
      <c r="J22" s="305">
        <f t="shared" ref="J22:S22" si="9">+J23</f>
        <v>6157000000</v>
      </c>
      <c r="K22" s="275" t="e">
        <f t="shared" si="9"/>
        <v>#REF!</v>
      </c>
      <c r="L22" s="275" t="e">
        <f t="shared" si="9"/>
        <v>#REF!</v>
      </c>
      <c r="M22" s="275" t="e">
        <f t="shared" si="9"/>
        <v>#REF!</v>
      </c>
      <c r="N22" s="275" t="e">
        <f t="shared" si="9"/>
        <v>#REF!</v>
      </c>
      <c r="O22" s="275" t="e">
        <f t="shared" si="9"/>
        <v>#REF!</v>
      </c>
      <c r="P22" s="275" t="e">
        <f t="shared" si="9"/>
        <v>#REF!</v>
      </c>
      <c r="Q22" s="275" t="e">
        <f t="shared" si="9"/>
        <v>#REF!</v>
      </c>
      <c r="R22" s="275" t="e">
        <f t="shared" si="9"/>
        <v>#REF!</v>
      </c>
      <c r="S22" s="275" t="e">
        <f t="shared" si="9"/>
        <v>#REF!</v>
      </c>
      <c r="T22" s="274"/>
      <c r="U22" s="364">
        <v>6157</v>
      </c>
    </row>
    <row r="23" spans="1:21">
      <c r="A23" s="273">
        <v>1</v>
      </c>
      <c r="B23" s="277" t="s">
        <v>211</v>
      </c>
      <c r="C23" s="278"/>
      <c r="D23" s="278"/>
      <c r="E23" s="278"/>
      <c r="F23" s="278"/>
      <c r="G23" s="278"/>
      <c r="H23" s="278"/>
      <c r="I23" s="303">
        <f>+I24+I32</f>
        <v>6157000000</v>
      </c>
      <c r="J23" s="303">
        <f>+J24+J32</f>
        <v>6157000000</v>
      </c>
      <c r="K23" s="289" t="e">
        <f>+#REF!+#REF!+#REF!+K24+#REF!+#REF!+#REF!+#REF!+#REF!</f>
        <v>#REF!</v>
      </c>
      <c r="L23" s="289" t="e">
        <f>+#REF!+#REF!+#REF!+L24+#REF!+#REF!+#REF!+#REF!+#REF!</f>
        <v>#REF!</v>
      </c>
      <c r="M23" s="289" t="e">
        <f>+#REF!+#REF!+#REF!+M24+#REF!+#REF!+#REF!+#REF!+#REF!</f>
        <v>#REF!</v>
      </c>
      <c r="N23" s="289" t="e">
        <f>+#REF!+#REF!+#REF!+N24+#REF!+#REF!+#REF!+#REF!+#REF!</f>
        <v>#REF!</v>
      </c>
      <c r="O23" s="289" t="e">
        <f>+#REF!+#REF!+#REF!+O24+#REF!+#REF!+#REF!+#REF!+#REF!</f>
        <v>#REF!</v>
      </c>
      <c r="P23" s="289" t="e">
        <f>+#REF!+#REF!+#REF!+P24+#REF!+#REF!+#REF!+#REF!+#REF!</f>
        <v>#REF!</v>
      </c>
      <c r="Q23" s="289" t="e">
        <f>+#REF!+#REF!+#REF!+Q24+#REF!+#REF!+#REF!+#REF!+#REF!</f>
        <v>#REF!</v>
      </c>
      <c r="R23" s="289" t="e">
        <f>+#REF!+#REF!+#REF!+R24+#REF!+#REF!+#REF!+#REF!+#REF!</f>
        <v>#REF!</v>
      </c>
      <c r="S23" s="289" t="e">
        <f>+#REF!+#REF!+#REF!+S24+#REF!+#REF!+#REF!+#REF!+#REF!</f>
        <v>#REF!</v>
      </c>
      <c r="T23" s="289"/>
      <c r="U23" s="363">
        <f>I22-U22</f>
        <v>6156993843</v>
      </c>
    </row>
    <row r="24" spans="1:21" ht="28">
      <c r="A24" s="273" t="s">
        <v>357</v>
      </c>
      <c r="B24" s="277" t="s">
        <v>217</v>
      </c>
      <c r="C24" s="278"/>
      <c r="D24" s="278"/>
      <c r="E24" s="278"/>
      <c r="F24" s="278"/>
      <c r="G24" s="278"/>
      <c r="H24" s="278"/>
      <c r="I24" s="303">
        <f>+I25</f>
        <v>4157000000</v>
      </c>
      <c r="J24" s="303">
        <f>+J25</f>
        <v>4157000000</v>
      </c>
      <c r="K24" s="278"/>
      <c r="L24" s="278"/>
      <c r="M24" s="278"/>
      <c r="N24" s="278"/>
      <c r="O24" s="278"/>
      <c r="P24" s="278"/>
      <c r="Q24" s="278"/>
      <c r="R24" s="278"/>
      <c r="S24" s="274">
        <f t="shared" ref="S24" si="10">I24-R24</f>
        <v>4157000000</v>
      </c>
      <c r="T24" s="274"/>
      <c r="U24" s="162">
        <f>6157000000</f>
        <v>6157000000</v>
      </c>
    </row>
    <row r="25" spans="1:21" ht="28">
      <c r="A25" s="284" t="s">
        <v>4</v>
      </c>
      <c r="B25" s="80" t="s">
        <v>218</v>
      </c>
      <c r="C25" s="280"/>
      <c r="D25" s="280"/>
      <c r="E25" s="280"/>
      <c r="F25" s="280"/>
      <c r="G25" s="280"/>
      <c r="H25" s="280"/>
      <c r="I25" s="300">
        <f>+I26</f>
        <v>4157000000</v>
      </c>
      <c r="J25" s="300">
        <f>+J26</f>
        <v>4157000000</v>
      </c>
      <c r="K25" s="281" t="e">
        <f>+#REF!+#REF!</f>
        <v>#REF!</v>
      </c>
      <c r="L25" s="281" t="e">
        <f>+#REF!+#REF!</f>
        <v>#REF!</v>
      </c>
      <c r="M25" s="281" t="e">
        <f>+#REF!+#REF!</f>
        <v>#REF!</v>
      </c>
      <c r="N25" s="281" t="e">
        <f>+#REF!+#REF!</f>
        <v>#REF!</v>
      </c>
      <c r="O25" s="281" t="e">
        <f>+#REF!+#REF!</f>
        <v>#REF!</v>
      </c>
      <c r="P25" s="281" t="e">
        <f>+#REF!+#REF!</f>
        <v>#REF!</v>
      </c>
      <c r="Q25" s="281" t="e">
        <f>+#REF!+#REF!</f>
        <v>#REF!</v>
      </c>
      <c r="R25" s="281" t="e">
        <f>+#REF!+#REF!</f>
        <v>#REF!</v>
      </c>
      <c r="S25" s="281" t="e">
        <f>+#REF!+#REF!</f>
        <v>#REF!</v>
      </c>
      <c r="T25" s="274"/>
      <c r="U25" s="363">
        <f>I22-U24</f>
        <v>0</v>
      </c>
    </row>
    <row r="26" spans="1:21" ht="42">
      <c r="A26" s="273"/>
      <c r="B26" s="80" t="s">
        <v>219</v>
      </c>
      <c r="C26" s="280"/>
      <c r="D26" s="280"/>
      <c r="E26" s="280"/>
      <c r="F26" s="280"/>
      <c r="G26" s="280"/>
      <c r="H26" s="280"/>
      <c r="I26" s="304">
        <f>+I27+I30</f>
        <v>4157000000</v>
      </c>
      <c r="J26" s="304">
        <f>+J27+J30</f>
        <v>4157000000</v>
      </c>
      <c r="K26" s="281">
        <f t="shared" ref="K26:S26" si="11">+K27</f>
        <v>0</v>
      </c>
      <c r="L26" s="281">
        <f t="shared" si="11"/>
        <v>0</v>
      </c>
      <c r="M26" s="281">
        <f t="shared" si="11"/>
        <v>0</v>
      </c>
      <c r="N26" s="281">
        <f t="shared" si="11"/>
        <v>0</v>
      </c>
      <c r="O26" s="281">
        <f t="shared" si="11"/>
        <v>0</v>
      </c>
      <c r="P26" s="281">
        <f t="shared" si="11"/>
        <v>0</v>
      </c>
      <c r="Q26" s="281">
        <f t="shared" si="11"/>
        <v>0</v>
      </c>
      <c r="R26" s="281">
        <f t="shared" si="11"/>
        <v>0</v>
      </c>
      <c r="S26" s="281">
        <f t="shared" si="11"/>
        <v>0</v>
      </c>
      <c r="T26" s="274"/>
      <c r="U26" s="363">
        <f>I29-U25</f>
        <v>1657000000</v>
      </c>
    </row>
    <row r="27" spans="1:21">
      <c r="A27" s="273"/>
      <c r="B27" s="80" t="s">
        <v>220</v>
      </c>
      <c r="C27" s="8">
        <v>1163290</v>
      </c>
      <c r="D27" s="288">
        <v>831</v>
      </c>
      <c r="E27" s="278">
        <v>280</v>
      </c>
      <c r="F27" s="278">
        <v>292</v>
      </c>
      <c r="G27" s="273">
        <v>12</v>
      </c>
      <c r="H27" s="273">
        <v>10514</v>
      </c>
      <c r="I27" s="300">
        <f t="shared" ref="I27:S27" si="12">SUM(I28:I29)</f>
        <v>3157000000</v>
      </c>
      <c r="J27" s="300">
        <f t="shared" si="12"/>
        <v>3157000000</v>
      </c>
      <c r="K27" s="282">
        <f t="shared" si="12"/>
        <v>0</v>
      </c>
      <c r="L27" s="282">
        <f t="shared" si="12"/>
        <v>0</v>
      </c>
      <c r="M27" s="282">
        <f t="shared" si="12"/>
        <v>0</v>
      </c>
      <c r="N27" s="282">
        <f t="shared" si="12"/>
        <v>0</v>
      </c>
      <c r="O27" s="282">
        <f t="shared" si="12"/>
        <v>0</v>
      </c>
      <c r="P27" s="282">
        <f t="shared" si="12"/>
        <v>0</v>
      </c>
      <c r="Q27" s="282">
        <f t="shared" si="12"/>
        <v>0</v>
      </c>
      <c r="R27" s="282">
        <f t="shared" si="12"/>
        <v>0</v>
      </c>
      <c r="S27" s="282">
        <f t="shared" si="12"/>
        <v>0</v>
      </c>
      <c r="T27" s="290"/>
    </row>
    <row r="28" spans="1:21">
      <c r="A28" s="273"/>
      <c r="B28" s="80" t="s">
        <v>363</v>
      </c>
      <c r="C28" s="8">
        <v>1163290</v>
      </c>
      <c r="D28" s="288">
        <v>831</v>
      </c>
      <c r="E28" s="278">
        <v>280</v>
      </c>
      <c r="F28" s="278">
        <v>292</v>
      </c>
      <c r="G28" s="273">
        <v>12</v>
      </c>
      <c r="H28" s="273">
        <v>10514</v>
      </c>
      <c r="I28" s="300">
        <v>1500000000</v>
      </c>
      <c r="J28" s="304">
        <f>I28</f>
        <v>1500000000</v>
      </c>
      <c r="K28" s="280"/>
      <c r="L28" s="280"/>
      <c r="M28" s="280"/>
      <c r="N28" s="280"/>
      <c r="O28" s="280"/>
      <c r="P28" s="280"/>
      <c r="Q28" s="280"/>
      <c r="R28" s="280"/>
      <c r="S28" s="282"/>
      <c r="T28" s="290"/>
    </row>
    <row r="29" spans="1:21" ht="34.5" customHeight="1">
      <c r="A29" s="273"/>
      <c r="B29" s="80" t="s">
        <v>366</v>
      </c>
      <c r="C29" s="8">
        <v>1163290</v>
      </c>
      <c r="D29" s="273">
        <v>831</v>
      </c>
      <c r="E29" s="278">
        <v>280</v>
      </c>
      <c r="F29" s="278">
        <v>292</v>
      </c>
      <c r="G29" s="273">
        <v>12</v>
      </c>
      <c r="H29" s="273">
        <v>10514</v>
      </c>
      <c r="I29" s="300">
        <f>957000000+700000000</f>
        <v>1657000000</v>
      </c>
      <c r="J29" s="304">
        <f>I29</f>
        <v>1657000000</v>
      </c>
      <c r="K29" s="280"/>
      <c r="L29" s="280"/>
      <c r="M29" s="280"/>
      <c r="N29" s="280"/>
      <c r="O29" s="280"/>
      <c r="P29" s="280"/>
      <c r="Q29" s="280"/>
      <c r="R29" s="280"/>
      <c r="S29" s="282"/>
      <c r="T29" s="290"/>
    </row>
    <row r="30" spans="1:21" ht="18.75" customHeight="1">
      <c r="A30" s="273"/>
      <c r="B30" s="277" t="s">
        <v>221</v>
      </c>
      <c r="C30" s="273"/>
      <c r="D30" s="273"/>
      <c r="E30" s="279"/>
      <c r="F30" s="279"/>
      <c r="G30" s="272"/>
      <c r="H30" s="273"/>
      <c r="I30" s="303">
        <f>+I31</f>
        <v>1000000000</v>
      </c>
      <c r="J30" s="303">
        <f>+J31</f>
        <v>1000000000</v>
      </c>
      <c r="K30" s="280"/>
      <c r="L30" s="280"/>
      <c r="M30" s="280"/>
      <c r="N30" s="280"/>
      <c r="O30" s="280"/>
      <c r="P30" s="280"/>
      <c r="Q30" s="280"/>
      <c r="R30" s="280"/>
      <c r="S30" s="282"/>
      <c r="T30" s="274"/>
    </row>
    <row r="31" spans="1:21" ht="37.5" customHeight="1">
      <c r="A31" s="273"/>
      <c r="B31" s="80" t="s">
        <v>386</v>
      </c>
      <c r="C31" s="273">
        <v>1163289</v>
      </c>
      <c r="D31" s="273">
        <v>832</v>
      </c>
      <c r="E31" s="272">
        <v>160</v>
      </c>
      <c r="F31" s="273">
        <v>161</v>
      </c>
      <c r="G31" s="272">
        <v>12</v>
      </c>
      <c r="H31" s="273">
        <v>10514</v>
      </c>
      <c r="I31" s="300">
        <v>1000000000</v>
      </c>
      <c r="J31" s="304">
        <f>I31</f>
        <v>1000000000</v>
      </c>
      <c r="K31" s="280"/>
      <c r="L31" s="280"/>
      <c r="M31" s="280"/>
      <c r="N31" s="280"/>
      <c r="O31" s="280"/>
      <c r="P31" s="280"/>
      <c r="Q31" s="280"/>
      <c r="R31" s="280"/>
      <c r="S31" s="282"/>
      <c r="T31" s="302"/>
    </row>
    <row r="32" spans="1:21" ht="48.75" customHeight="1">
      <c r="A32" s="1"/>
      <c r="B32" s="14" t="s">
        <v>370</v>
      </c>
      <c r="C32" s="2"/>
      <c r="D32" s="2"/>
      <c r="E32" s="2"/>
      <c r="F32" s="2"/>
      <c r="G32" s="2"/>
      <c r="H32" s="2"/>
      <c r="I32" s="306">
        <f>+I33</f>
        <v>2000000000</v>
      </c>
      <c r="J32" s="306">
        <f>+J33</f>
        <v>2000000000</v>
      </c>
      <c r="K32" s="2"/>
      <c r="L32" s="2"/>
      <c r="M32" s="2"/>
      <c r="N32" s="2"/>
      <c r="O32" s="2"/>
      <c r="P32" s="2"/>
      <c r="Q32" s="2"/>
      <c r="R32" s="2"/>
      <c r="S32" s="2"/>
      <c r="T32" s="2"/>
    </row>
    <row r="33" spans="1:20" ht="56">
      <c r="A33" s="1"/>
      <c r="B33" s="20" t="s">
        <v>371</v>
      </c>
      <c r="C33" s="2"/>
      <c r="D33" s="2"/>
      <c r="E33" s="2"/>
      <c r="F33" s="2"/>
      <c r="G33" s="2"/>
      <c r="H33" s="2"/>
      <c r="I33" s="307">
        <f>+I34</f>
        <v>2000000000</v>
      </c>
      <c r="J33" s="307">
        <f>+J34</f>
        <v>2000000000</v>
      </c>
      <c r="K33" s="2"/>
      <c r="L33" s="2"/>
      <c r="M33" s="2"/>
      <c r="N33" s="2"/>
      <c r="O33" s="2"/>
      <c r="P33" s="2"/>
      <c r="Q33" s="2"/>
      <c r="R33" s="2"/>
      <c r="S33" s="2"/>
      <c r="T33" s="2"/>
    </row>
    <row r="34" spans="1:20" ht="36.75" customHeight="1">
      <c r="A34" s="1"/>
      <c r="B34" s="366" t="s">
        <v>372</v>
      </c>
      <c r="C34" s="273">
        <v>1163289</v>
      </c>
      <c r="D34" s="273">
        <v>832</v>
      </c>
      <c r="E34" s="272">
        <v>160</v>
      </c>
      <c r="F34" s="2"/>
      <c r="G34" s="2">
        <v>12</v>
      </c>
      <c r="H34" s="2">
        <v>10515</v>
      </c>
      <c r="I34" s="308">
        <v>2000000000</v>
      </c>
      <c r="J34" s="308">
        <f>+I34</f>
        <v>2000000000</v>
      </c>
      <c r="K34" s="2"/>
      <c r="L34" s="2"/>
      <c r="M34" s="2"/>
      <c r="N34" s="2"/>
      <c r="O34" s="2"/>
      <c r="P34" s="2"/>
      <c r="Q34" s="2"/>
      <c r="R34" s="2"/>
      <c r="S34" s="2"/>
      <c r="T34" s="2"/>
    </row>
  </sheetData>
  <mergeCells count="16">
    <mergeCell ref="J4:T4"/>
    <mergeCell ref="A2:T2"/>
    <mergeCell ref="A3:T3"/>
    <mergeCell ref="A5:A6"/>
    <mergeCell ref="B5:B6"/>
    <mergeCell ref="C5:C6"/>
    <mergeCell ref="D5:D6"/>
    <mergeCell ref="E5:E6"/>
    <mergeCell ref="F5:F6"/>
    <mergeCell ref="G5:G6"/>
    <mergeCell ref="T5:T6"/>
    <mergeCell ref="H5:H6"/>
    <mergeCell ref="I5:I6"/>
    <mergeCell ref="J5:Q6"/>
    <mergeCell ref="R5:R6"/>
    <mergeCell ref="S5:S6"/>
  </mergeCells>
  <pageMargins left="0.7" right="0.19" top="0.40729166666666666" bottom="0.22135416666666666"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Sheet2</vt:lpstr>
      <vt:lpstr>Sheet3</vt:lpstr>
      <vt:lpstr>01</vt:lpstr>
      <vt:lpstr>biểu 111</vt:lpstr>
      <vt:lpstr>biểu 02</vt:lpstr>
      <vt:lpstr>Sheet4</vt:lpstr>
      <vt:lpstr>Sheet1</vt:lpstr>
      <vt:lpstr>02</vt:lpstr>
      <vt:lpstr>03</vt:lpstr>
      <vt:lpstr>biểu 04</vt:lpstr>
      <vt:lpstr>4.</vt:lpstr>
      <vt:lpstr>'01'!Print_Area</vt:lpstr>
      <vt:lpstr>'02'!Print_Area</vt:lpstr>
      <vt:lpstr>'03'!Print_Area</vt:lpstr>
      <vt:lpstr>'4.'!Print_Area</vt:lpstr>
      <vt:lpstr>'biểu 02'!Print_Area</vt:lpstr>
      <vt:lpstr>'biểu 04'!Print_Area</vt:lpstr>
      <vt:lpstr>'biểu 111'!Print_Area</vt:lpstr>
      <vt:lpstr>'01'!Print_Titles</vt:lpstr>
      <vt:lpstr>'02'!Print_Titles</vt:lpstr>
      <vt:lpstr>'03'!Print_Titles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2026-08-14T17:55:02Z</cp:lastPrinted>
  <dcterms:created xsi:type="dcterms:W3CDTF">2026-03-23T07:24:32Z</dcterms:created>
  <dcterms:modified xsi:type="dcterms:W3CDTF">2026-08-16T01:36:21Z</dcterms:modified>
</cp:coreProperties>
</file>