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10" yWindow="-110" windowWidth="19420" windowHeight="11020" tabRatio="922" firstSheet="55" activeTab="55"/>
  </bookViews>
  <sheets>
    <sheet name="Bieu TH" sheetId="40" state="hidden" r:id="rId1"/>
    <sheet name="Theo QĐ 652" sheetId="92" state="hidden" r:id="rId2"/>
    <sheet name="TH" sheetId="98" state="hidden" r:id="rId3"/>
    <sheet name="TH-NTM(NQ)" sheetId="86" state="hidden" r:id="rId4"/>
    <sheet name="Chi tiết NTM" sheetId="91" state="hidden" r:id="rId5"/>
    <sheet name="Danh muc NTM" sheetId="97" state="hidden" r:id="rId6"/>
    <sheet name="TH-GN(NQ)" sheetId="87" state="hidden" r:id="rId7"/>
    <sheet name="Chi tiết GN" sheetId="90" state="hidden" r:id="rId8"/>
    <sheet name="TH 88 Theo DV(NQ)" sheetId="84" state="hidden" r:id="rId9"/>
    <sheet name="TH 88(NQ)" sheetId="83" state="hidden" r:id="rId10"/>
    <sheet name="1" sheetId="2" state="hidden" r:id="rId11"/>
    <sheet name="1.1" sheetId="6" state="hidden" r:id="rId12"/>
    <sheet name="2" sheetId="8" state="hidden" r:id="rId13"/>
    <sheet name="3" sheetId="46" state="hidden" r:id="rId14"/>
    <sheet name="3.1" sheetId="82" state="hidden" r:id="rId15"/>
    <sheet name="3.2" sheetId="48" state="hidden" r:id="rId16"/>
    <sheet name="3.2.a" sheetId="49" state="hidden" r:id="rId17"/>
    <sheet name="D.A3" sheetId="30" state="hidden" r:id="rId18"/>
    <sheet name="3.2.b" sheetId="81" state="hidden" r:id="rId19"/>
    <sheet name="3.2.c" sheetId="80" state="hidden" r:id="rId20"/>
    <sheet name="4" sheetId="39" state="hidden" r:id="rId21"/>
    <sheet name="4.1-ĐT" sheetId="13" state="hidden" r:id="rId22"/>
    <sheet name="4.2" sheetId="32" state="hidden" r:id="rId23"/>
    <sheet name="4.3" sheetId="37" state="hidden" r:id="rId24"/>
    <sheet name="4.4" sheetId="41" state="hidden" r:id="rId25"/>
    <sheet name="4.5" sheetId="42" state="hidden" r:id="rId26"/>
    <sheet name="4.1-SN" sheetId="68" state="hidden" r:id="rId27"/>
    <sheet name="5" sheetId="52" state="hidden" r:id="rId28"/>
    <sheet name="5.1-DT" sheetId="15" state="hidden" r:id="rId29"/>
    <sheet name="5.1-SN" sheetId="53" state="hidden" r:id="rId30"/>
    <sheet name="5-2.A" sheetId="79" state="hidden" r:id="rId31"/>
    <sheet name="5.2.B" sheetId="78" state="hidden" r:id="rId32"/>
    <sheet name="5-3" sheetId="77" state="hidden" r:id="rId33"/>
    <sheet name="5-4" sheetId="56" state="hidden" r:id="rId34"/>
    <sheet name="6" sheetId="66" state="hidden" r:id="rId35"/>
    <sheet name="6 ĐT" sheetId="16" state="hidden" r:id="rId36"/>
    <sheet name="6 SN" sheetId="76" state="hidden" r:id="rId37"/>
    <sheet name="7" sheetId="67" state="hidden" r:id="rId38"/>
    <sheet name="7-ĐT" sheetId="17" state="hidden" r:id="rId39"/>
    <sheet name="7-SN" sheetId="70" state="hidden" r:id="rId40"/>
    <sheet name="D.A8" sheetId="18" state="hidden" r:id="rId41"/>
    <sheet name="8 SN" sheetId="75" state="hidden" r:id="rId42"/>
    <sheet name="9" sheetId="60" state="hidden" r:id="rId43"/>
    <sheet name="9.1-ĐT" sheetId="21" state="hidden" r:id="rId44"/>
    <sheet name="9.1-SN" sheetId="61" state="hidden" r:id="rId45"/>
    <sheet name="9.2-SN" sheetId="69" state="hidden" r:id="rId46"/>
    <sheet name="10" sheetId="63" state="hidden" r:id="rId47"/>
    <sheet name="10-1 SN" sheetId="71" state="hidden" r:id="rId48"/>
    <sheet name="10-2 ĐT" sheetId="74" state="hidden" r:id="rId49"/>
    <sheet name="DA 10 t (21-25)" sheetId="93" state="hidden" r:id="rId50"/>
    <sheet name="DA 15T(21-25)" sheetId="95" state="hidden" r:id="rId51"/>
    <sheet name="DA 10 T kcm" sheetId="94" state="hidden" r:id="rId52"/>
    <sheet name="10-2 SN" sheetId="72" state="hidden" r:id="rId53"/>
    <sheet name="10-3 SN" sheetId="73" state="hidden" r:id="rId54"/>
    <sheet name="DA 15 T kcm" sheetId="96" state="hidden" r:id="rId55"/>
    <sheet name="b 01 KH đt công" sheetId="99" r:id="rId56"/>
    <sheet name="biểu 02 SN " sheetId="101" r:id="rId57"/>
    <sheet name="Biểu Phân bổ 03 Đt" sheetId="100" state="hidden" r:id="rId58"/>
    <sheet name="biểu 04 SN" sheetId="102" state="hidden" r:id="rId59"/>
    <sheet name="biểu 02" sheetId="103" state="hidden" r:id="rId60"/>
    <sheet name="Sheet1" sheetId="104" state="hidden" r:id="rId61"/>
    <sheet name="Sheet2" sheetId="105" state="hidden" r:id="rId62"/>
  </sheets>
  <externalReferences>
    <externalReference r:id="rId63"/>
    <externalReference r:id="rId64"/>
    <externalReference r:id="rId65"/>
  </externalReferences>
  <definedNames>
    <definedName name="_1">#N/A</definedName>
    <definedName name="_1000A01">#N/A</definedName>
    <definedName name="_2">#N/A</definedName>
    <definedName name="_a129" localSheetId="7" hidden="1">{"Offgrid",#N/A,FALSE,"OFFGRID";"Region",#N/A,FALSE,"REGION";"Offgrid -2",#N/A,FALSE,"OFFGRID";"WTP",#N/A,FALSE,"WTP";"WTP -2",#N/A,FALSE,"WTP";"Project",#N/A,FALSE,"PROJECT";"Summary -2",#N/A,FALSE,"SUMMARY"}</definedName>
    <definedName name="_a129" localSheetId="6" hidden="1">{"Offgrid",#N/A,FALSE,"OFFGRID";"Region",#N/A,FALSE,"REGION";"Offgrid -2",#N/A,FALSE,"OFFGRID";"WTP",#N/A,FALSE,"WTP";"WTP -2",#N/A,FALSE,"WTP";"Project",#N/A,FALSE,"PROJECT";"Summary -2",#N/A,FALSE,"SUMMARY"}</definedName>
    <definedName name="_a129" localSheetId="3" hidden="1">{"Offgrid",#N/A,FALSE,"OFFGRID";"Region",#N/A,FALSE,"REGION";"Offgrid -2",#N/A,FALSE,"OFFGRID";"WTP",#N/A,FALSE,"WTP";"WTP -2",#N/A,FALSE,"WTP";"Project",#N/A,FALSE,"PROJECT";"Summary -2",#N/A,FALSE,"SUMMARY"}</definedName>
    <definedName name="_a129" hidden="1">{"Offgrid",#N/A,FALSE,"OFFGRID";"Region",#N/A,FALSE,"REGION";"Offgrid -2",#N/A,FALSE,"OFFGRID";"WTP",#N/A,FALSE,"WTP";"WTP -2",#N/A,FALSE,"WTP";"Project",#N/A,FALSE,"PROJECT";"Summary -2",#N/A,FALSE,"SUMMARY"}</definedName>
    <definedName name="_a130" localSheetId="7" hidden="1">{"Offgrid",#N/A,FALSE,"OFFGRID";"Region",#N/A,FALSE,"REGION";"Offgrid -2",#N/A,FALSE,"OFFGRID";"WTP",#N/A,FALSE,"WTP";"WTP -2",#N/A,FALSE,"WTP";"Project",#N/A,FALSE,"PROJECT";"Summary -2",#N/A,FALSE,"SUMMARY"}</definedName>
    <definedName name="_a130" localSheetId="6" hidden="1">{"Offgrid",#N/A,FALSE,"OFFGRID";"Region",#N/A,FALSE,"REGION";"Offgrid -2",#N/A,FALSE,"OFFGRID";"WTP",#N/A,FALSE,"WTP";"WTP -2",#N/A,FALSE,"WTP";"Project",#N/A,FALSE,"PROJECT";"Summary -2",#N/A,FALSE,"SUMMARY"}</definedName>
    <definedName name="_a130" localSheetId="3" hidden="1">{"Offgrid",#N/A,FALSE,"OFFGRID";"Region",#N/A,FALSE,"REGION";"Offgrid -2",#N/A,FALSE,"OFFGRID";"WTP",#N/A,FALSE,"WTP";"WTP -2",#N/A,FALSE,"WTP";"Project",#N/A,FALSE,"PROJECT";"Summary -2",#N/A,FALSE,"SUMMARY"}</definedName>
    <definedName name="_a130" hidden="1">{"Offgrid",#N/A,FALSE,"OFFGRID";"Region",#N/A,FALSE,"REGION";"Offgrid -2",#N/A,FALSE,"OFFGRID";"WTP",#N/A,FALSE,"WTP";"WTP -2",#N/A,FALSE,"WTP";"Project",#N/A,FALSE,"PROJECT";"Summary -2",#N/A,FALSE,"SUMMARY"}</definedName>
    <definedName name="_b100000" localSheetId="7">#REF!</definedName>
    <definedName name="_b100000" localSheetId="51">#REF!</definedName>
    <definedName name="_b100000" localSheetId="50">#REF!</definedName>
    <definedName name="_b100000">#REF!</definedName>
    <definedName name="_B72172" localSheetId="7">#REF!</definedName>
    <definedName name="_B72172" localSheetId="51">#REF!</definedName>
    <definedName name="_B72172" localSheetId="50">#REF!</definedName>
    <definedName name="_B72172">#REF!</definedName>
    <definedName name="_B86000" localSheetId="7">#REF!</definedName>
    <definedName name="_B86000" localSheetId="51">#REF!</definedName>
    <definedName name="_B86000" localSheetId="50">#REF!</definedName>
    <definedName name="_B86000">#REF!</definedName>
    <definedName name="_bac3">12413</definedName>
    <definedName name="_bac4">13529</definedName>
    <definedName name="_bac5">15483</definedName>
    <definedName name="_boi1" localSheetId="7">#REF!</definedName>
    <definedName name="_boi1" localSheetId="51">#REF!</definedName>
    <definedName name="_boi1" localSheetId="50">#REF!</definedName>
    <definedName name="_boi1">#REF!</definedName>
    <definedName name="_boi2" localSheetId="7">#REF!</definedName>
    <definedName name="_boi2" localSheetId="51">#REF!</definedName>
    <definedName name="_boi2" localSheetId="50">#REF!</definedName>
    <definedName name="_boi2">#REF!</definedName>
    <definedName name="_boi3" localSheetId="7">#REF!</definedName>
    <definedName name="_boi3" localSheetId="51">#REF!</definedName>
    <definedName name="_boi3" localSheetId="50">#REF!</definedName>
    <definedName name="_boi3">#REF!</definedName>
    <definedName name="_boi4" localSheetId="51">#REF!</definedName>
    <definedName name="_boi4" localSheetId="50">#REF!</definedName>
    <definedName name="_boi4">#REF!</definedName>
    <definedName name="_btc20" localSheetId="51">#REF!</definedName>
    <definedName name="_btc20" localSheetId="50">#REF!</definedName>
    <definedName name="_btc20">#REF!</definedName>
    <definedName name="_btc30" localSheetId="51">#REF!</definedName>
    <definedName name="_btc30" localSheetId="50">#REF!</definedName>
    <definedName name="_btc30">#REF!</definedName>
    <definedName name="_btc35" localSheetId="51">#REF!</definedName>
    <definedName name="_btc35" localSheetId="50">#REF!</definedName>
    <definedName name="_btc35">#REF!</definedName>
    <definedName name="_btm10" localSheetId="51">#REF!</definedName>
    <definedName name="_btm10" localSheetId="50">#REF!</definedName>
    <definedName name="_btm10">#REF!</definedName>
    <definedName name="_btm100" localSheetId="51">#REF!</definedName>
    <definedName name="_btm100" localSheetId="50">#REF!</definedName>
    <definedName name="_btm100">#REF!</definedName>
    <definedName name="_btm150" localSheetId="51">#REF!</definedName>
    <definedName name="_btm150" localSheetId="50">#REF!</definedName>
    <definedName name="_btm150">#REF!</definedName>
    <definedName name="_btm200" localSheetId="51">#REF!</definedName>
    <definedName name="_btm200" localSheetId="50">#REF!</definedName>
    <definedName name="_btm200">#REF!</definedName>
    <definedName name="_BTM250" localSheetId="51">#REF!</definedName>
    <definedName name="_BTM250" localSheetId="50">#REF!</definedName>
    <definedName name="_BTM250">#REF!</definedName>
    <definedName name="_btm300" localSheetId="51">#REF!</definedName>
    <definedName name="_btm300" localSheetId="50">#REF!</definedName>
    <definedName name="_btm300">#REF!</definedName>
    <definedName name="_BTM50" localSheetId="51">#REF!</definedName>
    <definedName name="_BTM50" localSheetId="50">#REF!</definedName>
    <definedName name="_BTM50">#REF!</definedName>
    <definedName name="_Builtin0" localSheetId="51">#REF!</definedName>
    <definedName name="_Builtin0" localSheetId="50">#REF!</definedName>
    <definedName name="_Builtin0">#REF!</definedName>
    <definedName name="_CON1" localSheetId="51">#REF!</definedName>
    <definedName name="_CON1" localSheetId="50">#REF!</definedName>
    <definedName name="_CON1">#REF!</definedName>
    <definedName name="_CON2" localSheetId="51">#REF!</definedName>
    <definedName name="_CON2" localSheetId="50">#REF!</definedName>
    <definedName name="_CON2">#REF!</definedName>
    <definedName name="_dao1" localSheetId="51">#REF!</definedName>
    <definedName name="_dao1" localSheetId="50">#REF!</definedName>
    <definedName name="_dao1">#REF!</definedName>
    <definedName name="_dbu1" localSheetId="51">#REF!</definedName>
    <definedName name="_dbu1" localSheetId="50">#REF!</definedName>
    <definedName name="_dbu1">#REF!</definedName>
    <definedName name="_dbu2" localSheetId="51">#REF!</definedName>
    <definedName name="_dbu2" localSheetId="50">#REF!</definedName>
    <definedName name="_dbu2">#REF!</definedName>
    <definedName name="_ddn400" localSheetId="51">#REF!</definedName>
    <definedName name="_ddn400" localSheetId="50">#REF!</definedName>
    <definedName name="_ddn400">#REF!</definedName>
    <definedName name="_ddn600" localSheetId="51">#REF!</definedName>
    <definedName name="_ddn600" localSheetId="50">#REF!</definedName>
    <definedName name="_ddn600">#REF!</definedName>
    <definedName name="_Fill" localSheetId="51" hidden="1">#REF!</definedName>
    <definedName name="_Fill" localSheetId="50" hidden="1">#REF!</definedName>
    <definedName name="_Fill" hidden="1">#REF!</definedName>
    <definedName name="_xlnm._FilterDatabase" localSheetId="10" hidden="1">'1'!$A$9:$Q$69</definedName>
    <definedName name="_xlnm._FilterDatabase" localSheetId="11" hidden="1">'1.1'!$A$7:$H$61</definedName>
    <definedName name="_xlnm._FilterDatabase" localSheetId="46" hidden="1">'10'!$A$10:$K$143</definedName>
    <definedName name="_xlnm._FilterDatabase" localSheetId="47" hidden="1">'10-1 SN'!$A$7:$O$472</definedName>
    <definedName name="_xlnm._FilterDatabase" localSheetId="52" hidden="1">'10-2 SN'!$A$7:$L$22</definedName>
    <definedName name="_xlnm._FilterDatabase" localSheetId="53" hidden="1">'10-3 SN'!$A$8:$L$36</definedName>
    <definedName name="_xlnm._FilterDatabase" localSheetId="12" hidden="1">'2'!$A$8:$J$30</definedName>
    <definedName name="_xlnm._FilterDatabase" localSheetId="14" hidden="1">'3.1'!$A$8:$I$81</definedName>
    <definedName name="_xlnm._FilterDatabase" localSheetId="15" hidden="1">'3.2'!$A$6:$J$6</definedName>
    <definedName name="_xlnm._FilterDatabase" localSheetId="16" hidden="1">'3.2.a'!$A$6:$J$275</definedName>
    <definedName name="_xlnm._FilterDatabase" localSheetId="19" hidden="1">'3.2.c'!$A$6:$K$66</definedName>
    <definedName name="_xlnm._FilterDatabase" localSheetId="20" hidden="1">'4'!$A$15:$L$23</definedName>
    <definedName name="_xlnm._FilterDatabase" localSheetId="21" hidden="1">'4.1-ĐT'!$A$8:$J$249</definedName>
    <definedName name="_xlnm._FilterDatabase" localSheetId="26" hidden="1">'4.1-SN'!$A$6:$L$47</definedName>
    <definedName name="_xlnm._FilterDatabase" localSheetId="22" hidden="1">'4.2'!$A$5:$H$33</definedName>
    <definedName name="_xlnm._FilterDatabase" localSheetId="27" hidden="1">'5'!$A$9:$J$66</definedName>
    <definedName name="_xlnm._FilterDatabase" localSheetId="28" hidden="1">'5.1-DT'!$A$7:$H$7</definedName>
    <definedName name="_xlnm._FilterDatabase" localSheetId="29" hidden="1">'5.1-SN'!$A$6:$I$51</definedName>
    <definedName name="_xlnm._FilterDatabase" localSheetId="30" hidden="1">'5-2.A'!$A$7:$I$45</definedName>
    <definedName name="_xlnm._FilterDatabase" localSheetId="32" hidden="1">'5-3'!$A$6:$I$152</definedName>
    <definedName name="_xlnm._FilterDatabase" localSheetId="33" hidden="1">'5-4'!$A$6:$M$126</definedName>
    <definedName name="_xlnm._FilterDatabase" localSheetId="34" hidden="1">'6'!$A$9:$J$21</definedName>
    <definedName name="_xlnm._FilterDatabase" localSheetId="35" hidden="1">'6 ĐT'!$A$7:$H$125</definedName>
    <definedName name="_xlnm._FilterDatabase" localSheetId="36" hidden="1">'6 SN'!$A$6:$V$339</definedName>
    <definedName name="_xlnm._FilterDatabase" localSheetId="37" hidden="1">'7'!$A$9:$L$23</definedName>
    <definedName name="_xlnm._FilterDatabase" localSheetId="38" hidden="1">'7-ĐT'!$A$7:$I$24</definedName>
    <definedName name="_xlnm._FilterDatabase" localSheetId="39" hidden="1">'7-SN'!$A$6:$M$74</definedName>
    <definedName name="_xlnm._FilterDatabase" localSheetId="41" hidden="1">'8 SN'!$A$6:$I$673</definedName>
    <definedName name="_xlnm._FilterDatabase" localSheetId="42" hidden="1">'9'!$A$9:$J$114</definedName>
    <definedName name="_xlnm._FilterDatabase" localSheetId="43" hidden="1">'9.1-ĐT'!$A$9:$I$91</definedName>
    <definedName name="_xlnm._FilterDatabase" localSheetId="44" hidden="1">'9.1-SN'!$A$7:$M$168</definedName>
    <definedName name="_xlnm._FilterDatabase" localSheetId="45" hidden="1">'9.2-SN'!$A$7:$WVD$150</definedName>
    <definedName name="_xlnm._FilterDatabase" localSheetId="7" hidden="1">'Chi tiết GN'!$A$8:$J$8</definedName>
    <definedName name="_xlnm._FilterDatabase" localSheetId="8" hidden="1">'TH 88 Theo DV(NQ)'!$A$9:$Q$40</definedName>
    <definedName name="_xlnm._FilterDatabase" localSheetId="9" hidden="1">'TH 88(NQ)'!$A$8:$R$238</definedName>
    <definedName name="_gon4" localSheetId="7">#REF!</definedName>
    <definedName name="_gon4" localSheetId="51">#REF!</definedName>
    <definedName name="_gon4" localSheetId="50">#REF!</definedName>
    <definedName name="_gon4">#REF!</definedName>
    <definedName name="_hom2" localSheetId="51">#REF!</definedName>
    <definedName name="_hom2" localSheetId="50">#REF!</definedName>
    <definedName name="_hom2">#REF!</definedName>
    <definedName name="_Key1" localSheetId="51" hidden="1">#REF!</definedName>
    <definedName name="_Key1" localSheetId="50" hidden="1">#REF!</definedName>
    <definedName name="_Key1" hidden="1">#REF!</definedName>
    <definedName name="_Key2" localSheetId="51" hidden="1">#REF!</definedName>
    <definedName name="_Key2" localSheetId="50" hidden="1">#REF!</definedName>
    <definedName name="_Key2" hidden="1">#REF!</definedName>
    <definedName name="_km03" localSheetId="7" hidden="1">{"'Sheet1'!$L$16"}</definedName>
    <definedName name="_km03" localSheetId="6" hidden="1">{"'Sheet1'!$L$16"}</definedName>
    <definedName name="_km03" localSheetId="3" hidden="1">{"'Sheet1'!$L$16"}</definedName>
    <definedName name="_km03" hidden="1">{"'Sheet1'!$L$16"}</definedName>
    <definedName name="_KM188" localSheetId="51">#REF!</definedName>
    <definedName name="_KM188" localSheetId="50">#REF!</definedName>
    <definedName name="_KM188">#REF!</definedName>
    <definedName name="_km189" localSheetId="51">#REF!</definedName>
    <definedName name="_km189" localSheetId="50">#REF!</definedName>
    <definedName name="_km189">#REF!</definedName>
    <definedName name="_km190" localSheetId="51">#REF!</definedName>
    <definedName name="_km190" localSheetId="50">#REF!</definedName>
    <definedName name="_km190">#REF!</definedName>
    <definedName name="_km191" localSheetId="51">#REF!</definedName>
    <definedName name="_km191" localSheetId="50">#REF!</definedName>
    <definedName name="_km191">#REF!</definedName>
    <definedName name="_km192" localSheetId="51">#REF!</definedName>
    <definedName name="_km192" localSheetId="50">#REF!</definedName>
    <definedName name="_km192">#REF!</definedName>
    <definedName name="_km193" localSheetId="51">#REF!</definedName>
    <definedName name="_km193" localSheetId="50">#REF!</definedName>
    <definedName name="_km193">#REF!</definedName>
    <definedName name="_km194" localSheetId="51">#REF!</definedName>
    <definedName name="_km194" localSheetId="50">#REF!</definedName>
    <definedName name="_km194">#REF!</definedName>
    <definedName name="_km195" localSheetId="51">#REF!</definedName>
    <definedName name="_km195" localSheetId="50">#REF!</definedName>
    <definedName name="_km195">#REF!</definedName>
    <definedName name="_km196" localSheetId="51">#REF!</definedName>
    <definedName name="_km196" localSheetId="50">#REF!</definedName>
    <definedName name="_km196">#REF!</definedName>
    <definedName name="_km197" localSheetId="51">#REF!</definedName>
    <definedName name="_km197" localSheetId="50">#REF!</definedName>
    <definedName name="_km197">#REF!</definedName>
    <definedName name="_km198" localSheetId="51">#REF!</definedName>
    <definedName name="_km198" localSheetId="50">#REF!</definedName>
    <definedName name="_km198">#REF!</definedName>
    <definedName name="_lap1" localSheetId="51">#REF!</definedName>
    <definedName name="_lap1" localSheetId="50">#REF!</definedName>
    <definedName name="_lap1">#REF!</definedName>
    <definedName name="_lap2" localSheetId="51">#REF!</definedName>
    <definedName name="_lap2" localSheetId="50">#REF!</definedName>
    <definedName name="_lap2">#REF!</definedName>
    <definedName name="_MAC12" localSheetId="51">#REF!</definedName>
    <definedName name="_MAC12" localSheetId="50">#REF!</definedName>
    <definedName name="_MAC12">#REF!</definedName>
    <definedName name="_MAC46" localSheetId="51">#REF!</definedName>
    <definedName name="_MAC46" localSheetId="50">#REF!</definedName>
    <definedName name="_MAC46">#REF!</definedName>
    <definedName name="_NC100" localSheetId="51">#REF!</definedName>
    <definedName name="_NC100" localSheetId="50">#REF!</definedName>
    <definedName name="_NC100">#REF!</definedName>
    <definedName name="_nc150" localSheetId="51">#REF!</definedName>
    <definedName name="_nc150" localSheetId="50">#REF!</definedName>
    <definedName name="_nc150">#REF!</definedName>
    <definedName name="_NC200" localSheetId="51">#REF!</definedName>
    <definedName name="_NC200" localSheetId="50">#REF!</definedName>
    <definedName name="_NC200">#REF!</definedName>
    <definedName name="_nc50" localSheetId="51">#REF!</definedName>
    <definedName name="_nc50" localSheetId="50">#REF!</definedName>
    <definedName name="_nc50">#REF!</definedName>
    <definedName name="_NCL100" localSheetId="51">#REF!</definedName>
    <definedName name="_NCL100" localSheetId="50">#REF!</definedName>
    <definedName name="_NCL100">#REF!</definedName>
    <definedName name="_NCL200" localSheetId="51">#REF!</definedName>
    <definedName name="_NCL200" localSheetId="50">#REF!</definedName>
    <definedName name="_NCL200">#REF!</definedName>
    <definedName name="_NCL250" localSheetId="51">#REF!</definedName>
    <definedName name="_NCL250" localSheetId="50">#REF!</definedName>
    <definedName name="_NCL250">#REF!</definedName>
    <definedName name="_NCO150" localSheetId="51">#REF!</definedName>
    <definedName name="_NCO150" localSheetId="50">#REF!</definedName>
    <definedName name="_NCO150">#REF!</definedName>
    <definedName name="_NCO200" localSheetId="51">#REF!</definedName>
    <definedName name="_NCO200" localSheetId="50">#REF!</definedName>
    <definedName name="_NCO200">#REF!</definedName>
    <definedName name="_NCO50" localSheetId="51">#REF!</definedName>
    <definedName name="_NCO50" localSheetId="50">#REF!</definedName>
    <definedName name="_NCO50">#REF!</definedName>
    <definedName name="_NET2" localSheetId="51">#REF!</definedName>
    <definedName name="_NET2" localSheetId="50">#REF!</definedName>
    <definedName name="_NET2">#REF!</definedName>
    <definedName name="_nin190" localSheetId="51">#REF!</definedName>
    <definedName name="_nin190" localSheetId="50">#REF!</definedName>
    <definedName name="_nin190">#REF!</definedName>
    <definedName name="_Order1" hidden="1">255</definedName>
    <definedName name="_Order2" hidden="1">255</definedName>
    <definedName name="_RHH1" localSheetId="7">#REF!</definedName>
    <definedName name="_RHH1" localSheetId="51">#REF!</definedName>
    <definedName name="_RHH1" localSheetId="50">#REF!</definedName>
    <definedName name="_RHH1">#REF!</definedName>
    <definedName name="_RHH10" localSheetId="7">#REF!</definedName>
    <definedName name="_RHH10" localSheetId="51">#REF!</definedName>
    <definedName name="_RHH10" localSheetId="50">#REF!</definedName>
    <definedName name="_RHH10">#REF!</definedName>
    <definedName name="_RHP1" localSheetId="7">#REF!</definedName>
    <definedName name="_RHP1" localSheetId="51">#REF!</definedName>
    <definedName name="_RHP1" localSheetId="50">#REF!</definedName>
    <definedName name="_RHP1">#REF!</definedName>
    <definedName name="_RHP10" localSheetId="51">#REF!</definedName>
    <definedName name="_RHP10" localSheetId="50">#REF!</definedName>
    <definedName name="_RHP10">#REF!</definedName>
    <definedName name="_RI1" localSheetId="51">#REF!</definedName>
    <definedName name="_RI1" localSheetId="50">#REF!</definedName>
    <definedName name="_RI1">#REF!</definedName>
    <definedName name="_RI10" localSheetId="51">#REF!</definedName>
    <definedName name="_RI10" localSheetId="50">#REF!</definedName>
    <definedName name="_RI10">#REF!</definedName>
    <definedName name="_RII1" localSheetId="51">#REF!</definedName>
    <definedName name="_RII1" localSheetId="50">#REF!</definedName>
    <definedName name="_RII1">#REF!</definedName>
    <definedName name="_RII10" localSheetId="51">#REF!</definedName>
    <definedName name="_RII10" localSheetId="50">#REF!</definedName>
    <definedName name="_RII10">#REF!</definedName>
    <definedName name="_RIP1" localSheetId="51">#REF!</definedName>
    <definedName name="_RIP1" localSheetId="50">#REF!</definedName>
    <definedName name="_RIP1">#REF!</definedName>
    <definedName name="_RIP10" localSheetId="51">#REF!</definedName>
    <definedName name="_RIP10" localSheetId="50">#REF!</definedName>
    <definedName name="_RIP10">#REF!</definedName>
    <definedName name="_Sat27" localSheetId="51">#REF!</definedName>
    <definedName name="_Sat27" localSheetId="50">#REF!</definedName>
    <definedName name="_Sat27">#REF!</definedName>
    <definedName name="_Sat6" localSheetId="51">#REF!</definedName>
    <definedName name="_Sat6" localSheetId="50">#REF!</definedName>
    <definedName name="_Sat6">#REF!</definedName>
    <definedName name="_sc1" localSheetId="51">#REF!</definedName>
    <definedName name="_sc1" localSheetId="50">#REF!</definedName>
    <definedName name="_sc1">#REF!</definedName>
    <definedName name="_SC2" localSheetId="51">#REF!</definedName>
    <definedName name="_SC2" localSheetId="50">#REF!</definedName>
    <definedName name="_SC2">#REF!</definedName>
    <definedName name="_sc3" localSheetId="51">#REF!</definedName>
    <definedName name="_sc3" localSheetId="50">#REF!</definedName>
    <definedName name="_sc3">#REF!</definedName>
    <definedName name="_SN3" localSheetId="51">#REF!</definedName>
    <definedName name="_SN3" localSheetId="50">#REF!</definedName>
    <definedName name="_SN3">#REF!</definedName>
    <definedName name="_Sort" localSheetId="51" hidden="1">#REF!</definedName>
    <definedName name="_Sort" localSheetId="50" hidden="1">#REF!</definedName>
    <definedName name="_Sort" hidden="1">#REF!</definedName>
    <definedName name="_sua20" localSheetId="51">#REF!</definedName>
    <definedName name="_sua20" localSheetId="50">#REF!</definedName>
    <definedName name="_sua20">#REF!</definedName>
    <definedName name="_sua30" localSheetId="51">#REF!</definedName>
    <definedName name="_sua30" localSheetId="50">#REF!</definedName>
    <definedName name="_sua30">#REF!</definedName>
    <definedName name="_TL1" localSheetId="51">#REF!</definedName>
    <definedName name="_TL1" localSheetId="50">#REF!</definedName>
    <definedName name="_TL1">#REF!</definedName>
    <definedName name="_TL2" localSheetId="51">#REF!</definedName>
    <definedName name="_TL2" localSheetId="50">#REF!</definedName>
    <definedName name="_TL2">#REF!</definedName>
    <definedName name="_TL3" localSheetId="51">#REF!</definedName>
    <definedName name="_TL3" localSheetId="50">#REF!</definedName>
    <definedName name="_TL3">#REF!</definedName>
    <definedName name="_TLA120" localSheetId="51">#REF!</definedName>
    <definedName name="_TLA120" localSheetId="50">#REF!</definedName>
    <definedName name="_TLA120">#REF!</definedName>
    <definedName name="_TLA35" localSheetId="51">#REF!</definedName>
    <definedName name="_TLA35" localSheetId="50">#REF!</definedName>
    <definedName name="_TLA35">#REF!</definedName>
    <definedName name="_TLA50" localSheetId="51">#REF!</definedName>
    <definedName name="_TLA50" localSheetId="50">#REF!</definedName>
    <definedName name="_TLA50">#REF!</definedName>
    <definedName name="_TLA70" localSheetId="51">#REF!</definedName>
    <definedName name="_TLA70" localSheetId="50">#REF!</definedName>
    <definedName name="_TLA70">#REF!</definedName>
    <definedName name="_TLA95" localSheetId="51">#REF!</definedName>
    <definedName name="_TLA95" localSheetId="50">#REF!</definedName>
    <definedName name="_TLA95">#REF!</definedName>
    <definedName name="_tz593" localSheetId="51">#REF!</definedName>
    <definedName name="_tz593" localSheetId="50">#REF!</definedName>
    <definedName name="_tz593">#REF!</definedName>
    <definedName name="_TH1" localSheetId="51">#REF!</definedName>
    <definedName name="_TH1" localSheetId="50">#REF!</definedName>
    <definedName name="_TH1">#REF!</definedName>
    <definedName name="_TH2" localSheetId="51">#REF!</definedName>
    <definedName name="_TH2" localSheetId="50">#REF!</definedName>
    <definedName name="_TH2">#REF!</definedName>
    <definedName name="_TH3" localSheetId="51">#REF!</definedName>
    <definedName name="_TH3" localSheetId="50">#REF!</definedName>
    <definedName name="_TH3">#REF!</definedName>
    <definedName name="_vc1" localSheetId="51">#REF!</definedName>
    <definedName name="_vc1" localSheetId="50">#REF!</definedName>
    <definedName name="_vc1">#REF!</definedName>
    <definedName name="_vc2" localSheetId="51">#REF!</definedName>
    <definedName name="_vc2" localSheetId="50">#REF!</definedName>
    <definedName name="_vc2">#REF!</definedName>
    <definedName name="_vc3" localSheetId="51">#REF!</definedName>
    <definedName name="_vc3" localSheetId="50">#REF!</definedName>
    <definedName name="_vc3">#REF!</definedName>
    <definedName name="_VL100" localSheetId="51">#REF!</definedName>
    <definedName name="_VL100" localSheetId="50">#REF!</definedName>
    <definedName name="_VL100">#REF!</definedName>
    <definedName name="_vl150" localSheetId="51">#REF!</definedName>
    <definedName name="_vl150" localSheetId="50">#REF!</definedName>
    <definedName name="_vl150">#REF!</definedName>
    <definedName name="_VL200" localSheetId="51">#REF!</definedName>
    <definedName name="_VL200" localSheetId="50">#REF!</definedName>
    <definedName name="_VL200">#REF!</definedName>
    <definedName name="_VL250" localSheetId="51">#REF!</definedName>
    <definedName name="_VL250" localSheetId="50">#REF!</definedName>
    <definedName name="_VL250">#REF!</definedName>
    <definedName name="_vl50" localSheetId="51">#REF!</definedName>
    <definedName name="_vl50" localSheetId="50">#REF!</definedName>
    <definedName name="_vl50">#REF!</definedName>
    <definedName name="_VLI150" localSheetId="51">#REF!</definedName>
    <definedName name="_VLI150" localSheetId="50">#REF!</definedName>
    <definedName name="_VLI150">#REF!</definedName>
    <definedName name="_VLI200" localSheetId="51">#REF!</definedName>
    <definedName name="_VLI200" localSheetId="50">#REF!</definedName>
    <definedName name="_VLI200">#REF!</definedName>
    <definedName name="_VLI50" localSheetId="51">#REF!</definedName>
    <definedName name="_VLI50" localSheetId="50">#REF!</definedName>
    <definedName name="_VLI50">#REF!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120_" localSheetId="7">#REF!</definedName>
    <definedName name="A120_" localSheetId="51">#REF!</definedName>
    <definedName name="A120_" localSheetId="50">#REF!</definedName>
    <definedName name="A120_">#REF!</definedName>
    <definedName name="a277Print_Titles" localSheetId="7">#REF!</definedName>
    <definedName name="a277Print_Titles" localSheetId="51">#REF!</definedName>
    <definedName name="a277Print_Titles" localSheetId="50">#REF!</definedName>
    <definedName name="a277Print_Titles">#REF!</definedName>
    <definedName name="A35_" localSheetId="7">#REF!</definedName>
    <definedName name="A35_" localSheetId="51">#REF!</definedName>
    <definedName name="A35_" localSheetId="50">#REF!</definedName>
    <definedName name="A35_">#REF!</definedName>
    <definedName name="A50_" localSheetId="51">#REF!</definedName>
    <definedName name="A50_" localSheetId="50">#REF!</definedName>
    <definedName name="A50_">#REF!</definedName>
    <definedName name="A70_" localSheetId="51">#REF!</definedName>
    <definedName name="A70_" localSheetId="50">#REF!</definedName>
    <definedName name="A70_">#REF!</definedName>
    <definedName name="A95_" localSheetId="51">#REF!</definedName>
    <definedName name="A95_" localSheetId="50">#REF!</definedName>
    <definedName name="A95_">#REF!</definedName>
    <definedName name="AA" localSheetId="51">#REF!</definedName>
    <definedName name="AA" localSheetId="50">#REF!</definedName>
    <definedName name="AA">#REF!</definedName>
    <definedName name="AC120_" localSheetId="51">#REF!</definedName>
    <definedName name="AC120_" localSheetId="50">#REF!</definedName>
    <definedName name="AC120_">#REF!</definedName>
    <definedName name="AC35_" localSheetId="51">#REF!</definedName>
    <definedName name="AC35_" localSheetId="50">#REF!</definedName>
    <definedName name="AC35_">#REF!</definedName>
    <definedName name="AC50_" localSheetId="51">#REF!</definedName>
    <definedName name="AC50_" localSheetId="50">#REF!</definedName>
    <definedName name="AC50_">#REF!</definedName>
    <definedName name="AC70_" localSheetId="51">#REF!</definedName>
    <definedName name="AC70_" localSheetId="50">#REF!</definedName>
    <definedName name="AC70_">#REF!</definedName>
    <definedName name="AC95_" localSheetId="51">#REF!</definedName>
    <definedName name="AC95_" localSheetId="50">#REF!</definedName>
    <definedName name="AC95_">#REF!</definedName>
    <definedName name="Address" localSheetId="51">#REF!</definedName>
    <definedName name="Address" localSheetId="50">#REF!</definedName>
    <definedName name="Address">#REF!</definedName>
    <definedName name="ADEQ" localSheetId="51">#REF!</definedName>
    <definedName name="ADEQ" localSheetId="50">#REF!</definedName>
    <definedName name="ADEQ">#REF!</definedName>
    <definedName name="ag15F80" localSheetId="51">#REF!</definedName>
    <definedName name="ag15F80" localSheetId="50">#REF!</definedName>
    <definedName name="ag15F80">#REF!</definedName>
    <definedName name="All_Item" localSheetId="51">#REF!</definedName>
    <definedName name="All_Item" localSheetId="50">#REF!</definedName>
    <definedName name="All_Item">#REF!</definedName>
    <definedName name="ALPIN">#N/A</definedName>
    <definedName name="ALPJYOU">#N/A</definedName>
    <definedName name="ALPTOI">#N/A</definedName>
    <definedName name="b60x" localSheetId="7">#REF!</definedName>
    <definedName name="b60x" localSheetId="51">#REF!</definedName>
    <definedName name="b60x" localSheetId="50">#REF!</definedName>
    <definedName name="b60x">#REF!</definedName>
    <definedName name="b80x" localSheetId="7">#REF!</definedName>
    <definedName name="b80x" localSheetId="51">#REF!</definedName>
    <definedName name="b80x" localSheetId="50">#REF!</definedName>
    <definedName name="b80x">#REF!</definedName>
    <definedName name="bac3.5">12971</definedName>
    <definedName name="bac3.7">13180</definedName>
    <definedName name="bac4.5">14925</definedName>
    <definedName name="BanQLDA" localSheetId="51">#REF!</definedName>
    <definedName name="BanQLDA" localSheetId="50">#REF!</definedName>
    <definedName name="BanQLDA">#REF!</definedName>
    <definedName name="Bang_cly" localSheetId="7">#REF!</definedName>
    <definedName name="Bang_cly" localSheetId="51">#REF!</definedName>
    <definedName name="Bang_cly" localSheetId="50">#REF!</definedName>
    <definedName name="Bang_cly">#REF!</definedName>
    <definedName name="Bang_CVC" localSheetId="7">#REF!</definedName>
    <definedName name="Bang_CVC" localSheetId="51">#REF!</definedName>
    <definedName name="Bang_CVC" localSheetId="50">#REF!</definedName>
    <definedName name="Bang_CVC">#REF!</definedName>
    <definedName name="bang_gia" localSheetId="7">#REF!</definedName>
    <definedName name="bang_gia" localSheetId="51">#REF!</definedName>
    <definedName name="bang_gia" localSheetId="50">#REF!</definedName>
    <definedName name="bang_gia">#REF!</definedName>
    <definedName name="Bang_travl" localSheetId="51">#REF!</definedName>
    <definedName name="Bang_travl" localSheetId="50">#REF!</definedName>
    <definedName name="Bang_travl">#REF!</definedName>
    <definedName name="BarData" localSheetId="51">#REF!</definedName>
    <definedName name="BarData" localSheetId="50">#REF!</definedName>
    <definedName name="BarData">#REF!</definedName>
    <definedName name="BB" localSheetId="51">#REF!</definedName>
    <definedName name="BB" localSheetId="50">#REF!</definedName>
    <definedName name="BB">#REF!</definedName>
    <definedName name="Book2" localSheetId="51">#REF!</definedName>
    <definedName name="Book2" localSheetId="50">#REF!</definedName>
    <definedName name="Book2">#REF!</definedName>
    <definedName name="BOQ" localSheetId="51">#REF!</definedName>
    <definedName name="BOQ" localSheetId="50">#REF!</definedName>
    <definedName name="BOQ">#REF!</definedName>
    <definedName name="bp" localSheetId="51">#REF!</definedName>
    <definedName name="bp" localSheetId="50">#REF!</definedName>
    <definedName name="bp">#REF!</definedName>
    <definedName name="BT" localSheetId="51">#REF!</definedName>
    <definedName name="BT" localSheetId="50">#REF!</definedName>
    <definedName name="BT">#REF!</definedName>
    <definedName name="BT_A1" localSheetId="51">#REF!</definedName>
    <definedName name="BT_A1" localSheetId="50">#REF!</definedName>
    <definedName name="BT_A1">#REF!</definedName>
    <definedName name="BT_A2.1" localSheetId="51">#REF!</definedName>
    <definedName name="BT_A2.1" localSheetId="50">#REF!</definedName>
    <definedName name="BT_A2.1">#REF!</definedName>
    <definedName name="BT_A2.2" localSheetId="51">#REF!</definedName>
    <definedName name="BT_A2.2" localSheetId="50">#REF!</definedName>
    <definedName name="BT_A2.2">#REF!</definedName>
    <definedName name="BT_B1" localSheetId="51">#REF!</definedName>
    <definedName name="BT_B1" localSheetId="50">#REF!</definedName>
    <definedName name="BT_B1">#REF!</definedName>
    <definedName name="BT_B2" localSheetId="51">#REF!</definedName>
    <definedName name="BT_B2" localSheetId="50">#REF!</definedName>
    <definedName name="BT_B2">#REF!</definedName>
    <definedName name="BT_C1" localSheetId="51">#REF!</definedName>
    <definedName name="BT_C1" localSheetId="50">#REF!</definedName>
    <definedName name="BT_C1">#REF!</definedName>
    <definedName name="BT_loai_A2.1" localSheetId="51">#REF!</definedName>
    <definedName name="BT_loai_A2.1" localSheetId="50">#REF!</definedName>
    <definedName name="BT_loai_A2.1">#REF!</definedName>
    <definedName name="BT_P1" localSheetId="51">#REF!</definedName>
    <definedName name="BT_P1" localSheetId="50">#REF!</definedName>
    <definedName name="BT_P1">#REF!</definedName>
    <definedName name="btcocM400" localSheetId="51">#REF!</definedName>
    <definedName name="btcocM400" localSheetId="50">#REF!</definedName>
    <definedName name="btcocM400">#REF!</definedName>
    <definedName name="BTcot" localSheetId="51">#REF!</definedName>
    <definedName name="BTcot" localSheetId="50">#REF!</definedName>
    <definedName name="BTcot">#REF!</definedName>
    <definedName name="Btcot1" localSheetId="51">#REF!</definedName>
    <definedName name="Btcot1" localSheetId="50">#REF!</definedName>
    <definedName name="Btcot1">#REF!</definedName>
    <definedName name="btchiuaxitm300" localSheetId="51">#REF!</definedName>
    <definedName name="btchiuaxitm300" localSheetId="50">#REF!</definedName>
    <definedName name="btchiuaxitm300">#REF!</definedName>
    <definedName name="BTchiuaxm200" localSheetId="51">#REF!</definedName>
    <definedName name="BTchiuaxm200" localSheetId="50">#REF!</definedName>
    <definedName name="BTchiuaxm200">#REF!</definedName>
    <definedName name="BTlotm100" localSheetId="51">#REF!</definedName>
    <definedName name="BTlotm100" localSheetId="50">#REF!</definedName>
    <definedName name="BTlotm100">#REF!</definedName>
    <definedName name="bùc" localSheetId="7">{"Book1","Dt tonghop.xls"}</definedName>
    <definedName name="bùc" localSheetId="6">{"Book1","Dt tonghop.xls"}</definedName>
    <definedName name="bùc" localSheetId="3">{"Book1","Dt tonghop.xls"}</definedName>
    <definedName name="bùc">{"Book1","Dt tonghop.xls"}</definedName>
    <definedName name="buoc" localSheetId="7">#REF!</definedName>
    <definedName name="buoc" localSheetId="51">#REF!</definedName>
    <definedName name="buoc" localSheetId="50">#REF!</definedName>
    <definedName name="buoc">#REF!</definedName>
    <definedName name="Bust" localSheetId="7">#REF!</definedName>
    <definedName name="Bust" localSheetId="51">#REF!</definedName>
    <definedName name="Bust" localSheetId="50">#REF!</definedName>
    <definedName name="Bust">#REF!</definedName>
    <definedName name="BVCISUMMARY" localSheetId="7">#REF!</definedName>
    <definedName name="BVCISUMMARY" localSheetId="51">#REF!</definedName>
    <definedName name="BVCISUMMARY" localSheetId="50">#REF!</definedName>
    <definedName name="BVCISUMMARY">#REF!</definedName>
    <definedName name="C.1.1..Phat_tuyen" localSheetId="51">#REF!</definedName>
    <definedName name="C.1.1..Phat_tuyen" localSheetId="50">#REF!</definedName>
    <definedName name="C.1.1..Phat_tuyen">#REF!</definedName>
    <definedName name="C.1.10..VC_Thu_cong_CG" localSheetId="51">#REF!</definedName>
    <definedName name="C.1.10..VC_Thu_cong_CG" localSheetId="50">#REF!</definedName>
    <definedName name="C.1.10..VC_Thu_cong_CG">#REF!</definedName>
    <definedName name="C.1.2..Chat_cay_thu_cong" localSheetId="51">#REF!</definedName>
    <definedName name="C.1.2..Chat_cay_thu_cong" localSheetId="50">#REF!</definedName>
    <definedName name="C.1.2..Chat_cay_thu_cong">#REF!</definedName>
    <definedName name="C.1.3..Chat_cay_may" localSheetId="51">#REF!</definedName>
    <definedName name="C.1.3..Chat_cay_may" localSheetId="50">#REF!</definedName>
    <definedName name="C.1.3..Chat_cay_may">#REF!</definedName>
    <definedName name="C.1.4..Dao_goc_cay" localSheetId="51">#REF!</definedName>
    <definedName name="C.1.4..Dao_goc_cay" localSheetId="50">#REF!</definedName>
    <definedName name="C.1.4..Dao_goc_cay">#REF!</definedName>
    <definedName name="C.1.5..Lam_duong_tam" localSheetId="51">#REF!</definedName>
    <definedName name="C.1.5..Lam_duong_tam" localSheetId="50">#REF!</definedName>
    <definedName name="C.1.5..Lam_duong_tam">#REF!</definedName>
    <definedName name="C.1.6..Lam_cau_tam" localSheetId="51">#REF!</definedName>
    <definedName name="C.1.6..Lam_cau_tam" localSheetId="50">#REF!</definedName>
    <definedName name="C.1.6..Lam_cau_tam">#REF!</definedName>
    <definedName name="C.1.7..Rai_da_chong_lun" localSheetId="51">#REF!</definedName>
    <definedName name="C.1.7..Rai_da_chong_lun" localSheetId="50">#REF!</definedName>
    <definedName name="C.1.7..Rai_da_chong_lun">#REF!</definedName>
    <definedName name="C.1.8..Lam_kho_tam" localSheetId="51">#REF!</definedName>
    <definedName name="C.1.8..Lam_kho_tam" localSheetId="50">#REF!</definedName>
    <definedName name="C.1.8..Lam_kho_tam">#REF!</definedName>
    <definedName name="C.1.8..San_mat_bang" localSheetId="51">#REF!</definedName>
    <definedName name="C.1.8..San_mat_bang" localSheetId="50">#REF!</definedName>
    <definedName name="C.1.8..San_mat_bang">#REF!</definedName>
    <definedName name="C.2.1..VC_Thu_cong" localSheetId="51">#REF!</definedName>
    <definedName name="C.2.1..VC_Thu_cong" localSheetId="50">#REF!</definedName>
    <definedName name="C.2.1..VC_Thu_cong">#REF!</definedName>
    <definedName name="C.2.2..VC_T_cong_CG" localSheetId="51">#REF!</definedName>
    <definedName name="C.2.2..VC_T_cong_CG" localSheetId="50">#REF!</definedName>
    <definedName name="C.2.2..VC_T_cong_CG">#REF!</definedName>
    <definedName name="C.2.3..Boc_do" localSheetId="51">#REF!</definedName>
    <definedName name="C.2.3..Boc_do" localSheetId="50">#REF!</definedName>
    <definedName name="C.2.3..Boc_do">#REF!</definedName>
    <definedName name="C.3.1..Dao_dat_mong_cot" localSheetId="51">#REF!</definedName>
    <definedName name="C.3.1..Dao_dat_mong_cot" localSheetId="50">#REF!</definedName>
    <definedName name="C.3.1..Dao_dat_mong_cot">#REF!</definedName>
    <definedName name="C.3.2..Dao_dat_de_dap" localSheetId="51">#REF!</definedName>
    <definedName name="C.3.2..Dao_dat_de_dap" localSheetId="50">#REF!</definedName>
    <definedName name="C.3.2..Dao_dat_de_dap">#REF!</definedName>
    <definedName name="C.3.3..Dap_dat_mong" localSheetId="51">#REF!</definedName>
    <definedName name="C.3.3..Dap_dat_mong" localSheetId="50">#REF!</definedName>
    <definedName name="C.3.3..Dap_dat_mong">#REF!</definedName>
    <definedName name="C.3.4..Dao_dap_TDia" localSheetId="51">#REF!</definedName>
    <definedName name="C.3.4..Dao_dap_TDia" localSheetId="50">#REF!</definedName>
    <definedName name="C.3.4..Dao_dap_TDia">#REF!</definedName>
    <definedName name="C.3.5..Dap_bo_bao" localSheetId="51">#REF!</definedName>
    <definedName name="C.3.5..Dap_bo_bao" localSheetId="50">#REF!</definedName>
    <definedName name="C.3.5..Dap_bo_bao">#REF!</definedName>
    <definedName name="C.3.6..Bom_tat_nuoc" localSheetId="51">#REF!</definedName>
    <definedName name="C.3.6..Bom_tat_nuoc" localSheetId="50">#REF!</definedName>
    <definedName name="C.3.6..Bom_tat_nuoc">#REF!</definedName>
    <definedName name="C.3.7..Dao_bun" localSheetId="51">#REF!</definedName>
    <definedName name="C.3.7..Dao_bun" localSheetId="50">#REF!</definedName>
    <definedName name="C.3.7..Dao_bun">#REF!</definedName>
    <definedName name="C.3.8..Dap_cat_CT" localSheetId="51">#REF!</definedName>
    <definedName name="C.3.8..Dap_cat_CT" localSheetId="50">#REF!</definedName>
    <definedName name="C.3.8..Dap_cat_CT">#REF!</definedName>
    <definedName name="C.3.9..Dao_pha_da" localSheetId="51">#REF!</definedName>
    <definedName name="C.3.9..Dao_pha_da" localSheetId="50">#REF!</definedName>
    <definedName name="C.3.9..Dao_pha_da">#REF!</definedName>
    <definedName name="C.4.1.Cot_thep" localSheetId="51">#REF!</definedName>
    <definedName name="C.4.1.Cot_thep" localSheetId="50">#REF!</definedName>
    <definedName name="C.4.1.Cot_thep">#REF!</definedName>
    <definedName name="C.4.2..Van_khuon" localSheetId="51">#REF!</definedName>
    <definedName name="C.4.2..Van_khuon" localSheetId="50">#REF!</definedName>
    <definedName name="C.4.2..Van_khuon">#REF!</definedName>
    <definedName name="C.4.3..Be_tong" localSheetId="51">#REF!</definedName>
    <definedName name="C.4.3..Be_tong" localSheetId="50">#REF!</definedName>
    <definedName name="C.4.3..Be_tong">#REF!</definedName>
    <definedName name="C.4.4..Lap_BT_D.San" localSheetId="51">#REF!</definedName>
    <definedName name="C.4.4..Lap_BT_D.San" localSheetId="50">#REF!</definedName>
    <definedName name="C.4.4..Lap_BT_D.San">#REF!</definedName>
    <definedName name="C.4.5..Xay_da_hoc" localSheetId="51">#REF!</definedName>
    <definedName name="C.4.5..Xay_da_hoc" localSheetId="50">#REF!</definedName>
    <definedName name="C.4.5..Xay_da_hoc">#REF!</definedName>
    <definedName name="C.4.6..Dong_coc" localSheetId="51">#REF!</definedName>
    <definedName name="C.4.6..Dong_coc" localSheetId="50">#REF!</definedName>
    <definedName name="C.4.6..Dong_coc">#REF!</definedName>
    <definedName name="C.4.7..Quet_Bi_tum" localSheetId="51">#REF!</definedName>
    <definedName name="C.4.7..Quet_Bi_tum" localSheetId="50">#REF!</definedName>
    <definedName name="C.4.7..Quet_Bi_tum">#REF!</definedName>
    <definedName name="C.5.1..Lap_cot_thep" localSheetId="51">#REF!</definedName>
    <definedName name="C.5.1..Lap_cot_thep" localSheetId="50">#REF!</definedName>
    <definedName name="C.5.1..Lap_cot_thep">#REF!</definedName>
    <definedName name="C.5.2..Lap_cot_BT" localSheetId="51">#REF!</definedName>
    <definedName name="C.5.2..Lap_cot_BT" localSheetId="50">#REF!</definedName>
    <definedName name="C.5.2..Lap_cot_BT">#REF!</definedName>
    <definedName name="C.5.3..Lap_dat_xa" localSheetId="51">#REF!</definedName>
    <definedName name="C.5.3..Lap_dat_xa" localSheetId="50">#REF!</definedName>
    <definedName name="C.5.3..Lap_dat_xa">#REF!</definedName>
    <definedName name="C.5.4..Lap_tiep_dia" localSheetId="51">#REF!</definedName>
    <definedName name="C.5.4..Lap_tiep_dia" localSheetId="50">#REF!</definedName>
    <definedName name="C.5.4..Lap_tiep_dia">#REF!</definedName>
    <definedName name="C.5.5..Son_sat_thep" localSheetId="51">#REF!</definedName>
    <definedName name="C.5.5..Son_sat_thep" localSheetId="50">#REF!</definedName>
    <definedName name="C.5.5..Son_sat_thep">#REF!</definedName>
    <definedName name="C.6.1..Lap_su_dung" localSheetId="51">#REF!</definedName>
    <definedName name="C.6.1..Lap_su_dung" localSheetId="50">#REF!</definedName>
    <definedName name="C.6.1..Lap_su_dung">#REF!</definedName>
    <definedName name="C.6.2..Lap_su_CS" localSheetId="51">#REF!</definedName>
    <definedName name="C.6.2..Lap_su_CS" localSheetId="50">#REF!</definedName>
    <definedName name="C.6.2..Lap_su_CS">#REF!</definedName>
    <definedName name="C.6.3..Su_chuoi_do" localSheetId="51">#REF!</definedName>
    <definedName name="C.6.3..Su_chuoi_do" localSheetId="50">#REF!</definedName>
    <definedName name="C.6.3..Su_chuoi_do">#REF!</definedName>
    <definedName name="C.6.4..Su_chuoi_neo" localSheetId="51">#REF!</definedName>
    <definedName name="C.6.4..Su_chuoi_neo" localSheetId="50">#REF!</definedName>
    <definedName name="C.6.4..Su_chuoi_neo">#REF!</definedName>
    <definedName name="C.6.5..Lap_phu_kien" localSheetId="51">#REF!</definedName>
    <definedName name="C.6.5..Lap_phu_kien" localSheetId="50">#REF!</definedName>
    <definedName name="C.6.5..Lap_phu_kien">#REF!</definedName>
    <definedName name="C.6.6..Ep_noi_day" localSheetId="51">#REF!</definedName>
    <definedName name="C.6.6..Ep_noi_day" localSheetId="50">#REF!</definedName>
    <definedName name="C.6.6..Ep_noi_day">#REF!</definedName>
    <definedName name="C.6.7..KD_vuot_CN" localSheetId="51">#REF!</definedName>
    <definedName name="C.6.7..KD_vuot_CN" localSheetId="50">#REF!</definedName>
    <definedName name="C.6.7..KD_vuot_CN">#REF!</definedName>
    <definedName name="C.6.8..Rai_cang_day" localSheetId="51">#REF!</definedName>
    <definedName name="C.6.8..Rai_cang_day" localSheetId="50">#REF!</definedName>
    <definedName name="C.6.8..Rai_cang_day">#REF!</definedName>
    <definedName name="C.6.9..Cap_quang" localSheetId="51">#REF!</definedName>
    <definedName name="C.6.9..Cap_quang" localSheetId="50">#REF!</definedName>
    <definedName name="C.6.9..Cap_quang">#REF!</definedName>
    <definedName name="C_" localSheetId="51">#REF!</definedName>
    <definedName name="C_" localSheetId="50">#REF!</definedName>
    <definedName name="C_">#REF!</definedName>
    <definedName name="cácte" localSheetId="51">#REF!</definedName>
    <definedName name="cácte" localSheetId="50">#REF!</definedName>
    <definedName name="cácte">#REF!</definedName>
    <definedName name="Cap_DUL_doc_B" localSheetId="51">#REF!</definedName>
    <definedName name="Cap_DUL_doc_B" localSheetId="50">#REF!</definedName>
    <definedName name="Cap_DUL_doc_B">#REF!</definedName>
    <definedName name="CAP_DUL_ngang_B" localSheetId="51">#REF!</definedName>
    <definedName name="CAP_DUL_ngang_B" localSheetId="50">#REF!</definedName>
    <definedName name="CAP_DUL_ngang_B">#REF!</definedName>
    <definedName name="capphoi" localSheetId="51">#REF!</definedName>
    <definedName name="capphoi" localSheetId="50">#REF!</definedName>
    <definedName name="capphoi">#REF!</definedName>
    <definedName name="Cat" localSheetId="51">#REF!</definedName>
    <definedName name="Cat" localSheetId="50">#REF!</definedName>
    <definedName name="Cat">#REF!</definedName>
    <definedName name="Category_All" localSheetId="51">#REF!</definedName>
    <definedName name="Category_All" localSheetId="50">#REF!</definedName>
    <definedName name="Category_All">#REF!</definedName>
    <definedName name="CATIN">#N/A</definedName>
    <definedName name="CATJYOU">#N/A</definedName>
    <definedName name="catm" localSheetId="7">#REF!</definedName>
    <definedName name="catm" localSheetId="51">#REF!</definedName>
    <definedName name="catm" localSheetId="50">#REF!</definedName>
    <definedName name="catm">#REF!</definedName>
    <definedName name="catn" localSheetId="7">#REF!</definedName>
    <definedName name="catn" localSheetId="51">#REF!</definedName>
    <definedName name="catn" localSheetId="50">#REF!</definedName>
    <definedName name="catn">#REF!</definedName>
    <definedName name="CATSYU">#N/A</definedName>
    <definedName name="CATREC">#N/A</definedName>
    <definedName name="CauCong2" localSheetId="7">#REF!</definedName>
    <definedName name="CauCong2" localSheetId="51">#REF!</definedName>
    <definedName name="CauCong2" localSheetId="50">#REF!</definedName>
    <definedName name="CauCong2">#REF!</definedName>
    <definedName name="CauCong3" localSheetId="7">#REF!</definedName>
    <definedName name="CauCong3" localSheetId="51">#REF!</definedName>
    <definedName name="CauCong3" localSheetId="50">#REF!</definedName>
    <definedName name="CauCong3">#REF!</definedName>
    <definedName name="CauCong4" localSheetId="7">#REF!</definedName>
    <definedName name="CauCong4" localSheetId="51">#REF!</definedName>
    <definedName name="CauCong4" localSheetId="50">#REF!</definedName>
    <definedName name="CauCong4">#REF!</definedName>
    <definedName name="CauCong5" localSheetId="51">#REF!</definedName>
    <definedName name="CauCong5" localSheetId="50">#REF!</definedName>
    <definedName name="CauCong5">#REF!</definedName>
    <definedName name="CC" localSheetId="51">#REF!</definedName>
    <definedName name="CC" localSheetId="50">#REF!</definedName>
    <definedName name="CC">#REF!</definedName>
    <definedName name="CCS" localSheetId="51">#REF!</definedName>
    <definedName name="CCS" localSheetId="50">#REF!</definedName>
    <definedName name="CCS">#REF!</definedName>
    <definedName name="cd" localSheetId="51">#REF!</definedName>
    <definedName name="cd" localSheetId="50">#REF!</definedName>
    <definedName name="cd">#REF!</definedName>
    <definedName name="CDD" localSheetId="51">#REF!</definedName>
    <definedName name="CDD" localSheetId="50">#REF!</definedName>
    <definedName name="CDD">#REF!</definedName>
    <definedName name="Cdnum" localSheetId="51">#REF!</definedName>
    <definedName name="Cdnum" localSheetId="50">#REF!</definedName>
    <definedName name="Cdnum">#REF!</definedName>
    <definedName name="cfc" localSheetId="51">#REF!</definedName>
    <definedName name="cfc" localSheetId="50">#REF!</definedName>
    <definedName name="cfc">#REF!</definedName>
    <definedName name="cfk" localSheetId="51">#REF!</definedName>
    <definedName name="cfk" localSheetId="50">#REF!</definedName>
    <definedName name="cfk">#REF!</definedName>
    <definedName name="City" localSheetId="7">#REF!</definedName>
    <definedName name="City" localSheetId="51">#REF!</definedName>
    <definedName name="City" localSheetId="50">#REF!</definedName>
    <definedName name="City">#REF!</definedName>
    <definedName name="CK" localSheetId="7">#REF!</definedName>
    <definedName name="CK" localSheetId="51">#REF!</definedName>
    <definedName name="CK" localSheetId="50">#REF!</definedName>
    <definedName name="CK">#REF!</definedName>
    <definedName name="CLVC3">0.1</definedName>
    <definedName name="CLVCTB" localSheetId="7">#REF!</definedName>
    <definedName name="CLVCTB" localSheetId="51">#REF!</definedName>
    <definedName name="CLVCTB" localSheetId="50">#REF!</definedName>
    <definedName name="CLVCTB">#REF!</definedName>
    <definedName name="CLVL" localSheetId="51">#REF!</definedName>
    <definedName name="CLVL" localSheetId="50">#REF!</definedName>
    <definedName name="CLVL">#REF!</definedName>
    <definedName name="CNC" localSheetId="51">#REF!</definedName>
    <definedName name="CNC" localSheetId="50">#REF!</definedName>
    <definedName name="CNC">#REF!</definedName>
    <definedName name="CND" localSheetId="51">#REF!</definedName>
    <definedName name="CND" localSheetId="50">#REF!</definedName>
    <definedName name="CND">#REF!</definedName>
    <definedName name="cne" localSheetId="51">#REF!</definedName>
    <definedName name="cne" localSheetId="50">#REF!</definedName>
    <definedName name="cne">#REF!</definedName>
    <definedName name="CNG" localSheetId="51">#REF!</definedName>
    <definedName name="CNG" localSheetId="50">#REF!</definedName>
    <definedName name="CNG">#REF!</definedName>
    <definedName name="COC_1.2" localSheetId="51">#REF!</definedName>
    <definedName name="COC_1.2" localSheetId="50">#REF!</definedName>
    <definedName name="COC_1.2">#REF!</definedName>
    <definedName name="Coc_2m" localSheetId="51">#REF!</definedName>
    <definedName name="Coc_2m" localSheetId="50">#REF!</definedName>
    <definedName name="Coc_2m">#REF!</definedName>
    <definedName name="Code" localSheetId="51" hidden="1">#REF!</definedName>
    <definedName name="Code" localSheetId="50" hidden="1">#REF!</definedName>
    <definedName name="Code" hidden="1">#REF!</definedName>
    <definedName name="Cöï_ly_vaän_chuyeãn" localSheetId="51">#REF!</definedName>
    <definedName name="Cöï_ly_vaän_chuyeãn" localSheetId="50">#REF!</definedName>
    <definedName name="Cöï_ly_vaän_chuyeãn">#REF!</definedName>
    <definedName name="CÖÏ_LY_VAÄN_CHUYEÅN" localSheetId="51">#REF!</definedName>
    <definedName name="CÖÏ_LY_VAÄN_CHUYEÅN" localSheetId="50">#REF!</definedName>
    <definedName name="CÖÏ_LY_VAÄN_CHUYEÅN">#REF!</definedName>
    <definedName name="COMMON" localSheetId="51">#REF!</definedName>
    <definedName name="COMMON" localSheetId="50">#REF!</definedName>
    <definedName name="COMMON">#REF!</definedName>
    <definedName name="Company" localSheetId="51">#REF!</definedName>
    <definedName name="Company" localSheetId="50">#REF!</definedName>
    <definedName name="Company">#REF!</definedName>
    <definedName name="CON_EQP_COS" localSheetId="51">#REF!</definedName>
    <definedName name="CON_EQP_COS" localSheetId="50">#REF!</definedName>
    <definedName name="CON_EQP_COS">#REF!</definedName>
    <definedName name="CON_EQP_COST" localSheetId="51">#REF!</definedName>
    <definedName name="CON_EQP_COST" localSheetId="50">#REF!</definedName>
    <definedName name="CON_EQP_COST">#REF!</definedName>
    <definedName name="CONST_EQ" localSheetId="51">#REF!</definedName>
    <definedName name="CONST_EQ" localSheetId="50">#REF!</definedName>
    <definedName name="CONST_EQ">#REF!</definedName>
    <definedName name="Continue" localSheetId="51">#REF!</definedName>
    <definedName name="Continue" localSheetId="50">#REF!</definedName>
    <definedName name="Continue">#REF!</definedName>
    <definedName name="Cong_HM_DTCT" localSheetId="51">#REF!</definedName>
    <definedName name="Cong_HM_DTCT" localSheetId="50">#REF!</definedName>
    <definedName name="Cong_HM_DTCT">#REF!</definedName>
    <definedName name="Cong_M_DTCT" localSheetId="51">#REF!</definedName>
    <definedName name="Cong_M_DTCT" localSheetId="50">#REF!</definedName>
    <definedName name="Cong_M_DTCT">#REF!</definedName>
    <definedName name="Cong_NC_DTCT" localSheetId="51">#REF!</definedName>
    <definedName name="Cong_NC_DTCT" localSheetId="50">#REF!</definedName>
    <definedName name="Cong_NC_DTCT">#REF!</definedName>
    <definedName name="Cong_VL_DTCT" localSheetId="51">#REF!</definedName>
    <definedName name="Cong_VL_DTCT" localSheetId="50">#REF!</definedName>
    <definedName name="Cong_VL_DTCT">#REF!</definedName>
    <definedName name="cot7.5" localSheetId="51">#REF!</definedName>
    <definedName name="cot7.5" localSheetId="50">#REF!</definedName>
    <definedName name="cot7.5">#REF!</definedName>
    <definedName name="cot8.5" localSheetId="51">#REF!</definedName>
    <definedName name="cot8.5" localSheetId="50">#REF!</definedName>
    <definedName name="cot8.5">#REF!</definedName>
    <definedName name="Country" localSheetId="51">#REF!</definedName>
    <definedName name="Country" localSheetId="50">#REF!</definedName>
    <definedName name="Country">#REF!</definedName>
    <definedName name="COVER" localSheetId="51">#REF!</definedName>
    <definedName name="COVER" localSheetId="50">#REF!</definedName>
    <definedName name="COVER">#REF!</definedName>
    <definedName name="CPC" localSheetId="51">#REF!</definedName>
    <definedName name="CPC" localSheetId="50">#REF!</definedName>
    <definedName name="CPC">#REF!</definedName>
    <definedName name="CPVC100" localSheetId="51">#REF!</definedName>
    <definedName name="CPVC100" localSheetId="50">#REF!</definedName>
    <definedName name="CPVC100">#REF!</definedName>
    <definedName name="cphoi" localSheetId="51">#REF!</definedName>
    <definedName name="cphoi" localSheetId="50">#REF!</definedName>
    <definedName name="cphoi">#REF!</definedName>
    <definedName name="CRD" localSheetId="51">#REF!</definedName>
    <definedName name="CRD" localSheetId="50">#REF!</definedName>
    <definedName name="CRD">#REF!</definedName>
    <definedName name="CRIT1" localSheetId="51">#REF!</definedName>
    <definedName name="CRIT1" localSheetId="50">#REF!</definedName>
    <definedName name="CRIT1">#REF!</definedName>
    <definedName name="CRIT10" localSheetId="51">#REF!</definedName>
    <definedName name="CRIT10" localSheetId="50">#REF!</definedName>
    <definedName name="CRIT10">#REF!</definedName>
    <definedName name="CRIT2" localSheetId="51">#REF!</definedName>
    <definedName name="CRIT2" localSheetId="50">#REF!</definedName>
    <definedName name="CRIT2">#REF!</definedName>
    <definedName name="CRIT3" localSheetId="51">#REF!</definedName>
    <definedName name="CRIT3" localSheetId="50">#REF!</definedName>
    <definedName name="CRIT3">#REF!</definedName>
    <definedName name="CRIT4" localSheetId="51">#REF!</definedName>
    <definedName name="CRIT4" localSheetId="50">#REF!</definedName>
    <definedName name="CRIT4">#REF!</definedName>
    <definedName name="CRIT5" localSheetId="51">#REF!</definedName>
    <definedName name="CRIT5" localSheetId="50">#REF!</definedName>
    <definedName name="CRIT5">#REF!</definedName>
    <definedName name="CRIT6" localSheetId="51">#REF!</definedName>
    <definedName name="CRIT6" localSheetId="50">#REF!</definedName>
    <definedName name="CRIT6">#REF!</definedName>
    <definedName name="CRIT7" localSheetId="51">#REF!</definedName>
    <definedName name="CRIT7" localSheetId="50">#REF!</definedName>
    <definedName name="CRIT7">#REF!</definedName>
    <definedName name="CRIT8" localSheetId="51">#REF!</definedName>
    <definedName name="CRIT8" localSheetId="50">#REF!</definedName>
    <definedName name="CRIT8">#REF!</definedName>
    <definedName name="CRIT9" localSheetId="51">#REF!</definedName>
    <definedName name="CRIT9" localSheetId="50">#REF!</definedName>
    <definedName name="CRIT9">#REF!</definedName>
    <definedName name="CRITINST" localSheetId="51">#REF!</definedName>
    <definedName name="CRITINST" localSheetId="50">#REF!</definedName>
    <definedName name="CRITINST">#REF!</definedName>
    <definedName name="CRITPURC" localSheetId="51">#REF!</definedName>
    <definedName name="CRITPURC" localSheetId="50">#REF!</definedName>
    <definedName name="CRITPURC">#REF!</definedName>
    <definedName name="CRS" localSheetId="51">#REF!</definedName>
    <definedName name="CRS" localSheetId="50">#REF!</definedName>
    <definedName name="CRS">#REF!</definedName>
    <definedName name="CS" localSheetId="51">#REF!</definedName>
    <definedName name="CS" localSheetId="50">#REF!</definedName>
    <definedName name="CS">#REF!</definedName>
    <definedName name="CS_10" localSheetId="51">#REF!</definedName>
    <definedName name="CS_10" localSheetId="50">#REF!</definedName>
    <definedName name="CS_10">#REF!</definedName>
    <definedName name="CS_100" localSheetId="51">#REF!</definedName>
    <definedName name="CS_100" localSheetId="50">#REF!</definedName>
    <definedName name="CS_100">#REF!</definedName>
    <definedName name="CS_10S" localSheetId="51">#REF!</definedName>
    <definedName name="CS_10S" localSheetId="50">#REF!</definedName>
    <definedName name="CS_10S">#REF!</definedName>
    <definedName name="CS_120" localSheetId="51">#REF!</definedName>
    <definedName name="CS_120" localSheetId="50">#REF!</definedName>
    <definedName name="CS_120">#REF!</definedName>
    <definedName name="CS_140" localSheetId="51">#REF!</definedName>
    <definedName name="CS_140" localSheetId="50">#REF!</definedName>
    <definedName name="CS_140">#REF!</definedName>
    <definedName name="CS_160" localSheetId="51">#REF!</definedName>
    <definedName name="CS_160" localSheetId="50">#REF!</definedName>
    <definedName name="CS_160">#REF!</definedName>
    <definedName name="CS_20" localSheetId="51">#REF!</definedName>
    <definedName name="CS_20" localSheetId="50">#REF!</definedName>
    <definedName name="CS_20">#REF!</definedName>
    <definedName name="CS_30" localSheetId="51">#REF!</definedName>
    <definedName name="CS_30" localSheetId="50">#REF!</definedName>
    <definedName name="CS_30">#REF!</definedName>
    <definedName name="CS_40" localSheetId="51">#REF!</definedName>
    <definedName name="CS_40" localSheetId="50">#REF!</definedName>
    <definedName name="CS_40">#REF!</definedName>
    <definedName name="CS_40S" localSheetId="51">#REF!</definedName>
    <definedName name="CS_40S" localSheetId="50">#REF!</definedName>
    <definedName name="CS_40S">#REF!</definedName>
    <definedName name="CS_5S" localSheetId="51">#REF!</definedName>
    <definedName name="CS_5S" localSheetId="50">#REF!</definedName>
    <definedName name="CS_5S">#REF!</definedName>
    <definedName name="CS_60" localSheetId="51">#REF!</definedName>
    <definedName name="CS_60" localSheetId="50">#REF!</definedName>
    <definedName name="CS_60">#REF!</definedName>
    <definedName name="CS_80" localSheetId="51">#REF!</definedName>
    <definedName name="CS_80" localSheetId="50">#REF!</definedName>
    <definedName name="CS_80">#REF!</definedName>
    <definedName name="CS_80S" localSheetId="51">#REF!</definedName>
    <definedName name="CS_80S" localSheetId="50">#REF!</definedName>
    <definedName name="CS_80S">#REF!</definedName>
    <definedName name="CS_STD" localSheetId="51">#REF!</definedName>
    <definedName name="CS_STD" localSheetId="50">#REF!</definedName>
    <definedName name="CS_STD">#REF!</definedName>
    <definedName name="CS_XS" localSheetId="51">#REF!</definedName>
    <definedName name="CS_XS" localSheetId="50">#REF!</definedName>
    <definedName name="CS_XS">#REF!</definedName>
    <definedName name="CS_XXS" localSheetId="51">#REF!</definedName>
    <definedName name="CS_XXS" localSheetId="50">#REF!</definedName>
    <definedName name="CS_XXS">#REF!</definedName>
    <definedName name="csd3p" localSheetId="51">#REF!</definedName>
    <definedName name="csd3p" localSheetId="50">#REF!</definedName>
    <definedName name="csd3p">#REF!</definedName>
    <definedName name="csddg1p" localSheetId="51">#REF!</definedName>
    <definedName name="csddg1p" localSheetId="50">#REF!</definedName>
    <definedName name="csddg1p">#REF!</definedName>
    <definedName name="csddt1p" localSheetId="51">#REF!</definedName>
    <definedName name="csddt1p" localSheetId="50">#REF!</definedName>
    <definedName name="csddt1p">#REF!</definedName>
    <definedName name="csht3p" localSheetId="51">#REF!</definedName>
    <definedName name="csht3p" localSheetId="50">#REF!</definedName>
    <definedName name="csht3p">#REF!</definedName>
    <definedName name="CT" localSheetId="51">#REF!</definedName>
    <definedName name="CT" localSheetId="50">#REF!</definedName>
    <definedName name="CT">#REF!</definedName>
    <definedName name="CT_KSTK" localSheetId="51">#REF!</definedName>
    <definedName name="CT_KSTK" localSheetId="50">#REF!</definedName>
    <definedName name="CT_KSTK">#REF!</definedName>
    <definedName name="CT0.4" localSheetId="51">#REF!</definedName>
    <definedName name="CT0.4" localSheetId="50">#REF!</definedName>
    <definedName name="CT0.4">#REF!</definedName>
    <definedName name="CTCT" localSheetId="51">#REF!</definedName>
    <definedName name="CTCT" localSheetId="50">#REF!</definedName>
    <definedName name="CTCT">#REF!</definedName>
    <definedName name="CTGT2" localSheetId="51">#REF!</definedName>
    <definedName name="CTGT2" localSheetId="50">#REF!</definedName>
    <definedName name="CTGT2">#REF!</definedName>
    <definedName name="CTGT3" localSheetId="51">#REF!</definedName>
    <definedName name="CTGT3" localSheetId="50">#REF!</definedName>
    <definedName name="CTGT3">#REF!</definedName>
    <definedName name="CTGT4" localSheetId="51">#REF!</definedName>
    <definedName name="CTGT4" localSheetId="50">#REF!</definedName>
    <definedName name="CTGT4">#REF!</definedName>
    <definedName name="CTGT5" localSheetId="51">#REF!</definedName>
    <definedName name="CTGT5" localSheetId="50">#REF!</definedName>
    <definedName name="CTGT5">#REF!</definedName>
    <definedName name="ctiep" localSheetId="51">#REF!</definedName>
    <definedName name="ctiep" localSheetId="50">#REF!</definedName>
    <definedName name="ctiep">#REF!</definedName>
    <definedName name="CU_LY" localSheetId="51">#REF!</definedName>
    <definedName name="CU_LY" localSheetId="50">#REF!</definedName>
    <definedName name="CU_LY">#REF!</definedName>
    <definedName name="cun" localSheetId="51">#REF!</definedName>
    <definedName name="cun" localSheetId="50">#REF!</definedName>
    <definedName name="cun">#REF!</definedName>
    <definedName name="cuoc_vc" localSheetId="51">#REF!</definedName>
    <definedName name="cuoc_vc" localSheetId="50">#REF!</definedName>
    <definedName name="cuoc_vc">#REF!</definedName>
    <definedName name="cuoc89" localSheetId="51">#REF!</definedName>
    <definedName name="cuoc89" localSheetId="50">#REF!</definedName>
    <definedName name="cuoc89">#REF!</definedName>
    <definedName name="CURRENCY" localSheetId="51">#REF!</definedName>
    <definedName name="CURRENCY" localSheetId="50">#REF!</definedName>
    <definedName name="CURRENCY">#REF!</definedName>
    <definedName name="CX" localSheetId="51">#REF!</definedName>
    <definedName name="CX" localSheetId="50">#REF!</definedName>
    <definedName name="CX">#REF!</definedName>
    <definedName name="chon" localSheetId="51">#REF!</definedName>
    <definedName name="chon" localSheetId="50">#REF!</definedName>
    <definedName name="chon">#REF!</definedName>
    <definedName name="chon1" localSheetId="51">#REF!</definedName>
    <definedName name="chon1" localSheetId="50">#REF!</definedName>
    <definedName name="chon1">#REF!</definedName>
    <definedName name="chon2" localSheetId="51">#REF!</definedName>
    <definedName name="chon2" localSheetId="50">#REF!</definedName>
    <definedName name="chon2">#REF!</definedName>
    <definedName name="chon3" localSheetId="51">#REF!</definedName>
    <definedName name="chon3" localSheetId="50">#REF!</definedName>
    <definedName name="chon3">#REF!</definedName>
    <definedName name="chung">66</definedName>
    <definedName name="D_7101A_B" localSheetId="51">#REF!</definedName>
    <definedName name="D_7101A_B" localSheetId="50">#REF!</definedName>
    <definedName name="D_7101A_B">#REF!</definedName>
    <definedName name="D_L" localSheetId="51">#REF!</definedName>
    <definedName name="D_L" localSheetId="50">#REF!</definedName>
    <definedName name="D_L">#REF!</definedName>
    <definedName name="da" localSheetId="51">#REF!</definedName>
    <definedName name="da" localSheetId="50">#REF!</definedName>
    <definedName name="da">#REF!</definedName>
    <definedName name="dah" localSheetId="51">#REF!</definedName>
    <definedName name="dah" localSheetId="50">#REF!</definedName>
    <definedName name="dah">#REF!</definedName>
    <definedName name="dahoc" localSheetId="51">#REF!</definedName>
    <definedName name="dahoc" localSheetId="50">#REF!</definedName>
    <definedName name="dahoc">#REF!</definedName>
    <definedName name="DAKT" localSheetId="51">#REF!</definedName>
    <definedName name="DAKT" localSheetId="50">#REF!</definedName>
    <definedName name="DAKT">#REF!</definedName>
    <definedName name="dam">78000</definedName>
    <definedName name="dao" localSheetId="7">#REF!</definedName>
    <definedName name="dao" localSheetId="51">#REF!</definedName>
    <definedName name="dao" localSheetId="50">#REF!</definedName>
    <definedName name="dao">#REF!</definedName>
    <definedName name="DAO_DAT" localSheetId="51">#REF!</definedName>
    <definedName name="DAO_DAT" localSheetId="50">#REF!</definedName>
    <definedName name="DAO_DAT">#REF!</definedName>
    <definedName name="dap" localSheetId="51">#REF!</definedName>
    <definedName name="dap" localSheetId="50">#REF!</definedName>
    <definedName name="dap">#REF!</definedName>
    <definedName name="DAT" localSheetId="51">#REF!</definedName>
    <definedName name="DAT" localSheetId="50">#REF!</definedName>
    <definedName name="DAT">#REF!</definedName>
    <definedName name="data" localSheetId="51">#REF!</definedName>
    <definedName name="data" localSheetId="50">#REF!</definedName>
    <definedName name="data">#REF!</definedName>
    <definedName name="data1" localSheetId="51" hidden="1">#REF!</definedName>
    <definedName name="data1" localSheetId="50" hidden="1">#REF!</definedName>
    <definedName name="data1" hidden="1">#REF!</definedName>
    <definedName name="Data11" localSheetId="51">#REF!</definedName>
    <definedName name="Data11" localSheetId="50">#REF!</definedName>
    <definedName name="Data11">#REF!</definedName>
    <definedName name="data2" localSheetId="51" hidden="1">#REF!</definedName>
    <definedName name="data2" localSheetId="50" hidden="1">#REF!</definedName>
    <definedName name="data2" hidden="1">#REF!</definedName>
    <definedName name="data3" localSheetId="51" hidden="1">#REF!</definedName>
    <definedName name="data3" localSheetId="50" hidden="1">#REF!</definedName>
    <definedName name="data3" hidden="1">#REF!</definedName>
    <definedName name="Data41" localSheetId="51">#REF!</definedName>
    <definedName name="Data41" localSheetId="50">#REF!</definedName>
    <definedName name="Data41">#REF!</definedName>
    <definedName name="_xlnm.Database" localSheetId="51">#REF!</definedName>
    <definedName name="_xlnm.Database" localSheetId="50">#REF!</definedName>
    <definedName name="_xlnm.Database">#REF!</definedName>
    <definedName name="DBASE" localSheetId="51">#REF!</definedName>
    <definedName name="DBASE" localSheetId="50">#REF!</definedName>
    <definedName name="DBASE">#REF!</definedName>
    <definedName name="DBT" localSheetId="51">#REF!</definedName>
    <definedName name="DBT" localSheetId="50">#REF!</definedName>
    <definedName name="DBT">#REF!</definedName>
    <definedName name="DÇm_33" localSheetId="51">#REF!</definedName>
    <definedName name="DÇm_33" localSheetId="50">#REF!</definedName>
    <definedName name="DÇm_33">#REF!</definedName>
    <definedName name="DD" localSheetId="51">#REF!</definedName>
    <definedName name="DD" localSheetId="50">#REF!</definedName>
    <definedName name="DD">#REF!</definedName>
    <definedName name="den_bu" localSheetId="51">#REF!</definedName>
    <definedName name="den_bu" localSheetId="50">#REF!</definedName>
    <definedName name="den_bu">#REF!</definedName>
    <definedName name="denbu" localSheetId="51">#REF!</definedName>
    <definedName name="denbu" localSheetId="50">#REF!</definedName>
    <definedName name="denbu">#REF!</definedName>
    <definedName name="Det32x3" localSheetId="51">#REF!</definedName>
    <definedName name="Det32x3" localSheetId="50">#REF!</definedName>
    <definedName name="Det32x3">#REF!</definedName>
    <definedName name="Det35x3" localSheetId="51">#REF!</definedName>
    <definedName name="Det35x3" localSheetId="50">#REF!</definedName>
    <definedName name="Det35x3">#REF!</definedName>
    <definedName name="Det40x4" localSheetId="51">#REF!</definedName>
    <definedName name="Det40x4" localSheetId="50">#REF!</definedName>
    <definedName name="Det40x4">#REF!</definedName>
    <definedName name="Det50x5" localSheetId="51">#REF!</definedName>
    <definedName name="Det50x5" localSheetId="50">#REF!</definedName>
    <definedName name="Det50x5">#REF!</definedName>
    <definedName name="Det63x6" localSheetId="51">#REF!</definedName>
    <definedName name="Det63x6" localSheetId="50">#REF!</definedName>
    <definedName name="Det63x6">#REF!</definedName>
    <definedName name="Det75x6" localSheetId="51">#REF!</definedName>
    <definedName name="Det75x6" localSheetId="50">#REF!</definedName>
    <definedName name="Det75x6">#REF!</definedName>
    <definedName name="df" localSheetId="51">#REF!</definedName>
    <definedName name="df" localSheetId="50">#REF!</definedName>
    <definedName name="df">#REF!</definedName>
    <definedName name="DGCTI592" localSheetId="51">#REF!</definedName>
    <definedName name="DGCTI592" localSheetId="50">#REF!</definedName>
    <definedName name="DGCTI592">#REF!</definedName>
    <definedName name="DGHSDT" localSheetId="51">#REF!</definedName>
    <definedName name="DGHSDT" localSheetId="50">#REF!</definedName>
    <definedName name="DGHSDT">#REF!</definedName>
    <definedName name="dgnc" localSheetId="51">#REF!</definedName>
    <definedName name="dgnc" localSheetId="50">#REF!</definedName>
    <definedName name="dgnc">#REF!</definedName>
    <definedName name="dgvl" localSheetId="51">#REF!</definedName>
    <definedName name="dgvl" localSheetId="50">#REF!</definedName>
    <definedName name="dgvl">#REF!</definedName>
    <definedName name="dhoc" localSheetId="51">#REF!</definedName>
    <definedName name="dhoc" localSheetId="50">#REF!</definedName>
    <definedName name="dhoc">#REF!</definedName>
    <definedName name="dhom" localSheetId="51">#REF!</definedName>
    <definedName name="dhom" localSheetId="50">#REF!</definedName>
    <definedName name="dhom">#REF!</definedName>
    <definedName name="dinh2" localSheetId="51">#REF!</definedName>
    <definedName name="dinh2" localSheetId="50">#REF!</definedName>
    <definedName name="dinh2">#REF!</definedName>
    <definedName name="Dinhmuc" localSheetId="51">#REF!</definedName>
    <definedName name="Dinhmuc" localSheetId="50">#REF!</definedName>
    <definedName name="Dinhmuc">#REF!</definedName>
    <definedName name="Discount" localSheetId="51" hidden="1">#REF!</definedName>
    <definedName name="Discount" localSheetId="50" hidden="1">#REF!</definedName>
    <definedName name="Discount" hidden="1">#REF!</definedName>
    <definedName name="display_area_2" localSheetId="51" hidden="1">#REF!</definedName>
    <definedName name="display_area_2" localSheetId="50" hidden="1">#REF!</definedName>
    <definedName name="display_area_2" hidden="1">#REF!</definedName>
    <definedName name="DLC" localSheetId="51">#REF!</definedName>
    <definedName name="DLC" localSheetId="50">#REF!</definedName>
    <definedName name="DLC">#REF!</definedName>
    <definedName name="DM" localSheetId="51">#REF!</definedName>
    <definedName name="DM" localSheetId="50">#REF!</definedName>
    <definedName name="DM">#REF!</definedName>
    <definedName name="DMTK" localSheetId="51">#REF!</definedName>
    <definedName name="DMTK" localSheetId="50">#REF!</definedName>
    <definedName name="DMTK">#REF!</definedName>
    <definedName name="DN" localSheetId="51">#REF!</definedName>
    <definedName name="DN" localSheetId="50">#REF!</definedName>
    <definedName name="DN">#REF!</definedName>
    <definedName name="DÑt45x4" localSheetId="51">#REF!</definedName>
    <definedName name="DÑt45x4" localSheetId="50">#REF!</definedName>
    <definedName name="DÑt45x4">#REF!</definedName>
    <definedName name="DoanI_2" localSheetId="51">#REF!</definedName>
    <definedName name="DoanI_2" localSheetId="50">#REF!</definedName>
    <definedName name="DoanI_2">#REF!</definedName>
    <definedName name="DoanII_2" localSheetId="51">#REF!</definedName>
    <definedName name="DoanII_2" localSheetId="50">#REF!</definedName>
    <definedName name="DoanII_2">#REF!</definedName>
    <definedName name="Document_array" localSheetId="7">{"QL 32 -TBGTI.xls","Sheet1"}</definedName>
    <definedName name="Document_array" localSheetId="6">{"QL 32 -TBGTI.xls","Sheet1"}</definedName>
    <definedName name="Document_array" localSheetId="3">{"QL 32 -TBGTI.xls","Sheet1"}</definedName>
    <definedName name="Document_array">{"QL 32 -TBGTI.xls","Sheet1"}</definedName>
    <definedName name="Documents_array" localSheetId="7">#REF!</definedName>
    <definedName name="Documents_array" localSheetId="51">#REF!</definedName>
    <definedName name="Documents_array" localSheetId="50">#REF!</definedName>
    <definedName name="Documents_array">#REF!</definedName>
    <definedName name="Dongia" localSheetId="7">#REF!</definedName>
    <definedName name="Dongia" localSheetId="51">#REF!</definedName>
    <definedName name="Dongia" localSheetId="50">#REF!</definedName>
    <definedName name="Dongia">#REF!</definedName>
    <definedName name="ds" localSheetId="7">#REF!</definedName>
    <definedName name="ds" localSheetId="51">#REF!</definedName>
    <definedName name="ds" localSheetId="50">#REF!</definedName>
    <definedName name="ds">#REF!</definedName>
    <definedName name="ds1pnc" localSheetId="51">#REF!</definedName>
    <definedName name="ds1pnc" localSheetId="50">#REF!</definedName>
    <definedName name="ds1pnc">#REF!</definedName>
    <definedName name="ds1pvl" localSheetId="51">#REF!</definedName>
    <definedName name="ds1pvl" localSheetId="50">#REF!</definedName>
    <definedName name="ds1pvl">#REF!</definedName>
    <definedName name="ds3pnc" localSheetId="51">#REF!</definedName>
    <definedName name="ds3pnc" localSheetId="50">#REF!</definedName>
    <definedName name="ds3pnc">#REF!</definedName>
    <definedName name="ds3pvl" localSheetId="51">#REF!</definedName>
    <definedName name="ds3pvl" localSheetId="50">#REF!</definedName>
    <definedName name="ds3pvl">#REF!</definedName>
    <definedName name="DSUMDATA" localSheetId="51">#REF!</definedName>
    <definedName name="DSUMDATA" localSheetId="50">#REF!</definedName>
    <definedName name="DSUMDATA">#REF!</definedName>
    <definedName name="DTKS" localSheetId="51">#REF!</definedName>
    <definedName name="DTKS" localSheetId="50">#REF!</definedName>
    <definedName name="DTKS">#REF!</definedName>
    <definedName name="DuongLoai1" localSheetId="51">#REF!</definedName>
    <definedName name="DuongLoai1" localSheetId="50">#REF!</definedName>
    <definedName name="DuongLoai1">#REF!</definedName>
    <definedName name="DuongLoai2" localSheetId="51">#REF!</definedName>
    <definedName name="DuongLoai2" localSheetId="50">#REF!</definedName>
    <definedName name="DuongLoai2">#REF!</definedName>
    <definedName name="DuongLoai3" localSheetId="51">#REF!</definedName>
    <definedName name="DuongLoai3" localSheetId="50">#REF!</definedName>
    <definedName name="DuongLoai3">#REF!</definedName>
    <definedName name="DuongLoai4" localSheetId="51">#REF!</definedName>
    <definedName name="DuongLoai4" localSheetId="50">#REF!</definedName>
    <definedName name="DuongLoai4">#REF!</definedName>
    <definedName name="DuongLoai5" localSheetId="51">#REF!</definedName>
    <definedName name="DuongLoai5" localSheetId="50">#REF!</definedName>
    <definedName name="DuongLoai5">#REF!</definedName>
    <definedName name="DUT" localSheetId="51">#REF!</definedName>
    <definedName name="DUT" localSheetId="50">#REF!</definedName>
    <definedName name="DUT">#REF!</definedName>
    <definedName name="DutoanDongmo" localSheetId="51">#REF!</definedName>
    <definedName name="DutoanDongmo" localSheetId="50">#REF!</definedName>
    <definedName name="DutoanDongmo">#REF!</definedName>
    <definedName name="Eb" localSheetId="51">#REF!</definedName>
    <definedName name="Eb" localSheetId="50">#REF!</definedName>
    <definedName name="Eb">#REF!</definedName>
    <definedName name="Ebdam" localSheetId="51">#REF!</definedName>
    <definedName name="Ebdam" localSheetId="50">#REF!</definedName>
    <definedName name="Ebdam">#REF!</definedName>
    <definedName name="Ecot1" localSheetId="51">#REF!</definedName>
    <definedName name="Ecot1" localSheetId="50">#REF!</definedName>
    <definedName name="Ecot1">#REF!</definedName>
    <definedName name="EDR" localSheetId="51">#REF!</definedName>
    <definedName name="EDR" localSheetId="50">#REF!</definedName>
    <definedName name="EDR">#REF!</definedName>
    <definedName name="Email" localSheetId="51">#REF!</definedName>
    <definedName name="Email" localSheetId="50">#REF!</definedName>
    <definedName name="Email">#REF!</definedName>
    <definedName name="emb" localSheetId="51">#REF!</definedName>
    <definedName name="emb" localSheetId="50">#REF!</definedName>
    <definedName name="emb">#REF!</definedName>
    <definedName name="end" localSheetId="51">#REF!</definedName>
    <definedName name="end" localSheetId="50">#REF!</definedName>
    <definedName name="end">#REF!</definedName>
    <definedName name="End_1" localSheetId="51">#REF!</definedName>
    <definedName name="End_1" localSheetId="50">#REF!</definedName>
    <definedName name="End_1">#REF!</definedName>
    <definedName name="End_10" localSheetId="51">#REF!</definedName>
    <definedName name="End_10" localSheetId="50">#REF!</definedName>
    <definedName name="End_10">#REF!</definedName>
    <definedName name="End_11" localSheetId="51">#REF!</definedName>
    <definedName name="End_11" localSheetId="50">#REF!</definedName>
    <definedName name="End_11">#REF!</definedName>
    <definedName name="End_12" localSheetId="51">#REF!</definedName>
    <definedName name="End_12" localSheetId="50">#REF!</definedName>
    <definedName name="End_12">#REF!</definedName>
    <definedName name="End_13" localSheetId="51">#REF!</definedName>
    <definedName name="End_13" localSheetId="50">#REF!</definedName>
    <definedName name="End_13">#REF!</definedName>
    <definedName name="End_2" localSheetId="51">#REF!</definedName>
    <definedName name="End_2" localSheetId="50">#REF!</definedName>
    <definedName name="End_2">#REF!</definedName>
    <definedName name="End_3" localSheetId="51">#REF!</definedName>
    <definedName name="End_3" localSheetId="50">#REF!</definedName>
    <definedName name="End_3">#REF!</definedName>
    <definedName name="End_4" localSheetId="51">#REF!</definedName>
    <definedName name="End_4" localSheetId="50">#REF!</definedName>
    <definedName name="End_4">#REF!</definedName>
    <definedName name="End_5" localSheetId="51">#REF!</definedName>
    <definedName name="End_5" localSheetId="50">#REF!</definedName>
    <definedName name="End_5">#REF!</definedName>
    <definedName name="End_6" localSheetId="51">#REF!</definedName>
    <definedName name="End_6" localSheetId="50">#REF!</definedName>
    <definedName name="End_6">#REF!</definedName>
    <definedName name="End_7" localSheetId="51">#REF!</definedName>
    <definedName name="End_7" localSheetId="50">#REF!</definedName>
    <definedName name="End_7">#REF!</definedName>
    <definedName name="End_8" localSheetId="51">#REF!</definedName>
    <definedName name="End_8" localSheetId="50">#REF!</definedName>
    <definedName name="End_8">#REF!</definedName>
    <definedName name="End_9" localSheetId="51">#REF!</definedName>
    <definedName name="End_9" localSheetId="50">#REF!</definedName>
    <definedName name="End_9">#REF!</definedName>
    <definedName name="EQI" localSheetId="51">#REF!</definedName>
    <definedName name="EQI" localSheetId="50">#REF!</definedName>
    <definedName name="EQI">#REF!</definedName>
    <definedName name="EVNB" localSheetId="51">#REF!</definedName>
    <definedName name="EVNB" localSheetId="50">#REF!</definedName>
    <definedName name="EVNB">#REF!</definedName>
    <definedName name="ex" localSheetId="51">#REF!</definedName>
    <definedName name="ex" localSheetId="50">#REF!</definedName>
    <definedName name="ex">#REF!</definedName>
    <definedName name="f" localSheetId="51">#REF!</definedName>
    <definedName name="f" localSheetId="50">#REF!</definedName>
    <definedName name="f">#REF!</definedName>
    <definedName name="f92F56" localSheetId="51">#REF!</definedName>
    <definedName name="f92F56" localSheetId="50">#REF!</definedName>
    <definedName name="f92F56">#REF!</definedName>
    <definedName name="FACTOR" localSheetId="51">#REF!</definedName>
    <definedName name="FACTOR" localSheetId="50">#REF!</definedName>
    <definedName name="FACTOR">#REF!</definedName>
    <definedName name="Fax" localSheetId="51">#REF!</definedName>
    <definedName name="Fax" localSheetId="50">#REF!</definedName>
    <definedName name="Fax">#REF!</definedName>
    <definedName name="fbsdggdsf" localSheetId="7">{"DZ-TDTB2.XLS","Dcksat.xls"}</definedName>
    <definedName name="fbsdggdsf" localSheetId="6">{"DZ-TDTB2.XLS","Dcksat.xls"}</definedName>
    <definedName name="fbsdggdsf" localSheetId="3">{"DZ-TDTB2.XLS","Dcksat.xls"}</definedName>
    <definedName name="fbsdggdsf">{"DZ-TDTB2.XLS","Dcksat.xls"}</definedName>
    <definedName name="FCode" localSheetId="7" hidden="1">#REF!</definedName>
    <definedName name="FCode" localSheetId="51" hidden="1">#REF!</definedName>
    <definedName name="FCode" localSheetId="50" hidden="1">#REF!</definedName>
    <definedName name="FCode" hidden="1">#REF!</definedName>
    <definedName name="FDR" localSheetId="7">#REF!</definedName>
    <definedName name="FDR" localSheetId="51">#REF!</definedName>
    <definedName name="FDR" localSheetId="50">#REF!</definedName>
    <definedName name="FDR">#REF!</definedName>
    <definedName name="fff" localSheetId="7" hidden="1">{"'Sheet1'!$L$16"}</definedName>
    <definedName name="fff" localSheetId="6" hidden="1">{"'Sheet1'!$L$16"}</definedName>
    <definedName name="fff" localSheetId="3" hidden="1">{"'Sheet1'!$L$16"}</definedName>
    <definedName name="fff" hidden="1">{"'Sheet1'!$L$16"}</definedName>
    <definedName name="fuji" localSheetId="51">#REF!</definedName>
    <definedName name="fuji" localSheetId="50">#REF!</definedName>
    <definedName name="fuji">#REF!</definedName>
    <definedName name="g" localSheetId="7" hidden="1">{"'Sheet1'!$L$16"}</definedName>
    <definedName name="g" localSheetId="6" hidden="1">{"'Sheet1'!$L$16"}</definedName>
    <definedName name="g" localSheetId="3" hidden="1">{"'Sheet1'!$L$16"}</definedName>
    <definedName name="g" hidden="1">{"'Sheet1'!$L$16"}</definedName>
    <definedName name="G_ME" localSheetId="51">#REF!</definedName>
    <definedName name="G_ME" localSheetId="50">#REF!</definedName>
    <definedName name="G_ME">#REF!</definedName>
    <definedName name="gach" localSheetId="51">#REF!</definedName>
    <definedName name="gach" localSheetId="50">#REF!</definedName>
    <definedName name="gach">#REF!</definedName>
    <definedName name="GAHT" localSheetId="51">#REF!</definedName>
    <definedName name="GAHT" localSheetId="50">#REF!</definedName>
    <definedName name="GAHT">#REF!</definedName>
    <definedName name="gama" localSheetId="51">#REF!</definedName>
    <definedName name="gama" localSheetId="50">#REF!</definedName>
    <definedName name="gama">#REF!</definedName>
    <definedName name="Gamadam" localSheetId="51">#REF!</definedName>
    <definedName name="Gamadam" localSheetId="50">#REF!</definedName>
    <definedName name="Gamadam">#REF!</definedName>
    <definedName name="GC_DN" localSheetId="51">#REF!</definedName>
    <definedName name="GC_DN" localSheetId="50">#REF!</definedName>
    <definedName name="GC_DN">#REF!</definedName>
    <definedName name="GC_HT" localSheetId="51">#REF!</definedName>
    <definedName name="GC_HT" localSheetId="50">#REF!</definedName>
    <definedName name="GC_HT">#REF!</definedName>
    <definedName name="GC_TD" localSheetId="51">#REF!</definedName>
    <definedName name="GC_TD" localSheetId="50">#REF!</definedName>
    <definedName name="GC_TD">#REF!</definedName>
    <definedName name="geo" localSheetId="51">#REF!</definedName>
    <definedName name="geo" localSheetId="50">#REF!</definedName>
    <definedName name="geo">#REF!</definedName>
    <definedName name="ghip" localSheetId="51">#REF!</definedName>
    <definedName name="ghip" localSheetId="50">#REF!</definedName>
    <definedName name="ghip">#REF!</definedName>
    <definedName name="gl3p" localSheetId="51">#REF!</definedName>
    <definedName name="gl3p" localSheetId="50">#REF!</definedName>
    <definedName name="gl3p">#REF!</definedName>
    <definedName name="Goc32x3" localSheetId="51">#REF!</definedName>
    <definedName name="Goc32x3" localSheetId="50">#REF!</definedName>
    <definedName name="Goc32x3">#REF!</definedName>
    <definedName name="Goc35x3" localSheetId="51">#REF!</definedName>
    <definedName name="Goc35x3" localSheetId="50">#REF!</definedName>
    <definedName name="Goc35x3">#REF!</definedName>
    <definedName name="Goc40x4" localSheetId="51">#REF!</definedName>
    <definedName name="Goc40x4" localSheetId="50">#REF!</definedName>
    <definedName name="Goc40x4">#REF!</definedName>
    <definedName name="Goc45x4" localSheetId="51">#REF!</definedName>
    <definedName name="Goc45x4" localSheetId="50">#REF!</definedName>
    <definedName name="Goc45x4">#REF!</definedName>
    <definedName name="Goc50x5" localSheetId="51">#REF!</definedName>
    <definedName name="Goc50x5" localSheetId="50">#REF!</definedName>
    <definedName name="Goc50x5">#REF!</definedName>
    <definedName name="Goc63x6" localSheetId="51">#REF!</definedName>
    <definedName name="Goc63x6" localSheetId="50">#REF!</definedName>
    <definedName name="Goc63x6">#REF!</definedName>
    <definedName name="Goc75x6" localSheetId="51">#REF!</definedName>
    <definedName name="Goc75x6" localSheetId="50">#REF!</definedName>
    <definedName name="Goc75x6">#REF!</definedName>
    <definedName name="govan" localSheetId="51">#REF!</definedName>
    <definedName name="govan" localSheetId="50">#REF!</definedName>
    <definedName name="govan">#REF!</definedName>
    <definedName name="Gtb" localSheetId="51">#REF!</definedName>
    <definedName name="Gtb" localSheetId="50">#REF!</definedName>
    <definedName name="Gtb">#REF!</definedName>
    <definedName name="gtbtt" localSheetId="51">#REF!</definedName>
    <definedName name="gtbtt" localSheetId="50">#REF!</definedName>
    <definedName name="gtbtt">#REF!</definedName>
    <definedName name="GTXL" localSheetId="51">#REF!</definedName>
    <definedName name="GTXL" localSheetId="50">#REF!</definedName>
    <definedName name="GTXL">#REF!</definedName>
    <definedName name="gvan" localSheetId="51">#REF!</definedName>
    <definedName name="gvan" localSheetId="50">#REF!</definedName>
    <definedName name="gvan">#REF!</definedName>
    <definedName name="Gxl" localSheetId="51">#REF!</definedName>
    <definedName name="Gxl" localSheetId="50">#REF!</definedName>
    <definedName name="Gxl">#REF!</definedName>
    <definedName name="gxltt" localSheetId="51">#REF!</definedName>
    <definedName name="gxltt" localSheetId="50">#REF!</definedName>
    <definedName name="gxltt">#REF!</definedName>
    <definedName name="gia" localSheetId="51">#REF!</definedName>
    <definedName name="gia" localSheetId="50">#REF!</definedName>
    <definedName name="gia">#REF!</definedName>
    <definedName name="gia_tien" localSheetId="51">#REF!</definedName>
    <definedName name="gia_tien" localSheetId="50">#REF!</definedName>
    <definedName name="gia_tien">#REF!</definedName>
    <definedName name="gia_tien_BTN" localSheetId="51">#REF!</definedName>
    <definedName name="gia_tien_BTN" localSheetId="50">#REF!</definedName>
    <definedName name="gia_tien_BTN">#REF!</definedName>
    <definedName name="Giocong" localSheetId="51">#REF!</definedName>
    <definedName name="Giocong" localSheetId="50">#REF!</definedName>
    <definedName name="Giocong">#REF!</definedName>
    <definedName name="h18x" localSheetId="51">#REF!</definedName>
    <definedName name="h18x" localSheetId="50">#REF!</definedName>
    <definedName name="h18x">#REF!</definedName>
    <definedName name="h30x" localSheetId="51">#REF!</definedName>
    <definedName name="h30x" localSheetId="50">#REF!</definedName>
    <definedName name="h30x">#REF!</definedName>
    <definedName name="HBC" localSheetId="51">#REF!</definedName>
    <definedName name="HBC" localSheetId="50">#REF!</definedName>
    <definedName name="HBC">#REF!</definedName>
    <definedName name="HBL" localSheetId="51">#REF!</definedName>
    <definedName name="HBL" localSheetId="50">#REF!</definedName>
    <definedName name="HBL">#REF!</definedName>
    <definedName name="HCPH" localSheetId="51">#REF!</definedName>
    <definedName name="HCPH" localSheetId="50">#REF!</definedName>
    <definedName name="HCPH">#REF!</definedName>
    <definedName name="HCS" localSheetId="51">#REF!</definedName>
    <definedName name="HCS" localSheetId="50">#REF!</definedName>
    <definedName name="HCS">#REF!</definedName>
    <definedName name="HCU" localSheetId="51">#REF!</definedName>
    <definedName name="HCU" localSheetId="50">#REF!</definedName>
    <definedName name="HCU">#REF!</definedName>
    <definedName name="HDC" localSheetId="51">#REF!</definedName>
    <definedName name="HDC" localSheetId="50">#REF!</definedName>
    <definedName name="HDC">#REF!</definedName>
    <definedName name="HDU" localSheetId="51">#REF!</definedName>
    <definedName name="HDU" localSheetId="50">#REF!</definedName>
    <definedName name="HDU">#REF!</definedName>
    <definedName name="Heä_soá_laép_xaø_H">1.7</definedName>
    <definedName name="heä_soá_sình_laày" localSheetId="7">#REF!</definedName>
    <definedName name="heä_soá_sình_laày" localSheetId="51">#REF!</definedName>
    <definedName name="heä_soá_sình_laày" localSheetId="50">#REF!</definedName>
    <definedName name="heä_soá_sình_laày">#REF!</definedName>
    <definedName name="Hello" localSheetId="7">#REF!</definedName>
    <definedName name="Hello" localSheetId="51">#REF!</definedName>
    <definedName name="Hello" localSheetId="50">#REF!</definedName>
    <definedName name="Hello">#REF!</definedName>
    <definedName name="HHcat" localSheetId="7">#REF!</definedName>
    <definedName name="HHcat" localSheetId="51">#REF!</definedName>
    <definedName name="HHcat" localSheetId="50">#REF!</definedName>
    <definedName name="HHcat">#REF!</definedName>
    <definedName name="HHda" localSheetId="51">#REF!</definedName>
    <definedName name="HHda" localSheetId="50">#REF!</definedName>
    <definedName name="HHda">#REF!</definedName>
    <definedName name="HHIC" localSheetId="51">#REF!</definedName>
    <definedName name="HHIC" localSheetId="50">#REF!</definedName>
    <definedName name="HHIC">#REF!</definedName>
    <definedName name="HHT" localSheetId="51">#REF!</definedName>
    <definedName name="HHT" localSheetId="50">#REF!</definedName>
    <definedName name="HHT">#REF!</definedName>
    <definedName name="HiddenRows" localSheetId="51" hidden="1">#REF!</definedName>
    <definedName name="HiddenRows" localSheetId="50" hidden="1">#REF!</definedName>
    <definedName name="HiddenRows" hidden="1">#REF!</definedName>
    <definedName name="hien" localSheetId="51">#REF!</definedName>
    <definedName name="hien" localSheetId="50">#REF!</definedName>
    <definedName name="hien">#REF!</definedName>
    <definedName name="HKE" localSheetId="51">#REF!</definedName>
    <definedName name="HKE" localSheetId="50">#REF!</definedName>
    <definedName name="HKE">#REF!</definedName>
    <definedName name="HKL" localSheetId="51">#REF!</definedName>
    <definedName name="HKL" localSheetId="50">#REF!</definedName>
    <definedName name="HKL">#REF!</definedName>
    <definedName name="HKLHI" localSheetId="51">#REF!</definedName>
    <definedName name="HKLHI" localSheetId="50">#REF!</definedName>
    <definedName name="HKLHI">#REF!</definedName>
    <definedName name="HKLL" localSheetId="51">#REF!</definedName>
    <definedName name="HKLL" localSheetId="50">#REF!</definedName>
    <definedName name="HKLL">#REF!</definedName>
    <definedName name="HKLLLO" localSheetId="51">#REF!</definedName>
    <definedName name="HKLLLO" localSheetId="50">#REF!</definedName>
    <definedName name="HKLLLO">#REF!</definedName>
    <definedName name="HLC" localSheetId="51">#REF!</definedName>
    <definedName name="HLC" localSheetId="50">#REF!</definedName>
    <definedName name="HLC">#REF!</definedName>
    <definedName name="HLIC" localSheetId="51">#REF!</definedName>
    <definedName name="HLIC" localSheetId="50">#REF!</definedName>
    <definedName name="HLIC">#REF!</definedName>
    <definedName name="HLU" localSheetId="51">#REF!</definedName>
    <definedName name="HLU" localSheetId="50">#REF!</definedName>
    <definedName name="HLU">#REF!</definedName>
    <definedName name="Hoa" localSheetId="51">#REF!</definedName>
    <definedName name="Hoa" localSheetId="50">#REF!</definedName>
    <definedName name="Hoa">#REF!</definedName>
    <definedName name="hoc">55000</definedName>
    <definedName name="HOME_MANP" localSheetId="7">#REF!</definedName>
    <definedName name="HOME_MANP" localSheetId="51">#REF!</definedName>
    <definedName name="HOME_MANP" localSheetId="50">#REF!</definedName>
    <definedName name="HOME_MANP">#REF!</definedName>
    <definedName name="HOMEOFFICE_COST" localSheetId="51">#REF!</definedName>
    <definedName name="HOMEOFFICE_COST" localSheetId="50">#REF!</definedName>
    <definedName name="HOMEOFFICE_COST">#REF!</definedName>
    <definedName name="HR" localSheetId="51">#REF!</definedName>
    <definedName name="HR" localSheetId="50">#REF!</definedName>
    <definedName name="HR">#REF!</definedName>
    <definedName name="HRC" localSheetId="51">#REF!</definedName>
    <definedName name="HRC" localSheetId="50">#REF!</definedName>
    <definedName name="HRC">#REF!</definedName>
    <definedName name="HSCT3">0.1</definedName>
    <definedName name="hsd" localSheetId="7">#REF!</definedName>
    <definedName name="hsd" localSheetId="51">#REF!</definedName>
    <definedName name="hsd" localSheetId="50">#REF!</definedName>
    <definedName name="hsd">#REF!</definedName>
    <definedName name="hsdc" localSheetId="7">#REF!</definedName>
    <definedName name="hsdc" localSheetId="51">#REF!</definedName>
    <definedName name="hsdc" localSheetId="50">#REF!</definedName>
    <definedName name="hsdc">#REF!</definedName>
    <definedName name="hsdc1" localSheetId="7">#REF!</definedName>
    <definedName name="hsdc1" localSheetId="51">#REF!</definedName>
    <definedName name="hsdc1" localSheetId="50">#REF!</definedName>
    <definedName name="hsdc1">#REF!</definedName>
    <definedName name="HSDN">2.5</definedName>
    <definedName name="HSHH" localSheetId="51">#REF!</definedName>
    <definedName name="HSHH" localSheetId="50">#REF!</definedName>
    <definedName name="HSHH">#REF!</definedName>
    <definedName name="HSHHUT" localSheetId="51">#REF!</definedName>
    <definedName name="HSHHUT" localSheetId="50">#REF!</definedName>
    <definedName name="HSHHUT">#REF!</definedName>
    <definedName name="hsk" localSheetId="51">#REF!</definedName>
    <definedName name="hsk" localSheetId="50">#REF!</definedName>
    <definedName name="hsk">#REF!</definedName>
    <definedName name="hsm" localSheetId="51">#REF!</definedName>
    <definedName name="hsm" localSheetId="50">#REF!</definedName>
    <definedName name="hsm">#REF!</definedName>
    <definedName name="HSMTC" localSheetId="51">#REF!</definedName>
    <definedName name="HSMTC" localSheetId="50">#REF!</definedName>
    <definedName name="HSMTC">#REF!</definedName>
    <definedName name="HSSL" localSheetId="51">#REF!</definedName>
    <definedName name="HSSL" localSheetId="50">#REF!</definedName>
    <definedName name="HSSL">#REF!</definedName>
    <definedName name="hßm4" localSheetId="51">#REF!</definedName>
    <definedName name="hßm4" localSheetId="50">#REF!</definedName>
    <definedName name="hßm4">#REF!</definedName>
    <definedName name="hstb" localSheetId="51">#REF!</definedName>
    <definedName name="hstb" localSheetId="50">#REF!</definedName>
    <definedName name="hstb">#REF!</definedName>
    <definedName name="hstdtk" localSheetId="51">#REF!</definedName>
    <definedName name="hstdtk" localSheetId="50">#REF!</definedName>
    <definedName name="hstdtk">#REF!</definedName>
    <definedName name="hsthep" localSheetId="51">#REF!</definedName>
    <definedName name="hsthep" localSheetId="50">#REF!</definedName>
    <definedName name="hsthep">#REF!</definedName>
    <definedName name="HSVC1" localSheetId="51">#REF!</definedName>
    <definedName name="HSVC1" localSheetId="50">#REF!</definedName>
    <definedName name="HSVC1">#REF!</definedName>
    <definedName name="HSVC2" localSheetId="51">#REF!</definedName>
    <definedName name="HSVC2" localSheetId="50">#REF!</definedName>
    <definedName name="HSVC2">#REF!</definedName>
    <definedName name="HSVC3" localSheetId="51">#REF!</definedName>
    <definedName name="HSVC3" localSheetId="50">#REF!</definedName>
    <definedName name="HSVC3">#REF!</definedName>
    <definedName name="hsvl" localSheetId="51">#REF!</definedName>
    <definedName name="hsvl" localSheetId="50">#REF!</definedName>
    <definedName name="hsvl">#REF!</definedName>
    <definedName name="HTML_CodePage" hidden="1">950</definedName>
    <definedName name="HTML_Control" localSheetId="7" hidden="1">{"'Sheet1'!$L$16"}</definedName>
    <definedName name="HTML_Control" localSheetId="6" hidden="1">{"'Sheet1'!$L$16"}</definedName>
    <definedName name="HTML_Control" localSheetId="3"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NC" localSheetId="7">#REF!</definedName>
    <definedName name="HTNC" localSheetId="51">#REF!</definedName>
    <definedName name="HTNC" localSheetId="50">#REF!</definedName>
    <definedName name="HTNC">#REF!</definedName>
    <definedName name="HTS" localSheetId="7">#REF!</definedName>
    <definedName name="HTS" localSheetId="51">#REF!</definedName>
    <definedName name="HTS" localSheetId="50">#REF!</definedName>
    <definedName name="HTS">#REF!</definedName>
    <definedName name="HTU" localSheetId="7">#REF!</definedName>
    <definedName name="HTU" localSheetId="51">#REF!</definedName>
    <definedName name="HTU" localSheetId="50">#REF!</definedName>
    <definedName name="HTU">#REF!</definedName>
    <definedName name="HTVL" localSheetId="51">#REF!</definedName>
    <definedName name="HTVL" localSheetId="50">#REF!</definedName>
    <definedName name="HTVL">#REF!</definedName>
    <definedName name="huy" localSheetId="7" hidden="1">{"'Sheet1'!$L$16"}</definedName>
    <definedName name="huy" localSheetId="6" hidden="1">{"'Sheet1'!$L$16"}</definedName>
    <definedName name="huy" localSheetId="3" hidden="1">{"'Sheet1'!$L$16"}</definedName>
    <definedName name="huy" hidden="1">{"'Sheet1'!$L$16"}</definedName>
    <definedName name="HV" localSheetId="51">#REF!</definedName>
    <definedName name="HV" localSheetId="50">#REF!</definedName>
    <definedName name="HV">#REF!</definedName>
    <definedName name="HVBC" localSheetId="51">#REF!</definedName>
    <definedName name="HVBC" localSheetId="50">#REF!</definedName>
    <definedName name="HVBC">#REF!</definedName>
    <definedName name="HVC" localSheetId="51">#REF!</definedName>
    <definedName name="HVC" localSheetId="50">#REF!</definedName>
    <definedName name="HVC">#REF!</definedName>
    <definedName name="HVL" localSheetId="51">#REF!</definedName>
    <definedName name="HVL" localSheetId="50">#REF!</definedName>
    <definedName name="HVL">#REF!</definedName>
    <definedName name="HVP" localSheetId="51">#REF!</definedName>
    <definedName name="HVP" localSheetId="50">#REF!</definedName>
    <definedName name="HVP">#REF!</definedName>
    <definedName name="I" localSheetId="51">#REF!</definedName>
    <definedName name="I" localSheetId="50">#REF!</definedName>
    <definedName name="I">#REF!</definedName>
    <definedName name="IDLAB_COST" localSheetId="51">#REF!</definedName>
    <definedName name="IDLAB_COST" localSheetId="50">#REF!</definedName>
    <definedName name="IDLAB_COST">#REF!</definedName>
    <definedName name="IND_LAB" localSheetId="51">#REF!</definedName>
    <definedName name="IND_LAB" localSheetId="50">#REF!</definedName>
    <definedName name="IND_LAB">#REF!</definedName>
    <definedName name="INDMANP" localSheetId="51">#REF!</definedName>
    <definedName name="INDMANP" localSheetId="50">#REF!</definedName>
    <definedName name="INDMANP">#REF!</definedName>
    <definedName name="inputCosti" localSheetId="51">#REF!</definedName>
    <definedName name="inputCosti" localSheetId="50">#REF!</definedName>
    <definedName name="inputCosti">#REF!</definedName>
    <definedName name="inputLf" localSheetId="51">#REF!</definedName>
    <definedName name="inputLf" localSheetId="50">#REF!</definedName>
    <definedName name="inputLf">#REF!</definedName>
    <definedName name="inputWTP" localSheetId="51">#REF!</definedName>
    <definedName name="inputWTP" localSheetId="50">#REF!</definedName>
    <definedName name="inputWTP">#REF!</definedName>
    <definedName name="INT" localSheetId="51">#REF!</definedName>
    <definedName name="INT" localSheetId="50">#REF!</definedName>
    <definedName name="INT">#REF!</definedName>
    <definedName name="IWTP" localSheetId="51">#REF!</definedName>
    <definedName name="IWTP" localSheetId="50">#REF!</definedName>
    <definedName name="IWTP">#REF!</definedName>
    <definedName name="J.O" localSheetId="51">#REF!</definedName>
    <definedName name="J.O" localSheetId="50">#REF!</definedName>
    <definedName name="J.O">#REF!</definedName>
    <definedName name="J.O_GT" localSheetId="51">#REF!</definedName>
    <definedName name="J.O_GT" localSheetId="50">#REF!</definedName>
    <definedName name="J.O_GT">#REF!</definedName>
    <definedName name="j356C8" localSheetId="51">#REF!</definedName>
    <definedName name="j356C8" localSheetId="50">#REF!</definedName>
    <definedName name="j356C8">#REF!</definedName>
    <definedName name="k" localSheetId="51">#REF!</definedName>
    <definedName name="k" localSheetId="50">#REF!</definedName>
    <definedName name="k">#REF!</definedName>
    <definedName name="K_L" localSheetId="51">#REF!</definedName>
    <definedName name="K_L" localSheetId="50">#REF!</definedName>
    <definedName name="K_L">#REF!</definedName>
    <definedName name="kcong" localSheetId="51">#REF!</definedName>
    <definedName name="kcong" localSheetId="50">#REF!</definedName>
    <definedName name="kcong">#REF!</definedName>
    <definedName name="Kiem_tra_trung_ten" localSheetId="7">#REF!</definedName>
    <definedName name="Kiem_tra_trung_ten" localSheetId="51">#REF!</definedName>
    <definedName name="Kiem_tra_trung_ten" localSheetId="50">#REF!</definedName>
    <definedName name="Kiem_tra_trung_ten">#REF!</definedName>
    <definedName name="kkk" localSheetId="51">#REF!</definedName>
    <definedName name="kkk" localSheetId="50">#REF!</definedName>
    <definedName name="kkk">#REF!</definedName>
    <definedName name="kl" localSheetId="51">#REF!</definedName>
    <definedName name="kl" localSheetId="50">#REF!</definedName>
    <definedName name="kl">#REF!</definedName>
    <definedName name="kl_ME" localSheetId="51">#REF!</definedName>
    <definedName name="kl_ME" localSheetId="50">#REF!</definedName>
    <definedName name="kl_ME">#REF!</definedName>
    <definedName name="KLC" localSheetId="51">#REF!</definedName>
    <definedName name="KLC" localSheetId="50">#REF!</definedName>
    <definedName name="KLC">#REF!</definedName>
    <definedName name="kp1ph" localSheetId="51">#REF!</definedName>
    <definedName name="kp1ph" localSheetId="50">#REF!</definedName>
    <definedName name="kp1ph">#REF!</definedName>
    <definedName name="KSTK" localSheetId="51">#REF!</definedName>
    <definedName name="KSTK" localSheetId="50">#REF!</definedName>
    <definedName name="KSTK">#REF!</definedName>
    <definedName name="Kte" localSheetId="51">#REF!</definedName>
    <definedName name="Kte" localSheetId="50">#REF!</definedName>
    <definedName name="Kte">#REF!</definedName>
    <definedName name="khac">2</definedName>
    <definedName name="khanang" localSheetId="7">#REF!</definedName>
    <definedName name="khanang" localSheetId="51">#REF!</definedName>
    <definedName name="khanang" localSheetId="50">#REF!</definedName>
    <definedName name="khanang">#REF!</definedName>
    <definedName name="khong" localSheetId="7">#REF!</definedName>
    <definedName name="khong" localSheetId="51">#REF!</definedName>
    <definedName name="khong" localSheetId="50">#REF!</definedName>
    <definedName name="khong">#REF!</definedName>
    <definedName name="l" localSheetId="51">#REF!</definedName>
    <definedName name="l" localSheetId="50">#REF!</definedName>
    <definedName name="l">#REF!</definedName>
    <definedName name="lan" localSheetId="51">#REF!</definedName>
    <definedName name="lan" localSheetId="50">#REF!</definedName>
    <definedName name="lan">#REF!</definedName>
    <definedName name="Lcot" localSheetId="51">#REF!</definedName>
    <definedName name="Lcot" localSheetId="50">#REF!</definedName>
    <definedName name="Lcot">#REF!</definedName>
    <definedName name="Lmk" localSheetId="51">#REF!</definedName>
    <definedName name="Lmk" localSheetId="50">#REF!</definedName>
    <definedName name="Lmk">#REF!</definedName>
    <definedName name="LN" localSheetId="51">#REF!</definedName>
    <definedName name="LN" localSheetId="50">#REF!</definedName>
    <definedName name="LN">#REF!</definedName>
    <definedName name="Lo" localSheetId="51">#REF!</definedName>
    <definedName name="Lo" localSheetId="50">#REF!</definedName>
    <definedName name="Lo">#REF!</definedName>
    <definedName name="LRMC" localSheetId="51">#REF!</definedName>
    <definedName name="LRMC" localSheetId="50">#REF!</definedName>
    <definedName name="LRMC">#REF!</definedName>
    <definedName name="M0.4" localSheetId="51">#REF!</definedName>
    <definedName name="M0.4" localSheetId="50">#REF!</definedName>
    <definedName name="M0.4">#REF!</definedName>
    <definedName name="M12ba3p" localSheetId="51">#REF!</definedName>
    <definedName name="M12ba3p" localSheetId="50">#REF!</definedName>
    <definedName name="M12ba3p">#REF!</definedName>
    <definedName name="M12bb1p" localSheetId="51">#REF!</definedName>
    <definedName name="M12bb1p" localSheetId="50">#REF!</definedName>
    <definedName name="M12bb1p">#REF!</definedName>
    <definedName name="M12cbnc" localSheetId="51">#REF!</definedName>
    <definedName name="M12cbnc" localSheetId="50">#REF!</definedName>
    <definedName name="M12cbnc">#REF!</definedName>
    <definedName name="M12cbvl" localSheetId="51">#REF!</definedName>
    <definedName name="M12cbvl" localSheetId="50">#REF!</definedName>
    <definedName name="M12cbvl">#REF!</definedName>
    <definedName name="M14bb1p" localSheetId="51">#REF!</definedName>
    <definedName name="M14bb1p" localSheetId="50">#REF!</definedName>
    <definedName name="M14bb1p">#REF!</definedName>
    <definedName name="m8aanc" localSheetId="51">#REF!</definedName>
    <definedName name="m8aanc" localSheetId="50">#REF!</definedName>
    <definedName name="m8aanc">#REF!</definedName>
    <definedName name="m8aavl" localSheetId="51">#REF!</definedName>
    <definedName name="m8aavl" localSheetId="50">#REF!</definedName>
    <definedName name="m8aavl">#REF!</definedName>
    <definedName name="Ma3pnc" localSheetId="51">#REF!</definedName>
    <definedName name="Ma3pnc" localSheetId="50">#REF!</definedName>
    <definedName name="Ma3pnc">#REF!</definedName>
    <definedName name="Ma3pvl" localSheetId="51">#REF!</definedName>
    <definedName name="Ma3pvl" localSheetId="50">#REF!</definedName>
    <definedName name="Ma3pvl">#REF!</definedName>
    <definedName name="Maa3pnc" localSheetId="51">#REF!</definedName>
    <definedName name="Maa3pnc" localSheetId="50">#REF!</definedName>
    <definedName name="Maa3pnc">#REF!</definedName>
    <definedName name="Maa3pvl" localSheetId="51">#REF!</definedName>
    <definedName name="Maa3pvl" localSheetId="50">#REF!</definedName>
    <definedName name="Maa3pvl">#REF!</definedName>
    <definedName name="macbt" localSheetId="51">#REF!</definedName>
    <definedName name="macbt" localSheetId="50">#REF!</definedName>
    <definedName name="macbt">#REF!</definedName>
    <definedName name="MAJ_CON_EQP" localSheetId="51">#REF!</definedName>
    <definedName name="MAJ_CON_EQP" localSheetId="50">#REF!</definedName>
    <definedName name="MAJ_CON_EQP">#REF!</definedName>
    <definedName name="may" localSheetId="51">#REF!</definedName>
    <definedName name="may" localSheetId="50">#REF!</definedName>
    <definedName name="may">#REF!</definedName>
    <definedName name="Mba1p" localSheetId="51">#REF!</definedName>
    <definedName name="Mba1p" localSheetId="50">#REF!</definedName>
    <definedName name="Mba1p">#REF!</definedName>
    <definedName name="Mba3p" localSheetId="51">#REF!</definedName>
    <definedName name="Mba3p" localSheetId="50">#REF!</definedName>
    <definedName name="Mba3p">#REF!</definedName>
    <definedName name="Mbb3p" localSheetId="51">#REF!</definedName>
    <definedName name="Mbb3p" localSheetId="50">#REF!</definedName>
    <definedName name="Mbb3p">#REF!</definedName>
    <definedName name="Mbn1p" localSheetId="51">#REF!</definedName>
    <definedName name="Mbn1p" localSheetId="50">#REF!</definedName>
    <definedName name="Mbn1p">#REF!</definedName>
    <definedName name="mc" localSheetId="51">#REF!</definedName>
    <definedName name="mc" localSheetId="50">#REF!</definedName>
    <definedName name="mc">#REF!</definedName>
    <definedName name="me" localSheetId="51">#REF!</definedName>
    <definedName name="me" localSheetId="50">#REF!</definedName>
    <definedName name="me">#REF!</definedName>
    <definedName name="Mè_A1" localSheetId="51">#REF!</definedName>
    <definedName name="Mè_A1" localSheetId="50">#REF!</definedName>
    <definedName name="Mè_A1">#REF!</definedName>
    <definedName name="Mè_A2" localSheetId="51">#REF!</definedName>
    <definedName name="Mè_A2" localSheetId="50">#REF!</definedName>
    <definedName name="Mè_A2">#REF!</definedName>
    <definedName name="MG_A" localSheetId="51">#REF!</definedName>
    <definedName name="MG_A" localSheetId="50">#REF!</definedName>
    <definedName name="MG_A">#REF!</definedName>
    <definedName name="MN" localSheetId="51">#REF!</definedName>
    <definedName name="MN" localSheetId="50">#REF!</definedName>
    <definedName name="MN">#REF!</definedName>
    <definedName name="MTC" localSheetId="51">#REF!</definedName>
    <definedName name="MTC" localSheetId="50">#REF!</definedName>
    <definedName name="MTC">#REF!</definedName>
    <definedName name="MTCLD" localSheetId="51">#REF!</definedName>
    <definedName name="MTCLD" localSheetId="50">#REF!</definedName>
    <definedName name="MTCLD">#REF!</definedName>
    <definedName name="MTMAC12" localSheetId="51">#REF!</definedName>
    <definedName name="MTMAC12" localSheetId="50">#REF!</definedName>
    <definedName name="MTMAC12">#REF!</definedName>
    <definedName name="MTN" localSheetId="51">#REF!</definedName>
    <definedName name="MTN" localSheetId="50">#REF!</definedName>
    <definedName name="MTN">#REF!</definedName>
    <definedName name="mtram" localSheetId="51">#REF!</definedName>
    <definedName name="mtram" localSheetId="50">#REF!</definedName>
    <definedName name="mtram">#REF!</definedName>
    <definedName name="myle" localSheetId="51">#REF!</definedName>
    <definedName name="myle" localSheetId="50">#REF!</definedName>
    <definedName name="myle">#REF!</definedName>
    <definedName name="n" localSheetId="51" hidden="1">#REF!</definedName>
    <definedName name="n" localSheetId="50" hidden="1">#REF!</definedName>
    <definedName name="n" hidden="1">#REF!</definedName>
    <definedName name="n1pig" localSheetId="51">#REF!</definedName>
    <definedName name="n1pig" localSheetId="50">#REF!</definedName>
    <definedName name="n1pig">#REF!</definedName>
    <definedName name="n1pind" localSheetId="51">#REF!</definedName>
    <definedName name="n1pind" localSheetId="50">#REF!</definedName>
    <definedName name="n1pind">#REF!</definedName>
    <definedName name="n1pint" localSheetId="51">#REF!</definedName>
    <definedName name="n1pint" localSheetId="50">#REF!</definedName>
    <definedName name="n1pint">#REF!</definedName>
    <definedName name="n1ping" localSheetId="51">#REF!</definedName>
    <definedName name="n1ping" localSheetId="50">#REF!</definedName>
    <definedName name="n1ping">#REF!</definedName>
    <definedName name="Name" localSheetId="51">#REF!</definedName>
    <definedName name="Name" localSheetId="50">#REF!</definedName>
    <definedName name="Name">#REF!</definedName>
    <definedName name="nc_btm10" localSheetId="51">#REF!</definedName>
    <definedName name="nc_btm10" localSheetId="50">#REF!</definedName>
    <definedName name="nc_btm10">#REF!</definedName>
    <definedName name="nc_btm100" localSheetId="51">#REF!</definedName>
    <definedName name="nc_btm100" localSheetId="50">#REF!</definedName>
    <definedName name="nc_btm100">#REF!</definedName>
    <definedName name="nc1p" localSheetId="51">#REF!</definedName>
    <definedName name="nc1p" localSheetId="50">#REF!</definedName>
    <definedName name="nc1p">#REF!</definedName>
    <definedName name="nc3p" localSheetId="51">#REF!</definedName>
    <definedName name="nc3p" localSheetId="50">#REF!</definedName>
    <definedName name="nc3p">#REF!</definedName>
    <definedName name="NCBD100" localSheetId="51">#REF!</definedName>
    <definedName name="NCBD100" localSheetId="50">#REF!</definedName>
    <definedName name="NCBD100">#REF!</definedName>
    <definedName name="NCBD200" localSheetId="51">#REF!</definedName>
    <definedName name="NCBD200" localSheetId="50">#REF!</definedName>
    <definedName name="NCBD200">#REF!</definedName>
    <definedName name="NCBD250" localSheetId="51">#REF!</definedName>
    <definedName name="NCBD250" localSheetId="50">#REF!</definedName>
    <definedName name="NCBD250">#REF!</definedName>
    <definedName name="nccs" localSheetId="51">#REF!</definedName>
    <definedName name="nccs" localSheetId="50">#REF!</definedName>
    <definedName name="nccs">#REF!</definedName>
    <definedName name="ncgff" localSheetId="51">#REF!</definedName>
    <definedName name="ncgff" localSheetId="50">#REF!</definedName>
    <definedName name="ncgff">#REF!</definedName>
    <definedName name="NCKT" localSheetId="51">#REF!</definedName>
    <definedName name="NCKT" localSheetId="50">#REF!</definedName>
    <definedName name="NCKT">#REF!</definedName>
    <definedName name="NCLD" localSheetId="51">#REF!</definedName>
    <definedName name="NCLD" localSheetId="50">#REF!</definedName>
    <definedName name="NCLD">#REF!</definedName>
    <definedName name="NCPP" localSheetId="51">#REF!</definedName>
    <definedName name="NCPP" localSheetId="50">#REF!</definedName>
    <definedName name="NCPP">#REF!</definedName>
    <definedName name="nctn" localSheetId="51">#REF!</definedName>
    <definedName name="nctn" localSheetId="50">#REF!</definedName>
    <definedName name="nctn">#REF!</definedName>
    <definedName name="nctram" localSheetId="51">#REF!</definedName>
    <definedName name="nctram" localSheetId="50">#REF!</definedName>
    <definedName name="nctram">#REF!</definedName>
    <definedName name="NCVC100" localSheetId="51">#REF!</definedName>
    <definedName name="NCVC100" localSheetId="50">#REF!</definedName>
    <definedName name="NCVC100">#REF!</definedName>
    <definedName name="NCVC200" localSheetId="51">#REF!</definedName>
    <definedName name="NCVC200" localSheetId="50">#REF!</definedName>
    <definedName name="NCVC200">#REF!</definedName>
    <definedName name="NCVC250" localSheetId="51">#REF!</definedName>
    <definedName name="NCVC250" localSheetId="50">#REF!</definedName>
    <definedName name="NCVC250">#REF!</definedName>
    <definedName name="NCVC3P" localSheetId="51">#REF!</definedName>
    <definedName name="NCVC3P" localSheetId="50">#REF!</definedName>
    <definedName name="NCVC3P">#REF!</definedName>
    <definedName name="NET" localSheetId="51">#REF!</definedName>
    <definedName name="NET" localSheetId="50">#REF!</definedName>
    <definedName name="NET">#REF!</definedName>
    <definedName name="NET_1" localSheetId="51">#REF!</definedName>
    <definedName name="NET_1" localSheetId="50">#REF!</definedName>
    <definedName name="NET_1">#REF!</definedName>
    <definedName name="NET_ANA" localSheetId="51">#REF!</definedName>
    <definedName name="NET_ANA" localSheetId="50">#REF!</definedName>
    <definedName name="NET_ANA">#REF!</definedName>
    <definedName name="NET_ANA_1" localSheetId="51">#REF!</definedName>
    <definedName name="NET_ANA_1" localSheetId="50">#REF!</definedName>
    <definedName name="NET_ANA_1">#REF!</definedName>
    <definedName name="NET_ANA_2" localSheetId="51">#REF!</definedName>
    <definedName name="NET_ANA_2" localSheetId="50">#REF!</definedName>
    <definedName name="NET_ANA_2">#REF!</definedName>
    <definedName name="nig" localSheetId="51">#REF!</definedName>
    <definedName name="nig" localSheetId="50">#REF!</definedName>
    <definedName name="nig">#REF!</definedName>
    <definedName name="nig1p" localSheetId="51">#REF!</definedName>
    <definedName name="nig1p" localSheetId="50">#REF!</definedName>
    <definedName name="nig1p">#REF!</definedName>
    <definedName name="nig3p" localSheetId="51">#REF!</definedName>
    <definedName name="nig3p" localSheetId="50">#REF!</definedName>
    <definedName name="nig3p">#REF!</definedName>
    <definedName name="nignc1p" localSheetId="51">#REF!</definedName>
    <definedName name="nignc1p" localSheetId="50">#REF!</definedName>
    <definedName name="nignc1p">#REF!</definedName>
    <definedName name="nigvl1p" localSheetId="51">#REF!</definedName>
    <definedName name="nigvl1p" localSheetId="50">#REF!</definedName>
    <definedName name="nigvl1p">#REF!</definedName>
    <definedName name="nin" localSheetId="51">#REF!</definedName>
    <definedName name="nin" localSheetId="50">#REF!</definedName>
    <definedName name="nin">#REF!</definedName>
    <definedName name="nin14nc3p" localSheetId="51">#REF!</definedName>
    <definedName name="nin14nc3p" localSheetId="50">#REF!</definedName>
    <definedName name="nin14nc3p">#REF!</definedName>
    <definedName name="nin14vl3p" localSheetId="51">#REF!</definedName>
    <definedName name="nin14vl3p" localSheetId="50">#REF!</definedName>
    <definedName name="nin14vl3p">#REF!</definedName>
    <definedName name="nin1903p" localSheetId="51">#REF!</definedName>
    <definedName name="nin1903p" localSheetId="50">#REF!</definedName>
    <definedName name="nin1903p">#REF!</definedName>
    <definedName name="nin190nc3p" localSheetId="51">#REF!</definedName>
    <definedName name="nin190nc3p" localSheetId="50">#REF!</definedName>
    <definedName name="nin190nc3p">#REF!</definedName>
    <definedName name="nin190vl3p" localSheetId="51">#REF!</definedName>
    <definedName name="nin190vl3p" localSheetId="50">#REF!</definedName>
    <definedName name="nin190vl3p">#REF!</definedName>
    <definedName name="nin2903p" localSheetId="51">#REF!</definedName>
    <definedName name="nin2903p" localSheetId="50">#REF!</definedName>
    <definedName name="nin2903p">#REF!</definedName>
    <definedName name="nin290nc3p" localSheetId="51">#REF!</definedName>
    <definedName name="nin290nc3p" localSheetId="50">#REF!</definedName>
    <definedName name="nin290nc3p">#REF!</definedName>
    <definedName name="nin290vl3p" localSheetId="51">#REF!</definedName>
    <definedName name="nin290vl3p" localSheetId="50">#REF!</definedName>
    <definedName name="nin290vl3p">#REF!</definedName>
    <definedName name="nin3p" localSheetId="51">#REF!</definedName>
    <definedName name="nin3p" localSheetId="50">#REF!</definedName>
    <definedName name="nin3p">#REF!</definedName>
    <definedName name="nind" localSheetId="51">#REF!</definedName>
    <definedName name="nind" localSheetId="50">#REF!</definedName>
    <definedName name="nind">#REF!</definedName>
    <definedName name="nind1p" localSheetId="51">#REF!</definedName>
    <definedName name="nind1p" localSheetId="50">#REF!</definedName>
    <definedName name="nind1p">#REF!</definedName>
    <definedName name="nind3p" localSheetId="51">#REF!</definedName>
    <definedName name="nind3p" localSheetId="50">#REF!</definedName>
    <definedName name="nind3p">#REF!</definedName>
    <definedName name="nindnc1p" localSheetId="51">#REF!</definedName>
    <definedName name="nindnc1p" localSheetId="50">#REF!</definedName>
    <definedName name="nindnc1p">#REF!</definedName>
    <definedName name="nindnc3p" localSheetId="51">#REF!</definedName>
    <definedName name="nindnc3p" localSheetId="50">#REF!</definedName>
    <definedName name="nindnc3p">#REF!</definedName>
    <definedName name="nindvl1p" localSheetId="51">#REF!</definedName>
    <definedName name="nindvl1p" localSheetId="50">#REF!</definedName>
    <definedName name="nindvl1p">#REF!</definedName>
    <definedName name="nindvl3p" localSheetId="51">#REF!</definedName>
    <definedName name="nindvl3p" localSheetId="50">#REF!</definedName>
    <definedName name="nindvl3p">#REF!</definedName>
    <definedName name="ninnc3p" localSheetId="51">#REF!</definedName>
    <definedName name="ninnc3p" localSheetId="50">#REF!</definedName>
    <definedName name="ninnc3p">#REF!</definedName>
    <definedName name="nint1p" localSheetId="51">#REF!</definedName>
    <definedName name="nint1p" localSheetId="50">#REF!</definedName>
    <definedName name="nint1p">#REF!</definedName>
    <definedName name="nintnc1p" localSheetId="51">#REF!</definedName>
    <definedName name="nintnc1p" localSheetId="50">#REF!</definedName>
    <definedName name="nintnc1p">#REF!</definedName>
    <definedName name="nintvl1p" localSheetId="51">#REF!</definedName>
    <definedName name="nintvl1p" localSheetId="50">#REF!</definedName>
    <definedName name="nintvl1p">#REF!</definedName>
    <definedName name="ninvl3p" localSheetId="51">#REF!</definedName>
    <definedName name="ninvl3p" localSheetId="50">#REF!</definedName>
    <definedName name="ninvl3p">#REF!</definedName>
    <definedName name="ning1p" localSheetId="51">#REF!</definedName>
    <definedName name="ning1p" localSheetId="50">#REF!</definedName>
    <definedName name="ning1p">#REF!</definedName>
    <definedName name="ningnc1p" localSheetId="51">#REF!</definedName>
    <definedName name="ningnc1p" localSheetId="50">#REF!</definedName>
    <definedName name="ningnc1p">#REF!</definedName>
    <definedName name="ningvl1p" localSheetId="51">#REF!</definedName>
    <definedName name="ningvl1p" localSheetId="50">#REF!</definedName>
    <definedName name="ningvl1p">#REF!</definedName>
    <definedName name="nl" localSheetId="51">#REF!</definedName>
    <definedName name="nl" localSheetId="50">#REF!</definedName>
    <definedName name="nl">#REF!</definedName>
    <definedName name="nl1p" localSheetId="51">#REF!</definedName>
    <definedName name="nl1p" localSheetId="50">#REF!</definedName>
    <definedName name="nl1p">#REF!</definedName>
    <definedName name="nl3p" localSheetId="51">#REF!</definedName>
    <definedName name="nl3p" localSheetId="50">#REF!</definedName>
    <definedName name="nl3p">#REF!</definedName>
    <definedName name="nlnc3p" localSheetId="51">#REF!</definedName>
    <definedName name="nlnc3p" localSheetId="50">#REF!</definedName>
    <definedName name="nlnc3p">#REF!</definedName>
    <definedName name="nlnc3pha" localSheetId="51">#REF!</definedName>
    <definedName name="nlnc3pha" localSheetId="50">#REF!</definedName>
    <definedName name="nlnc3pha">#REF!</definedName>
    <definedName name="NLTK1p" localSheetId="51">#REF!</definedName>
    <definedName name="NLTK1p" localSheetId="50">#REF!</definedName>
    <definedName name="NLTK1p">#REF!</definedName>
    <definedName name="nlvl3p" localSheetId="51">#REF!</definedName>
    <definedName name="nlvl3p" localSheetId="50">#REF!</definedName>
    <definedName name="nlvl3p">#REF!</definedName>
    <definedName name="nn1p" localSheetId="51">#REF!</definedName>
    <definedName name="nn1p" localSheetId="50">#REF!</definedName>
    <definedName name="nn1p">#REF!</definedName>
    <definedName name="nn3p" localSheetId="51">#REF!</definedName>
    <definedName name="nn3p" localSheetId="50">#REF!</definedName>
    <definedName name="nn3p">#REF!</definedName>
    <definedName name="nnnc3p" localSheetId="51">#REF!</definedName>
    <definedName name="nnnc3p" localSheetId="50">#REF!</definedName>
    <definedName name="nnnc3p">#REF!</definedName>
    <definedName name="nnvl3p" localSheetId="51">#REF!</definedName>
    <definedName name="nnvl3p" localSheetId="50">#REF!</definedName>
    <definedName name="nnvl3p">#REF!</definedName>
    <definedName name="No" localSheetId="51">#REF!</definedName>
    <definedName name="No" localSheetId="50">#REF!</definedName>
    <definedName name="No">#REF!</definedName>
    <definedName name="nsc" localSheetId="51">#REF!</definedName>
    <definedName name="nsc" localSheetId="50">#REF!</definedName>
    <definedName name="nsc">#REF!</definedName>
    <definedName name="nsk" localSheetId="51">#REF!</definedName>
    <definedName name="nsk" localSheetId="50">#REF!</definedName>
    <definedName name="nsk">#REF!</definedName>
    <definedName name="NH" localSheetId="51">#REF!</definedName>
    <definedName name="NH" localSheetId="50">#REF!</definedName>
    <definedName name="NH">#REF!</definedName>
    <definedName name="nhfffd" localSheetId="7">{"DZ-TDTB2.XLS","Dcksat.xls"}</definedName>
    <definedName name="nhfffd" localSheetId="6">{"DZ-TDTB2.XLS","Dcksat.xls"}</definedName>
    <definedName name="nhfffd" localSheetId="3">{"DZ-TDTB2.XLS","Dcksat.xls"}</definedName>
    <definedName name="nhfffd">{"DZ-TDTB2.XLS","Dcksat.xls"}</definedName>
    <definedName name="nhn" localSheetId="7">#REF!</definedName>
    <definedName name="nhn" localSheetId="51">#REF!</definedName>
    <definedName name="nhn" localSheetId="50">#REF!</definedName>
    <definedName name="nhn">#REF!</definedName>
    <definedName name="NHot" localSheetId="7">#REF!</definedName>
    <definedName name="NHot" localSheetId="51">#REF!</definedName>
    <definedName name="NHot" localSheetId="50">#REF!</definedName>
    <definedName name="NHot">#REF!</definedName>
    <definedName name="nhu" localSheetId="7">#REF!</definedName>
    <definedName name="nhu" localSheetId="51">#REF!</definedName>
    <definedName name="nhu" localSheetId="50">#REF!</definedName>
    <definedName name="nhu">#REF!</definedName>
    <definedName name="nhua" localSheetId="51">#REF!</definedName>
    <definedName name="nhua" localSheetId="50">#REF!</definedName>
    <definedName name="nhua">#REF!</definedName>
    <definedName name="nhuad" localSheetId="51">#REF!</definedName>
    <definedName name="nhuad" localSheetId="50">#REF!</definedName>
    <definedName name="nhuad">#REF!</definedName>
    <definedName name="O_M" localSheetId="51">#REF!</definedName>
    <definedName name="O_M" localSheetId="50">#REF!</definedName>
    <definedName name="O_M">#REF!</definedName>
    <definedName name="OD" localSheetId="51">#REF!</definedName>
    <definedName name="OD" localSheetId="50">#REF!</definedName>
    <definedName name="OD">#REF!</definedName>
    <definedName name="ODC" localSheetId="51">#REF!</definedName>
    <definedName name="ODC" localSheetId="50">#REF!</definedName>
    <definedName name="ODC">#REF!</definedName>
    <definedName name="ODS" localSheetId="51">#REF!</definedName>
    <definedName name="ODS" localSheetId="50">#REF!</definedName>
    <definedName name="ODS">#REF!</definedName>
    <definedName name="ODU" localSheetId="51">#REF!</definedName>
    <definedName name="ODU" localSheetId="50">#REF!</definedName>
    <definedName name="ODU">#REF!</definedName>
    <definedName name="OM" localSheetId="51">#REF!</definedName>
    <definedName name="OM" localSheetId="50">#REF!</definedName>
    <definedName name="OM">#REF!</definedName>
    <definedName name="OMC" localSheetId="51">#REF!</definedName>
    <definedName name="OMC" localSheetId="50">#REF!</definedName>
    <definedName name="OMC">#REF!</definedName>
    <definedName name="OME" localSheetId="51">#REF!</definedName>
    <definedName name="OME" localSheetId="50">#REF!</definedName>
    <definedName name="OME">#REF!</definedName>
    <definedName name="OMW" localSheetId="51">#REF!</definedName>
    <definedName name="OMW" localSheetId="50">#REF!</definedName>
    <definedName name="OMW">#REF!</definedName>
    <definedName name="OOM" localSheetId="51">#REF!</definedName>
    <definedName name="OOM" localSheetId="50">#REF!</definedName>
    <definedName name="OOM">#REF!</definedName>
    <definedName name="ophom" localSheetId="51">#REF!</definedName>
    <definedName name="ophom" localSheetId="50">#REF!</definedName>
    <definedName name="ophom">#REF!</definedName>
    <definedName name="ORD" localSheetId="51">#REF!</definedName>
    <definedName name="ORD" localSheetId="50">#REF!</definedName>
    <definedName name="ORD">#REF!</definedName>
    <definedName name="OrderTable" localSheetId="51" hidden="1">#REF!</definedName>
    <definedName name="OrderTable" localSheetId="50" hidden="1">#REF!</definedName>
    <definedName name="OrderTable" hidden="1">#REF!</definedName>
    <definedName name="ORF" localSheetId="51">#REF!</definedName>
    <definedName name="ORF" localSheetId="50">#REF!</definedName>
    <definedName name="ORF">#REF!</definedName>
    <definedName name="PA" localSheetId="51">#REF!</definedName>
    <definedName name="PA" localSheetId="50">#REF!</definedName>
    <definedName name="PA">#REF!</definedName>
    <definedName name="PChe" localSheetId="51">#REF!</definedName>
    <definedName name="PChe" localSheetId="50">#REF!</definedName>
    <definedName name="PChe">#REF!</definedName>
    <definedName name="PK" localSheetId="51">#REF!</definedName>
    <definedName name="PK" localSheetId="50">#REF!</definedName>
    <definedName name="PK">#REF!</definedName>
    <definedName name="PRC" localSheetId="51">#REF!</definedName>
    <definedName name="PRC" localSheetId="50">#REF!</definedName>
    <definedName name="PRC">#REF!</definedName>
    <definedName name="PRICE" localSheetId="51">#REF!</definedName>
    <definedName name="PRICE" localSheetId="50">#REF!</definedName>
    <definedName name="PRICE">#REF!</definedName>
    <definedName name="PRICE1" localSheetId="51">#REF!</definedName>
    <definedName name="PRICE1" localSheetId="50">#REF!</definedName>
    <definedName name="PRICE1">#REF!</definedName>
    <definedName name="Prin1" localSheetId="51">#REF!</definedName>
    <definedName name="Prin1" localSheetId="50">#REF!</definedName>
    <definedName name="Prin1">#REF!</definedName>
    <definedName name="Prin10" localSheetId="51">#REF!</definedName>
    <definedName name="Prin10" localSheetId="50">#REF!</definedName>
    <definedName name="Prin10">#REF!</definedName>
    <definedName name="Prin11" localSheetId="51">#REF!</definedName>
    <definedName name="Prin11" localSheetId="50">#REF!</definedName>
    <definedName name="Prin11">#REF!</definedName>
    <definedName name="Prin12" localSheetId="51">#REF!</definedName>
    <definedName name="Prin12" localSheetId="50">#REF!</definedName>
    <definedName name="Prin12">#REF!</definedName>
    <definedName name="Prin15" localSheetId="51">#REF!</definedName>
    <definedName name="Prin15" localSheetId="50">#REF!</definedName>
    <definedName name="Prin15">#REF!</definedName>
    <definedName name="Prin16" localSheetId="51">#REF!</definedName>
    <definedName name="Prin16" localSheetId="50">#REF!</definedName>
    <definedName name="Prin16">#REF!</definedName>
    <definedName name="Prin18" localSheetId="51">#REF!</definedName>
    <definedName name="Prin18" localSheetId="50">#REF!</definedName>
    <definedName name="Prin18">#REF!</definedName>
    <definedName name="Prin2" localSheetId="51">#REF!</definedName>
    <definedName name="Prin2" localSheetId="50">#REF!</definedName>
    <definedName name="Prin2">#REF!</definedName>
    <definedName name="Prin20" localSheetId="51">#REF!</definedName>
    <definedName name="Prin20" localSheetId="50">#REF!</definedName>
    <definedName name="Prin20">#REF!</definedName>
    <definedName name="Prin21" localSheetId="51">#REF!</definedName>
    <definedName name="Prin21" localSheetId="50">#REF!</definedName>
    <definedName name="Prin21">#REF!</definedName>
    <definedName name="Prin3" localSheetId="51">#REF!</definedName>
    <definedName name="Prin3" localSheetId="50">#REF!</definedName>
    <definedName name="Prin3">#REF!</definedName>
    <definedName name="Prin4" localSheetId="51">#REF!</definedName>
    <definedName name="Prin4" localSheetId="50">#REF!</definedName>
    <definedName name="Prin4">#REF!</definedName>
    <definedName name="Prin5" localSheetId="51">#REF!</definedName>
    <definedName name="Prin5" localSheetId="50">#REF!</definedName>
    <definedName name="Prin5">#REF!</definedName>
    <definedName name="Prin6" localSheetId="51">#REF!</definedName>
    <definedName name="Prin6" localSheetId="50">#REF!</definedName>
    <definedName name="Prin6">#REF!</definedName>
    <definedName name="Prin7" localSheetId="51">#REF!</definedName>
    <definedName name="Prin7" localSheetId="50">#REF!</definedName>
    <definedName name="Prin7">#REF!</definedName>
    <definedName name="Prin8" localSheetId="51">#REF!</definedName>
    <definedName name="Prin8" localSheetId="50">#REF!</definedName>
    <definedName name="Prin8">#REF!</definedName>
    <definedName name="Prin9" localSheetId="51">#REF!</definedName>
    <definedName name="Prin9" localSheetId="50">#REF!</definedName>
    <definedName name="Prin9">#REF!</definedName>
    <definedName name="_xlnm.Print_Area" localSheetId="10">'1'!$A$1:$H$68</definedName>
    <definedName name="_xlnm.Print_Area" localSheetId="11">'1.1'!$A$1:$H$67</definedName>
    <definedName name="_xlnm.Print_Area" localSheetId="46">'10'!$A$1:$J$30</definedName>
    <definedName name="_xlnm.Print_Area" localSheetId="47">'10-1 SN'!$A$1:$I$482</definedName>
    <definedName name="_xlnm.Print_Area" localSheetId="48">'10-2 ĐT'!$A$1:$H$13</definedName>
    <definedName name="_xlnm.Print_Area" localSheetId="52">'10-2 SN'!$A$1:$L$24</definedName>
    <definedName name="_xlnm.Print_Area" localSheetId="53">'10-3 SN'!$A$1:$K$36</definedName>
    <definedName name="_xlnm.Print_Area" localSheetId="12">'2'!$A$1:$J$28</definedName>
    <definedName name="_xlnm.Print_Area" localSheetId="13">'3'!$A$1:$J$44</definedName>
    <definedName name="_xlnm.Print_Area" localSheetId="14">'3.1'!$A$1:$I$83</definedName>
    <definedName name="_xlnm.Print_Area" localSheetId="15">'3.2'!$A$1:$J$50</definedName>
    <definedName name="_xlnm.Print_Area" localSheetId="16">'3.2.a'!$A$1:$J$274</definedName>
    <definedName name="_xlnm.Print_Area" localSheetId="18">'3.2.b'!$A$1:$M$48</definedName>
    <definedName name="_xlnm.Print_Area" localSheetId="19">'3.2.c'!$A$1:$I$69</definedName>
    <definedName name="_xlnm.Print_Area" localSheetId="20">'4'!$A$1:$L$23</definedName>
    <definedName name="_xlnm.Print_Area" localSheetId="21">'4.1-ĐT'!$A$1:$I$249</definedName>
    <definedName name="_xlnm.Print_Area" localSheetId="26">'4.1-SN'!$A$1:$L$49</definedName>
    <definedName name="_xlnm.Print_Area" localSheetId="22">'4.2'!$A$1:$H$33</definedName>
    <definedName name="_xlnm.Print_Area" localSheetId="23">'4.3'!$A$1:$H$31</definedName>
    <definedName name="_xlnm.Print_Area" localSheetId="24">'4.4'!$A$1:$H$34</definedName>
    <definedName name="_xlnm.Print_Area" localSheetId="25">'4.5'!$A$1:$H$65</definedName>
    <definedName name="_xlnm.Print_Area" localSheetId="27">'5'!$A$1:$J$54</definedName>
    <definedName name="_xlnm.Print_Area" localSheetId="28">'5.1-DT'!$A$1:$H$63</definedName>
    <definedName name="_xlnm.Print_Area" localSheetId="29">'5.1-SN'!$A$1:$I$53</definedName>
    <definedName name="_xlnm.Print_Area" localSheetId="31">'5.2.B'!$A$1:$I$15</definedName>
    <definedName name="_xlnm.Print_Area" localSheetId="30">'5-2.A'!$A$1:$I$48</definedName>
    <definedName name="_xlnm.Print_Area" localSheetId="32">'5-3'!$A$1:$I$159</definedName>
    <definedName name="_xlnm.Print_Area" localSheetId="33">'5-4'!$A$1:$I$129</definedName>
    <definedName name="_xlnm.Print_Area" localSheetId="34">'6'!$A$1:$J$21</definedName>
    <definedName name="_xlnm.Print_Area" localSheetId="35">'6 ĐT'!$A$1:$H$130</definedName>
    <definedName name="_xlnm.Print_Area" localSheetId="36">'6 SN'!$A$1:$I$348</definedName>
    <definedName name="_xlnm.Print_Area" localSheetId="37">'7'!$A$1:$L$15</definedName>
    <definedName name="_xlnm.Print_Area" localSheetId="38">'7-ĐT'!$A$1:$I$24</definedName>
    <definedName name="_xlnm.Print_Area" localSheetId="39">'7-SN'!$A$1:$I$76</definedName>
    <definedName name="_xlnm.Print_Area" localSheetId="41">'8 SN'!$A$1:$I$683</definedName>
    <definedName name="_xlnm.Print_Area" localSheetId="42">'9'!$A$1:$J$24</definedName>
    <definedName name="_xlnm.Print_Area" localSheetId="43">'9.1-ĐT'!$A$1:$I$92</definedName>
    <definedName name="_xlnm.Print_Area" localSheetId="44">'9.1-SN'!$A$1:$I$171</definedName>
    <definedName name="_xlnm.Print_Area" localSheetId="45">'9.2-SN'!$A$2:$I$152</definedName>
    <definedName name="_xlnm.Print_Area" localSheetId="55">'b 01 KH đt công'!$A$1:$L$16</definedName>
    <definedName name="_xlnm.Print_Area" localSheetId="0">'Bieu TH'!$A$2:$E$16</definedName>
    <definedName name="_xlnm.Print_Area" localSheetId="56">'biểu 02 SN '!$A$1:$E$28</definedName>
    <definedName name="_xlnm.Print_Area" localSheetId="58">'biểu 04 SN'!$A$1:$E$19</definedName>
    <definedName name="_xlnm.Print_Area" localSheetId="57">'Biểu Phân bổ 03 Đt'!$A$1:$N$10</definedName>
    <definedName name="_xlnm.Print_Area" localSheetId="7">'Chi tiết GN'!$A$1:$J$166</definedName>
    <definedName name="_xlnm.Print_Area" localSheetId="4">'Chi tiết NTM'!$A$1:$K$114</definedName>
    <definedName name="_xlnm.Print_Area" localSheetId="17">D.A3!$A$1:$I$37</definedName>
    <definedName name="_xlnm.Print_Area" localSheetId="40">D.A8!$A$1:$F$3</definedName>
    <definedName name="_xlnm.Print_Area" localSheetId="49">'DA 10 t (21-25)'!$A$1:$E$81</definedName>
    <definedName name="_xlnm.Print_Area" localSheetId="51">'DA 10 T kcm'!$A$1:$E$58</definedName>
    <definedName name="_xlnm.Print_Area" localSheetId="54">'DA 15 T kcm'!$A$1:$E$40</definedName>
    <definedName name="_xlnm.Print_Area" localSheetId="50">'DA 15T(21-25)'!$A$1:$E$52</definedName>
    <definedName name="_xlnm.Print_Area" localSheetId="5">'Danh muc NTM'!$A$1:$K$323</definedName>
    <definedName name="_xlnm.Print_Area" localSheetId="2">TH!$A$1:$E$17</definedName>
    <definedName name="_xlnm.Print_Area" localSheetId="8">'TH 88 Theo DV(NQ)'!$A$1:$P$41</definedName>
    <definedName name="_xlnm.Print_Area" localSheetId="9">'TH 88(NQ)'!$A$1:$Q$239</definedName>
    <definedName name="_xlnm.Print_Area" localSheetId="1">'Theo QĐ 652'!$A$1:$F$27</definedName>
    <definedName name="_xlnm.Print_Area" localSheetId="6">'TH-GN(NQ)'!$A$1:$D$27</definedName>
    <definedName name="_xlnm.Print_Area" localSheetId="3">'TH-NTM(NQ)'!$A$1:$D$23</definedName>
    <definedName name="_xlnm.Print_Area">#REF!</definedName>
    <definedName name="_xlnm.Print_Titles" localSheetId="10">'1'!$7:$8</definedName>
    <definedName name="_xlnm.Print_Titles" localSheetId="11">'1.1'!$6:$6</definedName>
    <definedName name="_xlnm.Print_Titles" localSheetId="46">'10'!$7:$8</definedName>
    <definedName name="_xlnm.Print_Titles" localSheetId="47">'10-1 SN'!$5:$6</definedName>
    <definedName name="_xlnm.Print_Titles" localSheetId="52">'10-2 SN'!$5:$6</definedName>
    <definedName name="_xlnm.Print_Titles" localSheetId="53">'10-3 SN'!$5:$6</definedName>
    <definedName name="_xlnm.Print_Titles" localSheetId="12">'2'!$7:$7</definedName>
    <definedName name="_xlnm.Print_Titles" localSheetId="13">'3'!$7:$8</definedName>
    <definedName name="_xlnm.Print_Titles" localSheetId="15">'3.2'!$4:$5</definedName>
    <definedName name="_xlnm.Print_Titles" localSheetId="16">'3.2.a'!$4:$5</definedName>
    <definedName name="_xlnm.Print_Titles" localSheetId="18">'3.2.b'!$6:$7</definedName>
    <definedName name="_xlnm.Print_Titles" localSheetId="19">'3.2.c'!$4:$5</definedName>
    <definedName name="_xlnm.Print_Titles" localSheetId="21">'4.1-ĐT'!$7:$7</definedName>
    <definedName name="_xlnm.Print_Titles" localSheetId="26">'4.1-SN'!$5:$5</definedName>
    <definedName name="_xlnm.Print_Titles" localSheetId="22">'4.2'!$4:$4</definedName>
    <definedName name="_xlnm.Print_Titles" localSheetId="23">'4.3'!$4:$4</definedName>
    <definedName name="_xlnm.Print_Titles" localSheetId="24">'4.4'!$4:$4</definedName>
    <definedName name="_xlnm.Print_Titles" localSheetId="25">'4.5'!$4:$4</definedName>
    <definedName name="_xlnm.Print_Titles" localSheetId="27">'5'!$7:$8</definedName>
    <definedName name="_xlnm.Print_Titles" localSheetId="28">'5.1-DT'!$6:$6</definedName>
    <definedName name="_xlnm.Print_Titles" localSheetId="29">'5.1-SN'!$4:$5</definedName>
    <definedName name="_xlnm.Print_Titles" localSheetId="30">'5-2.A'!$5:$6</definedName>
    <definedName name="_xlnm.Print_Titles" localSheetId="32">'5-3'!$4:$5</definedName>
    <definedName name="_xlnm.Print_Titles" localSheetId="33">'5-4'!$4:$5</definedName>
    <definedName name="_xlnm.Print_Titles" localSheetId="34">'6'!$7:$8</definedName>
    <definedName name="_xlnm.Print_Titles" localSheetId="35">'6 ĐT'!$6:$6</definedName>
    <definedName name="_xlnm.Print_Titles" localSheetId="36">'6 SN'!$4:$5</definedName>
    <definedName name="_xlnm.Print_Titles" localSheetId="37">'7'!$7:$8</definedName>
    <definedName name="_xlnm.Print_Titles" localSheetId="38">'7-ĐT'!$6:$6</definedName>
    <definedName name="_xlnm.Print_Titles" localSheetId="39">'7-SN'!$4:$4</definedName>
    <definedName name="_xlnm.Print_Titles" localSheetId="41">'8 SN'!$4:$5</definedName>
    <definedName name="_xlnm.Print_Titles" localSheetId="42">'9'!$7:$8</definedName>
    <definedName name="_xlnm.Print_Titles" localSheetId="43">'9.1-ĐT'!$7:$8</definedName>
    <definedName name="_xlnm.Print_Titles" localSheetId="45">'9.2-SN'!$5:$6</definedName>
    <definedName name="_xlnm.Print_Titles" localSheetId="56">'biểu 02 SN '!$5:$5</definedName>
    <definedName name="_xlnm.Print_Titles" localSheetId="7">'Chi tiết GN'!$5:$7</definedName>
    <definedName name="_xlnm.Print_Titles" localSheetId="4">'Chi tiết NTM'!$5:$7</definedName>
    <definedName name="_xlnm.Print_Titles" localSheetId="17">D.A3!$6:$6</definedName>
    <definedName name="_xlnm.Print_Titles" localSheetId="49">'DA 10 t (21-25)'!$4:$4</definedName>
    <definedName name="_xlnm.Print_Titles" localSheetId="51">'DA 10 T kcm'!$3:$3</definedName>
    <definedName name="_xlnm.Print_Titles" localSheetId="54">'DA 15 T kcm'!$3:$3</definedName>
    <definedName name="_xlnm.Print_Titles" localSheetId="50">'DA 15T(21-25)'!$3:$3</definedName>
    <definedName name="_xlnm.Print_Titles" localSheetId="2">TH!$5:$5</definedName>
    <definedName name="_xlnm.Print_Titles" localSheetId="8">'TH 88 Theo DV(NQ)'!$6:$8</definedName>
    <definedName name="_xlnm.Print_Titles" localSheetId="9">'TH 88(NQ)'!$5:$7</definedName>
    <definedName name="_xlnm.Print_Titles" localSheetId="6">'TH-GN(NQ)'!$6:$6</definedName>
    <definedName name="_xlnm.Print_Titles" localSheetId="3">'TH-NTM(NQ)'!$6:$6</definedName>
    <definedName name="_xlnm.Print_Titles">#REF!</definedName>
    <definedName name="Print_Titles_MI" localSheetId="7">#REF!</definedName>
    <definedName name="Print_Titles_MI" localSheetId="51">#REF!</definedName>
    <definedName name="Print_Titles_MI" localSheetId="50">#REF!</definedName>
    <definedName name="Print_Titles_MI">#REF!</definedName>
    <definedName name="PRINTA" localSheetId="51">#REF!</definedName>
    <definedName name="PRINTA" localSheetId="50">#REF!</definedName>
    <definedName name="PRINTA">#REF!</definedName>
    <definedName name="PRINTB" localSheetId="51">#REF!</definedName>
    <definedName name="PRINTB" localSheetId="50">#REF!</definedName>
    <definedName name="PRINTB">#REF!</definedName>
    <definedName name="PRINTC" localSheetId="51">#REF!</definedName>
    <definedName name="PRINTC" localSheetId="50">#REF!</definedName>
    <definedName name="PRINTC">#REF!</definedName>
    <definedName name="ProdForm" localSheetId="51" hidden="1">#REF!</definedName>
    <definedName name="ProdForm" localSheetId="50" hidden="1">#REF!</definedName>
    <definedName name="ProdForm" hidden="1">#REF!</definedName>
    <definedName name="Product" localSheetId="51" hidden="1">#REF!</definedName>
    <definedName name="Product" localSheetId="50" hidden="1">#REF!</definedName>
    <definedName name="Product" hidden="1">#REF!</definedName>
    <definedName name="PROPOSAL" localSheetId="51">#REF!</definedName>
    <definedName name="PROPOSAL" localSheetId="50">#REF!</definedName>
    <definedName name="PROPOSAL">#REF!</definedName>
    <definedName name="pt" localSheetId="51">#REF!</definedName>
    <definedName name="pt" localSheetId="50">#REF!</definedName>
    <definedName name="pt">#REF!</definedName>
    <definedName name="PT_A1" localSheetId="51">#REF!</definedName>
    <definedName name="PT_A1" localSheetId="50">#REF!</definedName>
    <definedName name="PT_A1">#REF!</definedName>
    <definedName name="PT_Duong" localSheetId="51">#REF!</definedName>
    <definedName name="PT_Duong" localSheetId="50">#REF!</definedName>
    <definedName name="PT_Duong">#REF!</definedName>
    <definedName name="ptdg" localSheetId="51">#REF!</definedName>
    <definedName name="ptdg" localSheetId="50">#REF!</definedName>
    <definedName name="ptdg">#REF!</definedName>
    <definedName name="PTDG_cau" localSheetId="51">#REF!</definedName>
    <definedName name="PTDG_cau" localSheetId="50">#REF!</definedName>
    <definedName name="PTDG_cau">#REF!</definedName>
    <definedName name="ptdg_cong" localSheetId="51">#REF!</definedName>
    <definedName name="ptdg_cong" localSheetId="50">#REF!</definedName>
    <definedName name="ptdg_cong">#REF!</definedName>
    <definedName name="ptdg_duong" localSheetId="51">#REF!</definedName>
    <definedName name="ptdg_duong" localSheetId="50">#REF!</definedName>
    <definedName name="ptdg_duong">#REF!</definedName>
    <definedName name="pvd" localSheetId="51">#REF!</definedName>
    <definedName name="pvd" localSheetId="50">#REF!</definedName>
    <definedName name="pvd">#REF!</definedName>
    <definedName name="PHC" localSheetId="51">#REF!</definedName>
    <definedName name="PHC" localSheetId="50">#REF!</definedName>
    <definedName name="PHC">#REF!</definedName>
    <definedName name="Phone" localSheetId="51">#REF!</definedName>
    <definedName name="Phone" localSheetId="50">#REF!</definedName>
    <definedName name="Phone">#REF!</definedName>
    <definedName name="phu_luc_vua" localSheetId="51">#REF!</definedName>
    <definedName name="phu_luc_vua" localSheetId="50">#REF!</definedName>
    <definedName name="phu_luc_vua">#REF!</definedName>
    <definedName name="qtdm" localSheetId="51">#REF!</definedName>
    <definedName name="qtdm" localSheetId="50">#REF!</definedName>
    <definedName name="qtdm">#REF!</definedName>
    <definedName name="Ra" localSheetId="51">#REF!</definedName>
    <definedName name="Ra" localSheetId="50">#REF!</definedName>
    <definedName name="Ra">#REF!</definedName>
    <definedName name="ra11p" localSheetId="51">#REF!</definedName>
    <definedName name="ra11p" localSheetId="50">#REF!</definedName>
    <definedName name="ra11p">#REF!</definedName>
    <definedName name="ra13p" localSheetId="51">#REF!</definedName>
    <definedName name="ra13p" localSheetId="50">#REF!</definedName>
    <definedName name="ra13p">#REF!</definedName>
    <definedName name="Racot" localSheetId="51">#REF!</definedName>
    <definedName name="Racot" localSheetId="50">#REF!</definedName>
    <definedName name="Racot">#REF!</definedName>
    <definedName name="Radam" localSheetId="51">#REF!</definedName>
    <definedName name="Radam" localSheetId="50">#REF!</definedName>
    <definedName name="Radam">#REF!</definedName>
    <definedName name="rate">14000</definedName>
    <definedName name="RCArea" localSheetId="7" hidden="1">#REF!</definedName>
    <definedName name="RCArea" localSheetId="51" hidden="1">#REF!</definedName>
    <definedName name="RCArea" localSheetId="50" hidden="1">#REF!</definedName>
    <definedName name="RCArea" hidden="1">#REF!</definedName>
    <definedName name="RCF" localSheetId="7">#REF!</definedName>
    <definedName name="RCF" localSheetId="51">#REF!</definedName>
    <definedName name="RCF" localSheetId="50">#REF!</definedName>
    <definedName name="RCF">#REF!</definedName>
    <definedName name="RCKM" localSheetId="7">#REF!</definedName>
    <definedName name="RCKM" localSheetId="51">#REF!</definedName>
    <definedName name="RCKM" localSheetId="50">#REF!</definedName>
    <definedName name="RCKM">#REF!</definedName>
    <definedName name="RDEC" localSheetId="51">#REF!</definedName>
    <definedName name="RDEC" localSheetId="50">#REF!</definedName>
    <definedName name="RDEC">#REF!</definedName>
    <definedName name="RDEFF" localSheetId="51">#REF!</definedName>
    <definedName name="RDEFF" localSheetId="50">#REF!</definedName>
    <definedName name="RDEFF">#REF!</definedName>
    <definedName name="RDFC" localSheetId="51">#REF!</definedName>
    <definedName name="RDFC" localSheetId="50">#REF!</definedName>
    <definedName name="RDFC">#REF!</definedName>
    <definedName name="RDFU" localSheetId="51">#REF!</definedName>
    <definedName name="RDFU" localSheetId="50">#REF!</definedName>
    <definedName name="RDFU">#REF!</definedName>
    <definedName name="RDLIF" localSheetId="51">#REF!</definedName>
    <definedName name="RDLIF" localSheetId="50">#REF!</definedName>
    <definedName name="RDLIF">#REF!</definedName>
    <definedName name="RDOM" localSheetId="51">#REF!</definedName>
    <definedName name="RDOM" localSheetId="50">#REF!</definedName>
    <definedName name="RDOM">#REF!</definedName>
    <definedName name="rdpcf" localSheetId="51">#REF!</definedName>
    <definedName name="rdpcf" localSheetId="50">#REF!</definedName>
    <definedName name="rdpcf">#REF!</definedName>
    <definedName name="RDRC" localSheetId="51">#REF!</definedName>
    <definedName name="RDRC" localSheetId="50">#REF!</definedName>
    <definedName name="RDRC">#REF!</definedName>
    <definedName name="RDRF" localSheetId="51">#REF!</definedName>
    <definedName name="RDRF" localSheetId="50">#REF!</definedName>
    <definedName name="RDRF">#REF!</definedName>
    <definedName name="_xlnm.Recorder" localSheetId="51">#REF!</definedName>
    <definedName name="_xlnm.Recorder" localSheetId="50">#REF!</definedName>
    <definedName name="_xlnm.Recorder">#REF!</definedName>
    <definedName name="RECOUT">#N/A</definedName>
    <definedName name="REG" localSheetId="7">#REF!</definedName>
    <definedName name="REG" localSheetId="51">#REF!</definedName>
    <definedName name="REG" localSheetId="50">#REF!</definedName>
    <definedName name="REG">#REF!</definedName>
    <definedName name="RFP003A" localSheetId="7">#REF!</definedName>
    <definedName name="RFP003A" localSheetId="51">#REF!</definedName>
    <definedName name="RFP003A" localSheetId="50">#REF!</definedName>
    <definedName name="RFP003A">#REF!</definedName>
    <definedName name="RFP003B" localSheetId="7">#REF!</definedName>
    <definedName name="RFP003B" localSheetId="51">#REF!</definedName>
    <definedName name="RFP003B" localSheetId="50">#REF!</definedName>
    <definedName name="RFP003B">#REF!</definedName>
    <definedName name="RFP003C" localSheetId="51">#REF!</definedName>
    <definedName name="RFP003C" localSheetId="50">#REF!</definedName>
    <definedName name="RFP003C">#REF!</definedName>
    <definedName name="RFP003D" localSheetId="51">#REF!</definedName>
    <definedName name="RFP003D" localSheetId="50">#REF!</definedName>
    <definedName name="RFP003D">#REF!</definedName>
    <definedName name="RFP003E" localSheetId="51">#REF!</definedName>
    <definedName name="RFP003E" localSheetId="50">#REF!</definedName>
    <definedName name="RFP003E">#REF!</definedName>
    <definedName name="RFP003F" localSheetId="51">#REF!</definedName>
    <definedName name="RFP003F" localSheetId="50">#REF!</definedName>
    <definedName name="RFP003F">#REF!</definedName>
    <definedName name="RGLIF" localSheetId="51">#REF!</definedName>
    <definedName name="RGLIF" localSheetId="50">#REF!</definedName>
    <definedName name="RGLIF">#REF!</definedName>
    <definedName name="RHEC" localSheetId="51">#REF!</definedName>
    <definedName name="RHEC" localSheetId="50">#REF!</definedName>
    <definedName name="RHEC">#REF!</definedName>
    <definedName name="RHEFF" localSheetId="51">#REF!</definedName>
    <definedName name="RHEFF" localSheetId="50">#REF!</definedName>
    <definedName name="RHEFF">#REF!</definedName>
    <definedName name="RHHC" localSheetId="51">#REF!</definedName>
    <definedName name="RHHC" localSheetId="50">#REF!</definedName>
    <definedName name="RHHC">#REF!</definedName>
    <definedName name="RHLIF" localSheetId="51">#REF!</definedName>
    <definedName name="RHLIF" localSheetId="50">#REF!</definedName>
    <definedName name="RHLIF">#REF!</definedName>
    <definedName name="RHOM" localSheetId="51">#REF!</definedName>
    <definedName name="RHOM" localSheetId="50">#REF!</definedName>
    <definedName name="RHOM">#REF!</definedName>
    <definedName name="RIR" localSheetId="51">#REF!</definedName>
    <definedName name="RIR" localSheetId="50">#REF!</definedName>
    <definedName name="RIR">#REF!</definedName>
    <definedName name="RLF" localSheetId="51">#REF!</definedName>
    <definedName name="RLF" localSheetId="50">#REF!</definedName>
    <definedName name="RLF">#REF!</definedName>
    <definedName name="RLKM" localSheetId="51">#REF!</definedName>
    <definedName name="RLKM" localSheetId="50">#REF!</definedName>
    <definedName name="RLKM">#REF!</definedName>
    <definedName name="RLL" localSheetId="51">#REF!</definedName>
    <definedName name="RLL" localSheetId="50">#REF!</definedName>
    <definedName name="RLL">#REF!</definedName>
    <definedName name="RLOM" localSheetId="51">#REF!</definedName>
    <definedName name="RLOM" localSheetId="50">#REF!</definedName>
    <definedName name="RLOM">#REF!</definedName>
    <definedName name="Rn" localSheetId="51">#REF!</definedName>
    <definedName name="Rn" localSheetId="50">#REF!</definedName>
    <definedName name="Rn">#REF!</definedName>
    <definedName name="Rncot" localSheetId="51">#REF!</definedName>
    <definedName name="Rncot" localSheetId="50">#REF!</definedName>
    <definedName name="Rncot">#REF!</definedName>
    <definedName name="Rndam" localSheetId="51">#REF!</definedName>
    <definedName name="Rndam" localSheetId="50">#REF!</definedName>
    <definedName name="Rndam">#REF!</definedName>
    <definedName name="RPHEC" localSheetId="51">#REF!</definedName>
    <definedName name="RPHEC" localSheetId="50">#REF!</definedName>
    <definedName name="RPHEC">#REF!</definedName>
    <definedName name="RPHLIF" localSheetId="51">#REF!</definedName>
    <definedName name="RPHLIF" localSheetId="50">#REF!</definedName>
    <definedName name="RPHLIF">#REF!</definedName>
    <definedName name="RPHOM" localSheetId="51">#REF!</definedName>
    <definedName name="RPHOM" localSheetId="50">#REF!</definedName>
    <definedName name="RPHOM">#REF!</definedName>
    <definedName name="RPHPC" localSheetId="51">#REF!</definedName>
    <definedName name="RPHPC" localSheetId="50">#REF!</definedName>
    <definedName name="RPHPC">#REF!</definedName>
    <definedName name="RSBC" localSheetId="51">#REF!</definedName>
    <definedName name="RSBC" localSheetId="50">#REF!</definedName>
    <definedName name="RSBC">#REF!</definedName>
    <definedName name="RSBLIF" localSheetId="51">#REF!</definedName>
    <definedName name="RSBLIF" localSheetId="50">#REF!</definedName>
    <definedName name="RSBLIF">#REF!</definedName>
    <definedName name="RSIC" localSheetId="51">#REF!</definedName>
    <definedName name="RSIC" localSheetId="50">#REF!</definedName>
    <definedName name="RSIC">#REF!</definedName>
    <definedName name="RSIN" localSheetId="51">#REF!</definedName>
    <definedName name="RSIN" localSheetId="50">#REF!</definedName>
    <definedName name="RSIN">#REF!</definedName>
    <definedName name="RSLIF" localSheetId="51">#REF!</definedName>
    <definedName name="RSLIF" localSheetId="50">#REF!</definedName>
    <definedName name="RSLIF">#REF!</definedName>
    <definedName name="RSOM" localSheetId="51">#REF!</definedName>
    <definedName name="RSOM" localSheetId="50">#REF!</definedName>
    <definedName name="RSOM">#REF!</definedName>
    <definedName name="RSPI" localSheetId="51">#REF!</definedName>
    <definedName name="RSPI" localSheetId="50">#REF!</definedName>
    <definedName name="RSPI">#REF!</definedName>
    <definedName name="RSSC" localSheetId="51">#REF!</definedName>
    <definedName name="RSSC" localSheetId="50">#REF!</definedName>
    <definedName name="RSSC">#REF!</definedName>
    <definedName name="RWTPlo" localSheetId="51">#REF!</definedName>
    <definedName name="RWTPlo" localSheetId="50">#REF!</definedName>
    <definedName name="RWTPlo">#REF!</definedName>
    <definedName name="RWTPhi" localSheetId="51">#REF!</definedName>
    <definedName name="RWTPhi" localSheetId="50">#REF!</definedName>
    <definedName name="RWTPhi">#REF!</definedName>
    <definedName name="sand" localSheetId="51">#REF!</definedName>
    <definedName name="sand" localSheetId="50">#REF!</definedName>
    <definedName name="sand">#REF!</definedName>
    <definedName name="SCH" localSheetId="51">#REF!</definedName>
    <definedName name="SCH" localSheetId="50">#REF!</definedName>
    <definedName name="SCH">#REF!</definedName>
    <definedName name="SDMONG" localSheetId="51">#REF!</definedName>
    <definedName name="SDMONG" localSheetId="50">#REF!</definedName>
    <definedName name="SDMONG">#REF!</definedName>
    <definedName name="Sheet1" localSheetId="51">#REF!</definedName>
    <definedName name="Sheet1" localSheetId="50">#REF!</definedName>
    <definedName name="Sheet1">#REF!</definedName>
    <definedName name="sho" localSheetId="51">#REF!</definedName>
    <definedName name="sho" localSheetId="50">#REF!</definedName>
    <definedName name="sho">#REF!</definedName>
    <definedName name="SIZE" localSheetId="51">#REF!</definedName>
    <definedName name="SIZE" localSheetId="50">#REF!</definedName>
    <definedName name="SIZE">#REF!</definedName>
    <definedName name="SL_CRD" localSheetId="51">#REF!</definedName>
    <definedName name="SL_CRD" localSheetId="50">#REF!</definedName>
    <definedName name="SL_CRD">#REF!</definedName>
    <definedName name="SL_CRS" localSheetId="51">#REF!</definedName>
    <definedName name="SL_CRS" localSheetId="50">#REF!</definedName>
    <definedName name="SL_CRS">#REF!</definedName>
    <definedName name="SL_CS" localSheetId="51">#REF!</definedName>
    <definedName name="SL_CS" localSheetId="50">#REF!</definedName>
    <definedName name="SL_CS">#REF!</definedName>
    <definedName name="SL_DD" localSheetId="51">#REF!</definedName>
    <definedName name="SL_DD" localSheetId="50">#REF!</definedName>
    <definedName name="SL_DD">#REF!</definedName>
    <definedName name="soc3p" localSheetId="51">#REF!</definedName>
    <definedName name="soc3p" localSheetId="50">#REF!</definedName>
    <definedName name="soc3p">#REF!</definedName>
    <definedName name="Soi" localSheetId="51">#REF!</definedName>
    <definedName name="Soi" localSheetId="50">#REF!</definedName>
    <definedName name="Soi">#REF!</definedName>
    <definedName name="soichon12" localSheetId="51">#REF!</definedName>
    <definedName name="soichon12" localSheetId="50">#REF!</definedName>
    <definedName name="soichon12">#REF!</definedName>
    <definedName name="soichon24" localSheetId="51">#REF!</definedName>
    <definedName name="soichon24" localSheetId="50">#REF!</definedName>
    <definedName name="soichon24">#REF!</definedName>
    <definedName name="soichon46" localSheetId="51">#REF!</definedName>
    <definedName name="soichon46" localSheetId="50">#REF!</definedName>
    <definedName name="soichon46">#REF!</definedName>
    <definedName name="solieu" localSheetId="51">#REF!</definedName>
    <definedName name="solieu" localSheetId="50">#REF!</definedName>
    <definedName name="solieu">#REF!</definedName>
    <definedName name="SORT" localSheetId="51">#REF!</definedName>
    <definedName name="SORT" localSheetId="50">#REF!</definedName>
    <definedName name="SORT">#REF!</definedName>
    <definedName name="Sothutu" localSheetId="51">#REF!</definedName>
    <definedName name="Sothutu" localSheetId="50">#REF!</definedName>
    <definedName name="Sothutu">#REF!</definedName>
    <definedName name="SPEC" localSheetId="51">#REF!</definedName>
    <definedName name="SPEC" localSheetId="50">#REF!</definedName>
    <definedName name="SPEC">#REF!</definedName>
    <definedName name="SpecialPrice" localSheetId="51" hidden="1">#REF!</definedName>
    <definedName name="SpecialPrice" localSheetId="50" hidden="1">#REF!</definedName>
    <definedName name="SpecialPrice" hidden="1">#REF!</definedName>
    <definedName name="SPECSUMMARY" localSheetId="51">#REF!</definedName>
    <definedName name="SPECSUMMARY" localSheetId="50">#REF!</definedName>
    <definedName name="SPECSUMMARY">#REF!</definedName>
    <definedName name="start" localSheetId="51">#REF!</definedName>
    <definedName name="start" localSheetId="50">#REF!</definedName>
    <definedName name="start">#REF!</definedName>
    <definedName name="Start_1" localSheetId="51">#REF!</definedName>
    <definedName name="Start_1" localSheetId="50">#REF!</definedName>
    <definedName name="Start_1">#REF!</definedName>
    <definedName name="Start_10" localSheetId="51">#REF!</definedName>
    <definedName name="Start_10" localSheetId="50">#REF!</definedName>
    <definedName name="Start_10">#REF!</definedName>
    <definedName name="Start_11" localSheetId="51">#REF!</definedName>
    <definedName name="Start_11" localSheetId="50">#REF!</definedName>
    <definedName name="Start_11">#REF!</definedName>
    <definedName name="Start_12" localSheetId="51">#REF!</definedName>
    <definedName name="Start_12" localSheetId="50">#REF!</definedName>
    <definedName name="Start_12">#REF!</definedName>
    <definedName name="Start_13" localSheetId="51">#REF!</definedName>
    <definedName name="Start_13" localSheetId="50">#REF!</definedName>
    <definedName name="Start_13">#REF!</definedName>
    <definedName name="Start_2" localSheetId="51">#REF!</definedName>
    <definedName name="Start_2" localSheetId="50">#REF!</definedName>
    <definedName name="Start_2">#REF!</definedName>
    <definedName name="Start_3" localSheetId="51">#REF!</definedName>
    <definedName name="Start_3" localSheetId="50">#REF!</definedName>
    <definedName name="Start_3">#REF!</definedName>
    <definedName name="Start_4" localSheetId="51">#REF!</definedName>
    <definedName name="Start_4" localSheetId="50">#REF!</definedName>
    <definedName name="Start_4">#REF!</definedName>
    <definedName name="Start_5" localSheetId="51">#REF!</definedName>
    <definedName name="Start_5" localSheetId="50">#REF!</definedName>
    <definedName name="Start_5">#REF!</definedName>
    <definedName name="Start_6" localSheetId="51">#REF!</definedName>
    <definedName name="Start_6" localSheetId="50">#REF!</definedName>
    <definedName name="Start_6">#REF!</definedName>
    <definedName name="Start_7" localSheetId="51">#REF!</definedName>
    <definedName name="Start_7" localSheetId="50">#REF!</definedName>
    <definedName name="Start_7">#REF!</definedName>
    <definedName name="Start_8" localSheetId="51">#REF!</definedName>
    <definedName name="Start_8" localSheetId="50">#REF!</definedName>
    <definedName name="Start_8">#REF!</definedName>
    <definedName name="Start_9" localSheetId="51">#REF!</definedName>
    <definedName name="Start_9" localSheetId="50">#REF!</definedName>
    <definedName name="Start_9">#REF!</definedName>
    <definedName name="State" localSheetId="51">#REF!</definedName>
    <definedName name="State" localSheetId="50">#REF!</definedName>
    <definedName name="State">#REF!</definedName>
    <definedName name="Stt" localSheetId="51">#REF!</definedName>
    <definedName name="Stt" localSheetId="50">#REF!</definedName>
    <definedName name="Stt">#REF!</definedName>
    <definedName name="su" localSheetId="51">#REF!</definedName>
    <definedName name="su" localSheetId="50">#REF!</definedName>
    <definedName name="su">#REF!</definedName>
    <definedName name="sub" localSheetId="51">#REF!</definedName>
    <definedName name="sub" localSheetId="50">#REF!</definedName>
    <definedName name="sub">#REF!</definedName>
    <definedName name="SUL" localSheetId="51">#REF!</definedName>
    <definedName name="SUL" localSheetId="50">#REF!</definedName>
    <definedName name="SUL">#REF!</definedName>
    <definedName name="SUMITOMO" localSheetId="51">#REF!</definedName>
    <definedName name="SUMITOMO" localSheetId="50">#REF!</definedName>
    <definedName name="SUMITOMO">#REF!</definedName>
    <definedName name="SUMITOMO_GT" localSheetId="51">#REF!</definedName>
    <definedName name="SUMITOMO_GT" localSheetId="50">#REF!</definedName>
    <definedName name="SUMITOMO_GT">#REF!</definedName>
    <definedName name="SUMMARY" localSheetId="51">#REF!</definedName>
    <definedName name="SUMMARY" localSheetId="50">#REF!</definedName>
    <definedName name="SUMMARY">#REF!</definedName>
    <definedName name="sur" localSheetId="51">#REF!</definedName>
    <definedName name="sur" localSheetId="50">#REF!</definedName>
    <definedName name="sur">#REF!</definedName>
    <definedName name="t101p" localSheetId="51">#REF!</definedName>
    <definedName name="t101p" localSheetId="50">#REF!</definedName>
    <definedName name="t101p">#REF!</definedName>
    <definedName name="t103p" localSheetId="51">#REF!</definedName>
    <definedName name="t103p" localSheetId="50">#REF!</definedName>
    <definedName name="t103p">#REF!</definedName>
    <definedName name="t10nc1p" localSheetId="51">#REF!</definedName>
    <definedName name="t10nc1p" localSheetId="50">#REF!</definedName>
    <definedName name="t10nc1p">#REF!</definedName>
    <definedName name="t10vl1p" localSheetId="51">#REF!</definedName>
    <definedName name="t10vl1p" localSheetId="50">#REF!</definedName>
    <definedName name="t10vl1p">#REF!</definedName>
    <definedName name="t121p" localSheetId="51">#REF!</definedName>
    <definedName name="t121p" localSheetId="50">#REF!</definedName>
    <definedName name="t121p">#REF!</definedName>
    <definedName name="t123p" localSheetId="51">#REF!</definedName>
    <definedName name="t123p" localSheetId="50">#REF!</definedName>
    <definedName name="t123p">#REF!</definedName>
    <definedName name="t141p" localSheetId="51">#REF!</definedName>
    <definedName name="t141p" localSheetId="50">#REF!</definedName>
    <definedName name="t141p">#REF!</definedName>
    <definedName name="t143p" localSheetId="51">#REF!</definedName>
    <definedName name="t143p" localSheetId="50">#REF!</definedName>
    <definedName name="t143p">#REF!</definedName>
    <definedName name="t14nc3p" localSheetId="51">#REF!</definedName>
    <definedName name="t14nc3p" localSheetId="50">#REF!</definedName>
    <definedName name="t14nc3p">#REF!</definedName>
    <definedName name="t14vl3p" localSheetId="51">#REF!</definedName>
    <definedName name="t14vl3p" localSheetId="50">#REF!</definedName>
    <definedName name="t14vl3p">#REF!</definedName>
    <definedName name="taun" localSheetId="51">#REF!</definedName>
    <definedName name="taun" localSheetId="50">#REF!</definedName>
    <definedName name="taun">#REF!</definedName>
    <definedName name="TaxTV">10%</definedName>
    <definedName name="TaxXL">5%</definedName>
    <definedName name="TBA" localSheetId="7">#REF!</definedName>
    <definedName name="TBA" localSheetId="51">#REF!</definedName>
    <definedName name="TBA" localSheetId="50">#REF!</definedName>
    <definedName name="TBA">#REF!</definedName>
    <definedName name="tbl_ProdInfo" localSheetId="7" hidden="1">#REF!</definedName>
    <definedName name="tbl_ProdInfo" localSheetId="51" hidden="1">#REF!</definedName>
    <definedName name="tbl_ProdInfo" localSheetId="50" hidden="1">#REF!</definedName>
    <definedName name="tbl_ProdInfo" hidden="1">#REF!</definedName>
    <definedName name="tbtram" localSheetId="7">#REF!</definedName>
    <definedName name="tbtram" localSheetId="51">#REF!</definedName>
    <definedName name="tbtram" localSheetId="50">#REF!</definedName>
    <definedName name="tbtram">#REF!</definedName>
    <definedName name="TC" localSheetId="51">#REF!</definedName>
    <definedName name="TC" localSheetId="50">#REF!</definedName>
    <definedName name="TC">#REF!</definedName>
    <definedName name="TC_NHANH1" localSheetId="51">#REF!</definedName>
    <definedName name="TC_NHANH1" localSheetId="50">#REF!</definedName>
    <definedName name="TC_NHANH1">#REF!</definedName>
    <definedName name="TD" localSheetId="51">#REF!</definedName>
    <definedName name="TD" localSheetId="50">#REF!</definedName>
    <definedName name="TD">#REF!</definedName>
    <definedName name="td1p" localSheetId="51">#REF!</definedName>
    <definedName name="td1p" localSheetId="50">#REF!</definedName>
    <definedName name="td1p">#REF!</definedName>
    <definedName name="td3p" localSheetId="51">#REF!</definedName>
    <definedName name="td3p" localSheetId="50">#REF!</definedName>
    <definedName name="td3p">#REF!</definedName>
    <definedName name="TDDAKT" localSheetId="51">#REF!</definedName>
    <definedName name="TDDAKT" localSheetId="50">#REF!</definedName>
    <definedName name="TDDAKT">#REF!</definedName>
    <definedName name="tdia" localSheetId="51">#REF!</definedName>
    <definedName name="tdia" localSheetId="50">#REF!</definedName>
    <definedName name="tdia">#REF!</definedName>
    <definedName name="tdnc1p" localSheetId="51">#REF!</definedName>
    <definedName name="tdnc1p" localSheetId="50">#REF!</definedName>
    <definedName name="tdnc1p">#REF!</definedName>
    <definedName name="tdt" localSheetId="51">#REF!</definedName>
    <definedName name="tdt" localSheetId="50">#REF!</definedName>
    <definedName name="tdt">#REF!</definedName>
    <definedName name="TDTDT" localSheetId="51">#REF!</definedName>
    <definedName name="TDTDT" localSheetId="50">#REF!</definedName>
    <definedName name="TDTDT">#REF!</definedName>
    <definedName name="TDTKKT" localSheetId="51">#REF!</definedName>
    <definedName name="TDTKKT" localSheetId="50">#REF!</definedName>
    <definedName name="TDTKKT">#REF!</definedName>
    <definedName name="tdtr2cnc" localSheetId="51">#REF!</definedName>
    <definedName name="tdtr2cnc" localSheetId="50">#REF!</definedName>
    <definedName name="tdtr2cnc">#REF!</definedName>
    <definedName name="tdtr2cvl" localSheetId="51">#REF!</definedName>
    <definedName name="tdtr2cvl" localSheetId="50">#REF!</definedName>
    <definedName name="tdtr2cvl">#REF!</definedName>
    <definedName name="tdvl1p" localSheetId="51">#REF!</definedName>
    <definedName name="tdvl1p" localSheetId="50">#REF!</definedName>
    <definedName name="tdvl1p">#REF!</definedName>
    <definedName name="tenvung" localSheetId="51">#REF!</definedName>
    <definedName name="tenvung" localSheetId="50">#REF!</definedName>
    <definedName name="tenvung">#REF!</definedName>
    <definedName name="Tengoi" localSheetId="51">#REF!</definedName>
    <definedName name="Tengoi" localSheetId="50">#REF!</definedName>
    <definedName name="Tengoi">#REF!</definedName>
    <definedName name="TI" localSheetId="7">#REF!</definedName>
    <definedName name="TI" localSheetId="51">#REF!</definedName>
    <definedName name="TI" localSheetId="50">#REF!</definedName>
    <definedName name="TI">#REF!</definedName>
    <definedName name="Tien" localSheetId="7">#REF!</definedName>
    <definedName name="Tien" localSheetId="51">#REF!</definedName>
    <definedName name="Tien" localSheetId="50">#REF!</definedName>
    <definedName name="Tien">#REF!</definedName>
    <definedName name="Tim_lan_xuat_hien" localSheetId="7">#REF!</definedName>
    <definedName name="Tim_lan_xuat_hien" localSheetId="51">#REF!</definedName>
    <definedName name="Tim_lan_xuat_hien" localSheetId="50">#REF!</definedName>
    <definedName name="Tim_lan_xuat_hien">#REF!</definedName>
    <definedName name="tim_xuat_hien" localSheetId="51">#REF!</definedName>
    <definedName name="tim_xuat_hien" localSheetId="50">#REF!</definedName>
    <definedName name="tim_xuat_hien">#REF!</definedName>
    <definedName name="TITAN" localSheetId="51">#REF!</definedName>
    <definedName name="TITAN" localSheetId="50">#REF!</definedName>
    <definedName name="TITAN">#REF!</definedName>
    <definedName name="TK" localSheetId="51">#REF!</definedName>
    <definedName name="TK" localSheetId="50">#REF!</definedName>
    <definedName name="TK">#REF!</definedName>
    <definedName name="TLAC120" localSheetId="51">#REF!</definedName>
    <definedName name="TLAC120" localSheetId="50">#REF!</definedName>
    <definedName name="TLAC120">#REF!</definedName>
    <definedName name="TLAC35" localSheetId="51">#REF!</definedName>
    <definedName name="TLAC35" localSheetId="50">#REF!</definedName>
    <definedName name="TLAC35">#REF!</definedName>
    <definedName name="TLAC50" localSheetId="51">#REF!</definedName>
    <definedName name="TLAC50" localSheetId="50">#REF!</definedName>
    <definedName name="TLAC50">#REF!</definedName>
    <definedName name="TLAC70" localSheetId="51">#REF!</definedName>
    <definedName name="TLAC70" localSheetId="50">#REF!</definedName>
    <definedName name="TLAC70">#REF!</definedName>
    <definedName name="TLAC95" localSheetId="51">#REF!</definedName>
    <definedName name="TLAC95" localSheetId="50">#REF!</definedName>
    <definedName name="TLAC95">#REF!</definedName>
    <definedName name="Tle" localSheetId="51">#REF!</definedName>
    <definedName name="Tle" localSheetId="50">#REF!</definedName>
    <definedName name="Tle">#REF!</definedName>
    <definedName name="TMDT1" localSheetId="51">#REF!</definedName>
    <definedName name="TMDT1" localSheetId="50">#REF!</definedName>
    <definedName name="TMDT1">#REF!</definedName>
    <definedName name="TMDT2" localSheetId="51">#REF!</definedName>
    <definedName name="TMDT2" localSheetId="50">#REF!</definedName>
    <definedName name="TMDT2">#REF!</definedName>
    <definedName name="TMDTmoi" localSheetId="51">#REF!</definedName>
    <definedName name="TMDTmoi" localSheetId="50">#REF!</definedName>
    <definedName name="TMDTmoi">#REF!</definedName>
    <definedName name="TN" localSheetId="51">#REF!</definedName>
    <definedName name="TN" localSheetId="50">#REF!</definedName>
    <definedName name="TN">#REF!</definedName>
    <definedName name="Tonmai" localSheetId="51">#REF!</definedName>
    <definedName name="Tonmai" localSheetId="50">#REF!</definedName>
    <definedName name="Tonmai">#REF!</definedName>
    <definedName name="TPLRP" localSheetId="51">#REF!</definedName>
    <definedName name="TPLRP" localSheetId="50">#REF!</definedName>
    <definedName name="TPLRP">#REF!</definedName>
    <definedName name="TT_1P" localSheetId="51">#REF!</definedName>
    <definedName name="TT_1P" localSheetId="50">#REF!</definedName>
    <definedName name="TT_1P">#REF!</definedName>
    <definedName name="TT_3p" localSheetId="51">#REF!</definedName>
    <definedName name="TT_3p" localSheetId="50">#REF!</definedName>
    <definedName name="TT_3p">#REF!</definedName>
    <definedName name="TTCto" localSheetId="51">#REF!</definedName>
    <definedName name="TTCto" localSheetId="50">#REF!</definedName>
    <definedName name="TTCto">#REF!</definedName>
    <definedName name="TTDZ" localSheetId="51">#REF!</definedName>
    <definedName name="TTDZ" localSheetId="50">#REF!</definedName>
    <definedName name="TTDZ">#REF!</definedName>
    <definedName name="TTDZ04" localSheetId="51">#REF!</definedName>
    <definedName name="TTDZ04" localSheetId="50">#REF!</definedName>
    <definedName name="TTDZ04">#REF!</definedName>
    <definedName name="TTVAn5" localSheetId="51">#REF!</definedName>
    <definedName name="TTVAn5" localSheetId="50">#REF!</definedName>
    <definedName name="TTVAn5">#REF!</definedName>
    <definedName name="tthi" localSheetId="51">#REF!</definedName>
    <definedName name="tthi" localSheetId="50">#REF!</definedName>
    <definedName name="tthi">#REF!</definedName>
    <definedName name="ttronmk" localSheetId="51">#REF!</definedName>
    <definedName name="ttronmk" localSheetId="50">#REF!</definedName>
    <definedName name="ttronmk">#REF!</definedName>
    <definedName name="Tuong_dau_HD" localSheetId="51">#REF!</definedName>
    <definedName name="Tuong_dau_HD" localSheetId="50">#REF!</definedName>
    <definedName name="Tuong_dau_HD">#REF!</definedName>
    <definedName name="Tuvan" localSheetId="51">#REF!</definedName>
    <definedName name="Tuvan" localSheetId="50">#REF!</definedName>
    <definedName name="Tuvan">#REF!</definedName>
    <definedName name="tv75nc" localSheetId="51">#REF!</definedName>
    <definedName name="tv75nc" localSheetId="50">#REF!</definedName>
    <definedName name="tv75nc">#REF!</definedName>
    <definedName name="tv75vl" localSheetId="51">#REF!</definedName>
    <definedName name="tv75vl" localSheetId="50">#REF!</definedName>
    <definedName name="tv75vl">#REF!</definedName>
    <definedName name="TVGS" localSheetId="51">#REF!</definedName>
    <definedName name="TVGS" localSheetId="50">#REF!</definedName>
    <definedName name="TVGS">#REF!</definedName>
    <definedName name="ty_le" localSheetId="51">#REF!</definedName>
    <definedName name="ty_le" localSheetId="50">#REF!</definedName>
    <definedName name="ty_le">#REF!</definedName>
    <definedName name="ty_le_BTN" localSheetId="51">#REF!</definedName>
    <definedName name="ty_le_BTN" localSheetId="50">#REF!</definedName>
    <definedName name="ty_le_BTN">#REF!</definedName>
    <definedName name="Ty_le1" localSheetId="51">#REF!</definedName>
    <definedName name="Ty_le1" localSheetId="50">#REF!</definedName>
    <definedName name="Ty_le1">#REF!</definedName>
    <definedName name="thai" localSheetId="51">#REF!</definedName>
    <definedName name="thai" localSheetId="50">#REF!</definedName>
    <definedName name="thai">#REF!</definedName>
    <definedName name="Thang_Long" localSheetId="51">#REF!</definedName>
    <definedName name="Thang_Long" localSheetId="50">#REF!</definedName>
    <definedName name="Thang_Long">#REF!</definedName>
    <definedName name="Thang_Long_GT" localSheetId="51">#REF!</definedName>
    <definedName name="Thang_Long_GT" localSheetId="50">#REF!</definedName>
    <definedName name="Thang_Long_GT">#REF!</definedName>
    <definedName name="thanh" localSheetId="51">#REF!</definedName>
    <definedName name="thanh" localSheetId="50">#REF!</definedName>
    <definedName name="thanh">#REF!</definedName>
    <definedName name="Thanh_CT" localSheetId="51">#REF!</definedName>
    <definedName name="Thanh_CT" localSheetId="50">#REF!</definedName>
    <definedName name="Thanh_CT">#REF!</definedName>
    <definedName name="THchon" localSheetId="51">#REF!</definedName>
    <definedName name="THchon" localSheetId="50">#REF!</definedName>
    <definedName name="THchon">#REF!</definedName>
    <definedName name="thdt" localSheetId="51">#REF!</definedName>
    <definedName name="thdt" localSheetId="50">#REF!</definedName>
    <definedName name="thdt">#REF!</definedName>
    <definedName name="thep" localSheetId="51">#REF!</definedName>
    <definedName name="thep" localSheetId="50">#REF!</definedName>
    <definedName name="thep">#REF!</definedName>
    <definedName name="THEP_D32" localSheetId="51">#REF!</definedName>
    <definedName name="THEP_D32" localSheetId="50">#REF!</definedName>
    <definedName name="THEP_D32">#REF!</definedName>
    <definedName name="thepgoc25_60" localSheetId="51">#REF!</definedName>
    <definedName name="thepgoc25_60" localSheetId="50">#REF!</definedName>
    <definedName name="thepgoc25_60">#REF!</definedName>
    <definedName name="thepgoc63_75" localSheetId="51">#REF!</definedName>
    <definedName name="thepgoc63_75" localSheetId="50">#REF!</definedName>
    <definedName name="thepgoc63_75">#REF!</definedName>
    <definedName name="thepgoc80_100" localSheetId="51">#REF!</definedName>
    <definedName name="thepgoc80_100" localSheetId="50">#REF!</definedName>
    <definedName name="thepgoc80_100">#REF!</definedName>
    <definedName name="theptron12" localSheetId="51">#REF!</definedName>
    <definedName name="theptron12" localSheetId="50">#REF!</definedName>
    <definedName name="theptron12">#REF!</definedName>
    <definedName name="theptron14_22" localSheetId="51">#REF!</definedName>
    <definedName name="theptron14_22" localSheetId="50">#REF!</definedName>
    <definedName name="theptron14_22">#REF!</definedName>
    <definedName name="theptron6_8" localSheetId="51">#REF!</definedName>
    <definedName name="theptron6_8" localSheetId="50">#REF!</definedName>
    <definedName name="theptron6_8">#REF!</definedName>
    <definedName name="THGO1pnc" localSheetId="51">#REF!</definedName>
    <definedName name="THGO1pnc" localSheetId="50">#REF!</definedName>
    <definedName name="THGO1pnc">#REF!</definedName>
    <definedName name="thht" localSheetId="51">#REF!</definedName>
    <definedName name="thht" localSheetId="50">#REF!</definedName>
    <definedName name="thht">#REF!</definedName>
    <definedName name="THI" localSheetId="51">#REF!</definedName>
    <definedName name="THI" localSheetId="50">#REF!</definedName>
    <definedName name="THI">#REF!</definedName>
    <definedName name="thkp3" localSheetId="51">#REF!</definedName>
    <definedName name="thkp3" localSheetId="50">#REF!</definedName>
    <definedName name="thkp3">#REF!</definedName>
    <definedName name="thop" localSheetId="51">#REF!</definedName>
    <definedName name="thop" localSheetId="50">#REF!</definedName>
    <definedName name="thop">#REF!</definedName>
    <definedName name="thtt" localSheetId="51">#REF!</definedName>
    <definedName name="thtt" localSheetId="50">#REF!</definedName>
    <definedName name="thtt">#REF!</definedName>
    <definedName name="thue">6</definedName>
    <definedName name="Tra_DM_su_dung" localSheetId="51">#REF!</definedName>
    <definedName name="Tra_DM_su_dung" localSheetId="50">#REF!</definedName>
    <definedName name="Tra_DM_su_dung">#REF!</definedName>
    <definedName name="Tra_don_gia_KS" localSheetId="51">#REF!</definedName>
    <definedName name="Tra_don_gia_KS" localSheetId="50">#REF!</definedName>
    <definedName name="Tra_don_gia_KS">#REF!</definedName>
    <definedName name="Tra_DTCT" localSheetId="51">#REF!</definedName>
    <definedName name="Tra_DTCT" localSheetId="50">#REF!</definedName>
    <definedName name="Tra_DTCT">#REF!</definedName>
    <definedName name="Tra_tim_hang_mucPT_trung" localSheetId="51">#REF!</definedName>
    <definedName name="Tra_tim_hang_mucPT_trung" localSheetId="50">#REF!</definedName>
    <definedName name="Tra_tim_hang_mucPT_trung">#REF!</definedName>
    <definedName name="Tra_TL" localSheetId="51">#REF!</definedName>
    <definedName name="Tra_TL" localSheetId="50">#REF!</definedName>
    <definedName name="Tra_TL">#REF!</definedName>
    <definedName name="Tra_ty_le2" localSheetId="51">#REF!</definedName>
    <definedName name="Tra_ty_le2" localSheetId="50">#REF!</definedName>
    <definedName name="Tra_ty_le2">#REF!</definedName>
    <definedName name="Tra_ty_le3" localSheetId="51">#REF!</definedName>
    <definedName name="Tra_ty_le3" localSheetId="50">#REF!</definedName>
    <definedName name="Tra_ty_le3">#REF!</definedName>
    <definedName name="Tra_ty_le4" localSheetId="51">#REF!</definedName>
    <definedName name="Tra_ty_le4" localSheetId="50">#REF!</definedName>
    <definedName name="Tra_ty_le4">#REF!</definedName>
    <definedName name="Tra_ty_le5" localSheetId="51">#REF!</definedName>
    <definedName name="Tra_ty_le5" localSheetId="50">#REF!</definedName>
    <definedName name="Tra_ty_le5">#REF!</definedName>
    <definedName name="TRA_VAT_LIEU" localSheetId="51">#REF!</definedName>
    <definedName name="TRA_VAT_LIEU" localSheetId="50">#REF!</definedName>
    <definedName name="TRA_VAT_LIEU">#REF!</definedName>
    <definedName name="TRA_VL" localSheetId="51">#REF!</definedName>
    <definedName name="TRA_VL" localSheetId="50">#REF!</definedName>
    <definedName name="TRA_VL">#REF!</definedName>
    <definedName name="TRADE2" localSheetId="51">#REF!</definedName>
    <definedName name="TRADE2" localSheetId="50">#REF!</definedName>
    <definedName name="TRADE2">#REF!</definedName>
    <definedName name="TRAVL" localSheetId="51">#REF!</definedName>
    <definedName name="TRAVL" localSheetId="50">#REF!</definedName>
    <definedName name="TRAVL">#REF!</definedName>
    <definedName name="Trô_P1" localSheetId="51">#REF!</definedName>
    <definedName name="Trô_P1" localSheetId="50">#REF!</definedName>
    <definedName name="Trô_P1">#REF!</definedName>
    <definedName name="Trô_P10" localSheetId="51">#REF!</definedName>
    <definedName name="Trô_P10" localSheetId="50">#REF!</definedName>
    <definedName name="Trô_P10">#REF!</definedName>
    <definedName name="Trô_P11" localSheetId="51">#REF!</definedName>
    <definedName name="Trô_P11" localSheetId="50">#REF!</definedName>
    <definedName name="Trô_P11">#REF!</definedName>
    <definedName name="Trô_P2" localSheetId="51">#REF!</definedName>
    <definedName name="Trô_P2" localSheetId="50">#REF!</definedName>
    <definedName name="Trô_P2">#REF!</definedName>
    <definedName name="Trô_P3" localSheetId="51">#REF!</definedName>
    <definedName name="Trô_P3" localSheetId="50">#REF!</definedName>
    <definedName name="Trô_P3">#REF!</definedName>
    <definedName name="Trô_P4" localSheetId="51">#REF!</definedName>
    <definedName name="Trô_P4" localSheetId="50">#REF!</definedName>
    <definedName name="Trô_P4">#REF!</definedName>
    <definedName name="Trô_P5" localSheetId="51">#REF!</definedName>
    <definedName name="Trô_P5" localSheetId="50">#REF!</definedName>
    <definedName name="Trô_P5">#REF!</definedName>
    <definedName name="Trô_P6" localSheetId="51">#REF!</definedName>
    <definedName name="Trô_P6" localSheetId="50">#REF!</definedName>
    <definedName name="Trô_P6">#REF!</definedName>
    <definedName name="Trô_P7" localSheetId="51">#REF!</definedName>
    <definedName name="Trô_P7" localSheetId="50">#REF!</definedName>
    <definedName name="Trô_P7">#REF!</definedName>
    <definedName name="Trô_P8" localSheetId="51">#REF!</definedName>
    <definedName name="Trô_P8" localSheetId="50">#REF!</definedName>
    <definedName name="Trô_P8">#REF!</definedName>
    <definedName name="Trô_P9" localSheetId="51">#REF!</definedName>
    <definedName name="Trô_P9" localSheetId="50">#REF!</definedName>
    <definedName name="Trô_P9">#REF!</definedName>
    <definedName name="trt" localSheetId="51">#REF!</definedName>
    <definedName name="trt" localSheetId="50">#REF!</definedName>
    <definedName name="trt">#REF!</definedName>
    <definedName name="UNL" localSheetId="51">#REF!</definedName>
    <definedName name="UNL" localSheetId="50">#REF!</definedName>
    <definedName name="UNL">#REF!</definedName>
    <definedName name="upnoc" localSheetId="51">#REF!</definedName>
    <definedName name="upnoc" localSheetId="50">#REF!</definedName>
    <definedName name="upnoc">#REF!</definedName>
    <definedName name="usd" localSheetId="51">#REF!</definedName>
    <definedName name="usd" localSheetId="50">#REF!</definedName>
    <definedName name="usd">#REF!</definedName>
    <definedName name="Value0" localSheetId="51">#REF!</definedName>
    <definedName name="Value0" localSheetId="50">#REF!</definedName>
    <definedName name="Value0">#REF!</definedName>
    <definedName name="Value1" localSheetId="51">#REF!</definedName>
    <definedName name="Value1" localSheetId="50">#REF!</definedName>
    <definedName name="Value1">#REF!</definedName>
    <definedName name="Value10" localSheetId="51">#REF!</definedName>
    <definedName name="Value10" localSheetId="50">#REF!</definedName>
    <definedName name="Value10">#REF!</definedName>
    <definedName name="Value11" localSheetId="51">#REF!</definedName>
    <definedName name="Value11" localSheetId="50">#REF!</definedName>
    <definedName name="Value11">#REF!</definedName>
    <definedName name="Value12" localSheetId="51">#REF!</definedName>
    <definedName name="Value12" localSheetId="50">#REF!</definedName>
    <definedName name="Value12">#REF!</definedName>
    <definedName name="Value13" localSheetId="51">#REF!</definedName>
    <definedName name="Value13" localSheetId="50">#REF!</definedName>
    <definedName name="Value13">#REF!</definedName>
    <definedName name="Value14" localSheetId="51">#REF!</definedName>
    <definedName name="Value14" localSheetId="50">#REF!</definedName>
    <definedName name="Value14">#REF!</definedName>
    <definedName name="Value15" localSheetId="51">#REF!</definedName>
    <definedName name="Value15" localSheetId="50">#REF!</definedName>
    <definedName name="Value15">#REF!</definedName>
    <definedName name="Value16" localSheetId="51">#REF!</definedName>
    <definedName name="Value16" localSheetId="50">#REF!</definedName>
    <definedName name="Value16">#REF!</definedName>
    <definedName name="Value17" localSheetId="51">#REF!</definedName>
    <definedName name="Value17" localSheetId="50">#REF!</definedName>
    <definedName name="Value17">#REF!</definedName>
    <definedName name="Value18" localSheetId="51">#REF!</definedName>
    <definedName name="Value18" localSheetId="50">#REF!</definedName>
    <definedName name="Value18">#REF!</definedName>
    <definedName name="Value19" localSheetId="51">#REF!</definedName>
    <definedName name="Value19" localSheetId="50">#REF!</definedName>
    <definedName name="Value19">#REF!</definedName>
    <definedName name="Value2" localSheetId="51">#REF!</definedName>
    <definedName name="Value2" localSheetId="50">#REF!</definedName>
    <definedName name="Value2">#REF!</definedName>
    <definedName name="Value20" localSheetId="51">#REF!</definedName>
    <definedName name="Value20" localSheetId="50">#REF!</definedName>
    <definedName name="Value20">#REF!</definedName>
    <definedName name="Value21" localSheetId="51">#REF!</definedName>
    <definedName name="Value21" localSheetId="50">#REF!</definedName>
    <definedName name="Value21">#REF!</definedName>
    <definedName name="Value22" localSheetId="51">#REF!</definedName>
    <definedName name="Value22" localSheetId="50">#REF!</definedName>
    <definedName name="Value22">#REF!</definedName>
    <definedName name="Value23" localSheetId="51">#REF!</definedName>
    <definedName name="Value23" localSheetId="50">#REF!</definedName>
    <definedName name="Value23">#REF!</definedName>
    <definedName name="Value24" localSheetId="51">#REF!</definedName>
    <definedName name="Value24" localSheetId="50">#REF!</definedName>
    <definedName name="Value24">#REF!</definedName>
    <definedName name="Value25" localSheetId="51">#REF!</definedName>
    <definedName name="Value25" localSheetId="50">#REF!</definedName>
    <definedName name="Value25">#REF!</definedName>
    <definedName name="Value26" localSheetId="51">#REF!</definedName>
    <definedName name="Value26" localSheetId="50">#REF!</definedName>
    <definedName name="Value26">#REF!</definedName>
    <definedName name="Value27" localSheetId="51">#REF!</definedName>
    <definedName name="Value27" localSheetId="50">#REF!</definedName>
    <definedName name="Value27">#REF!</definedName>
    <definedName name="Value28" localSheetId="51">#REF!</definedName>
    <definedName name="Value28" localSheetId="50">#REF!</definedName>
    <definedName name="Value28">#REF!</definedName>
    <definedName name="Value29" localSheetId="51">#REF!</definedName>
    <definedName name="Value29" localSheetId="50">#REF!</definedName>
    <definedName name="Value29">#REF!</definedName>
    <definedName name="Value3" localSheetId="51">#REF!</definedName>
    <definedName name="Value3" localSheetId="50">#REF!</definedName>
    <definedName name="Value3">#REF!</definedName>
    <definedName name="Value30" localSheetId="51">#REF!</definedName>
    <definedName name="Value30" localSheetId="50">#REF!</definedName>
    <definedName name="Value30">#REF!</definedName>
    <definedName name="Value31" localSheetId="51">#REF!</definedName>
    <definedName name="Value31" localSheetId="50">#REF!</definedName>
    <definedName name="Value31">#REF!</definedName>
    <definedName name="Value32" localSheetId="51">#REF!</definedName>
    <definedName name="Value32" localSheetId="50">#REF!</definedName>
    <definedName name="Value32">#REF!</definedName>
    <definedName name="Value33" localSheetId="51">#REF!</definedName>
    <definedName name="Value33" localSheetId="50">#REF!</definedName>
    <definedName name="Value33">#REF!</definedName>
    <definedName name="Value34" localSheetId="51">#REF!</definedName>
    <definedName name="Value34" localSheetId="50">#REF!</definedName>
    <definedName name="Value34">#REF!</definedName>
    <definedName name="Value35" localSheetId="51">#REF!</definedName>
    <definedName name="Value35" localSheetId="50">#REF!</definedName>
    <definedName name="Value35">#REF!</definedName>
    <definedName name="Value36" localSheetId="51">#REF!</definedName>
    <definedName name="Value36" localSheetId="50">#REF!</definedName>
    <definedName name="Value36">#REF!</definedName>
    <definedName name="Value37" localSheetId="51">#REF!</definedName>
    <definedName name="Value37" localSheetId="50">#REF!</definedName>
    <definedName name="Value37">#REF!</definedName>
    <definedName name="Value38" localSheetId="51">#REF!</definedName>
    <definedName name="Value38" localSheetId="50">#REF!</definedName>
    <definedName name="Value38">#REF!</definedName>
    <definedName name="Value39" localSheetId="51">#REF!</definedName>
    <definedName name="Value39" localSheetId="50">#REF!</definedName>
    <definedName name="Value39">#REF!</definedName>
    <definedName name="Value4" localSheetId="51">#REF!</definedName>
    <definedName name="Value4" localSheetId="50">#REF!</definedName>
    <definedName name="Value4">#REF!</definedName>
    <definedName name="Value40" localSheetId="51">#REF!</definedName>
    <definedName name="Value40" localSheetId="50">#REF!</definedName>
    <definedName name="Value40">#REF!</definedName>
    <definedName name="Value41" localSheetId="51">#REF!</definedName>
    <definedName name="Value41" localSheetId="50">#REF!</definedName>
    <definedName name="Value41">#REF!</definedName>
    <definedName name="Value42" localSheetId="51">#REF!</definedName>
    <definedName name="Value42" localSheetId="50">#REF!</definedName>
    <definedName name="Value42">#REF!</definedName>
    <definedName name="Value43" localSheetId="51">#REF!</definedName>
    <definedName name="Value43" localSheetId="50">#REF!</definedName>
    <definedName name="Value43">#REF!</definedName>
    <definedName name="Value44" localSheetId="51">#REF!</definedName>
    <definedName name="Value44" localSheetId="50">#REF!</definedName>
    <definedName name="Value44">#REF!</definedName>
    <definedName name="Value45" localSheetId="51">#REF!</definedName>
    <definedName name="Value45" localSheetId="50">#REF!</definedName>
    <definedName name="Value45">#REF!</definedName>
    <definedName name="Value46" localSheetId="51">#REF!</definedName>
    <definedName name="Value46" localSheetId="50">#REF!</definedName>
    <definedName name="Value46">#REF!</definedName>
    <definedName name="Value47" localSheetId="51">#REF!</definedName>
    <definedName name="Value47" localSheetId="50">#REF!</definedName>
    <definedName name="Value47">#REF!</definedName>
    <definedName name="Value48" localSheetId="51">#REF!</definedName>
    <definedName name="Value48" localSheetId="50">#REF!</definedName>
    <definedName name="Value48">#REF!</definedName>
    <definedName name="Value49" localSheetId="51">#REF!</definedName>
    <definedName name="Value49" localSheetId="50">#REF!</definedName>
    <definedName name="Value49">#REF!</definedName>
    <definedName name="Value5" localSheetId="51">#REF!</definedName>
    <definedName name="Value5" localSheetId="50">#REF!</definedName>
    <definedName name="Value5">#REF!</definedName>
    <definedName name="Value50" localSheetId="51">#REF!</definedName>
    <definedName name="Value50" localSheetId="50">#REF!</definedName>
    <definedName name="Value50">#REF!</definedName>
    <definedName name="Value51" localSheetId="51">#REF!</definedName>
    <definedName name="Value51" localSheetId="50">#REF!</definedName>
    <definedName name="Value51">#REF!</definedName>
    <definedName name="Value52" localSheetId="51">#REF!</definedName>
    <definedName name="Value52" localSheetId="50">#REF!</definedName>
    <definedName name="Value52">#REF!</definedName>
    <definedName name="Value53" localSheetId="51">#REF!</definedName>
    <definedName name="Value53" localSheetId="50">#REF!</definedName>
    <definedName name="Value53">#REF!</definedName>
    <definedName name="Value54" localSheetId="51">#REF!</definedName>
    <definedName name="Value54" localSheetId="50">#REF!</definedName>
    <definedName name="Value54">#REF!</definedName>
    <definedName name="Value55" localSheetId="51">#REF!</definedName>
    <definedName name="Value55" localSheetId="50">#REF!</definedName>
    <definedName name="Value55">#REF!</definedName>
    <definedName name="Value6" localSheetId="51">#REF!</definedName>
    <definedName name="Value6" localSheetId="50">#REF!</definedName>
    <definedName name="Value6">#REF!</definedName>
    <definedName name="Value7" localSheetId="51">#REF!</definedName>
    <definedName name="Value7" localSheetId="50">#REF!</definedName>
    <definedName name="Value7">#REF!</definedName>
    <definedName name="Value8" localSheetId="51">#REF!</definedName>
    <definedName name="Value8" localSheetId="50">#REF!</definedName>
    <definedName name="Value8">#REF!</definedName>
    <definedName name="Value9" localSheetId="51">#REF!</definedName>
    <definedName name="Value9" localSheetId="50">#REF!</definedName>
    <definedName name="Value9">#REF!</definedName>
    <definedName name="VARIINST" localSheetId="51">#REF!</definedName>
    <definedName name="VARIINST" localSheetId="50">#REF!</definedName>
    <definedName name="VARIINST">#REF!</definedName>
    <definedName name="VARIPURC" localSheetId="51">#REF!</definedName>
    <definedName name="VARIPURC" localSheetId="50">#REF!</definedName>
    <definedName name="VARIPURC">#REF!</definedName>
    <definedName name="vat">5</definedName>
    <definedName name="vbtchongnuocm300" localSheetId="7">#REF!</definedName>
    <definedName name="vbtchongnuocm300" localSheetId="51">#REF!</definedName>
    <definedName name="vbtchongnuocm300" localSheetId="50">#REF!</definedName>
    <definedName name="vbtchongnuocm300">#REF!</definedName>
    <definedName name="vbtm150" localSheetId="7">#REF!</definedName>
    <definedName name="vbtm150" localSheetId="51">#REF!</definedName>
    <definedName name="vbtm150" localSheetId="50">#REF!</definedName>
    <definedName name="vbtm150">#REF!</definedName>
    <definedName name="vbtm300" localSheetId="7">#REF!</definedName>
    <definedName name="vbtm300" localSheetId="51">#REF!</definedName>
    <definedName name="vbtm300" localSheetId="50">#REF!</definedName>
    <definedName name="vbtm300">#REF!</definedName>
    <definedName name="vbtm400" localSheetId="51">#REF!</definedName>
    <definedName name="vbtm400" localSheetId="50">#REF!</definedName>
    <definedName name="vbtm400">#REF!</definedName>
    <definedName name="vc" localSheetId="51">#REF!</definedName>
    <definedName name="vc" localSheetId="50">#REF!</definedName>
    <definedName name="vc">#REF!</definedName>
    <definedName name="vcbo1" localSheetId="7" hidden="1">{"'Sheet1'!$L$16"}</definedName>
    <definedName name="vcbo1" localSheetId="6" hidden="1">{"'Sheet1'!$L$16"}</definedName>
    <definedName name="vcbo1" localSheetId="3" hidden="1">{"'Sheet1'!$L$16"}</definedName>
    <definedName name="vcbo1" hidden="1">{"'Sheet1'!$L$16"}</definedName>
    <definedName name="vcc" localSheetId="51">#REF!</definedName>
    <definedName name="vcc" localSheetId="50">#REF!</definedName>
    <definedName name="vcc">#REF!</definedName>
    <definedName name="vccot" localSheetId="51">#REF!</definedName>
    <definedName name="vccot" localSheetId="50">#REF!</definedName>
    <definedName name="vccot">#REF!</definedName>
    <definedName name="vccot35" localSheetId="51">#REF!</definedName>
    <definedName name="vccot35" localSheetId="50">#REF!</definedName>
    <definedName name="vccot35">#REF!</definedName>
    <definedName name="vcd" localSheetId="51">#REF!</definedName>
    <definedName name="vcd" localSheetId="50">#REF!</definedName>
    <definedName name="vcd">#REF!</definedName>
    <definedName name="vcdc" localSheetId="51">#REF!</definedName>
    <definedName name="vcdc" localSheetId="50">#REF!</definedName>
    <definedName name="vcdc">#REF!</definedName>
    <definedName name="vcdungcu35" localSheetId="51">#REF!</definedName>
    <definedName name="vcdungcu35" localSheetId="50">#REF!</definedName>
    <definedName name="vcdungcu35">#REF!</definedName>
    <definedName name="vcn" localSheetId="51">#REF!</definedName>
    <definedName name="vcn" localSheetId="50">#REF!</definedName>
    <definedName name="vcn">#REF!</definedName>
    <definedName name="vcsat35" localSheetId="51">#REF!</definedName>
    <definedName name="vcsat35" localSheetId="50">#REF!</definedName>
    <definedName name="vcsat35">#REF!</definedName>
    <definedName name="vct" localSheetId="51">#REF!</definedName>
    <definedName name="vct" localSheetId="50">#REF!</definedName>
    <definedName name="vct">#REF!</definedName>
    <definedName name="VCTT" localSheetId="51">#REF!</definedName>
    <definedName name="VCTT" localSheetId="50">#REF!</definedName>
    <definedName name="VCTT">#REF!</definedName>
    <definedName name="vcxi" localSheetId="51">#REF!</definedName>
    <definedName name="vcxi" localSheetId="50">#REF!</definedName>
    <definedName name="vcxi">#REF!</definedName>
    <definedName name="VCHT" localSheetId="51">#REF!</definedName>
    <definedName name="VCHT" localSheetId="50">#REF!</definedName>
    <definedName name="VCHT">#REF!</definedName>
    <definedName name="vd3p" localSheetId="51">#REF!</definedName>
    <definedName name="vd3p" localSheetId="50">#REF!</definedName>
    <definedName name="vd3p">#REF!</definedName>
    <definedName name="vkcauthang" localSheetId="51">#REF!</definedName>
    <definedName name="vkcauthang" localSheetId="50">#REF!</definedName>
    <definedName name="vkcauthang">#REF!</definedName>
    <definedName name="vksan" localSheetId="51">#REF!</definedName>
    <definedName name="vksan" localSheetId="50">#REF!</definedName>
    <definedName name="vksan">#REF!</definedName>
    <definedName name="vl" localSheetId="51">#REF!</definedName>
    <definedName name="vl" localSheetId="50">#REF!</definedName>
    <definedName name="vl">#REF!</definedName>
    <definedName name="vl1p" localSheetId="51">#REF!</definedName>
    <definedName name="vl1p" localSheetId="50">#REF!</definedName>
    <definedName name="vl1p">#REF!</definedName>
    <definedName name="vl3p" localSheetId="51">#REF!</definedName>
    <definedName name="vl3p" localSheetId="50">#REF!</definedName>
    <definedName name="vl3p">#REF!</definedName>
    <definedName name="vldn400" localSheetId="51">#REF!</definedName>
    <definedName name="vldn400" localSheetId="50">#REF!</definedName>
    <definedName name="vldn400">#REF!</definedName>
    <definedName name="vldn600" localSheetId="51">#REF!</definedName>
    <definedName name="vldn600" localSheetId="50">#REF!</definedName>
    <definedName name="vldn600">#REF!</definedName>
    <definedName name="vltram" localSheetId="51">#REF!</definedName>
    <definedName name="vltram" localSheetId="50">#REF!</definedName>
    <definedName name="vltram">#REF!</definedName>
    <definedName name="vr3p" localSheetId="51">#REF!</definedName>
    <definedName name="vr3p" localSheetId="50">#REF!</definedName>
    <definedName name="vr3p">#REF!</definedName>
    <definedName name="vung" localSheetId="51">#REF!</definedName>
    <definedName name="vung" localSheetId="50">#REF!</definedName>
    <definedName name="vung">#REF!</definedName>
    <definedName name="W" localSheetId="51">#REF!</definedName>
    <definedName name="W" localSheetId="50">#REF!</definedName>
    <definedName name="W">#REF!</definedName>
    <definedName name="wrn.chi._.tiÆt." localSheetId="7" hidden="1">{#N/A,#N/A,FALSE,"Chi tiÆt"}</definedName>
    <definedName name="wrn.chi._.tiÆt." localSheetId="6" hidden="1">{#N/A,#N/A,FALSE,"Chi tiÆt"}</definedName>
    <definedName name="wrn.chi._.tiÆt." localSheetId="3" hidden="1">{#N/A,#N/A,FALSE,"Chi tiÆt"}</definedName>
    <definedName name="wrn.chi._.tiÆt." hidden="1">{#N/A,#N/A,FALSE,"Chi tiÆt"}</definedName>
    <definedName name="wrn.Report." localSheetId="7" hidden="1">{"Offgrid",#N/A,FALSE,"OFFGRID";"Region",#N/A,FALSE,"REGION";"Offgrid -2",#N/A,FALSE,"OFFGRID";"WTP",#N/A,FALSE,"WTP";"WTP -2",#N/A,FALSE,"WTP";"Project",#N/A,FALSE,"PROJECT";"Summary -2",#N/A,FALSE,"SUMMARY"}</definedName>
    <definedName name="wrn.Report." localSheetId="6" hidden="1">{"Offgrid",#N/A,FALSE,"OFFGRID";"Region",#N/A,FALSE,"REGION";"Offgrid -2",#N/A,FALSE,"OFFGRID";"WTP",#N/A,FALSE,"WTP";"WTP -2",#N/A,FALSE,"WTP";"Project",#N/A,FALSE,"PROJECT";"Summary -2",#N/A,FALSE,"SUMMARY"}</definedName>
    <definedName name="wrn.Report." localSheetId="3" hidden="1">{"Offgrid",#N/A,FALSE,"OFFGRID";"Region",#N/A,FALSE,"REGION";"Offgrid -2",#N/A,FALSE,"OFFGRID";"WTP",#N/A,FALSE,"WTP";"WTP -2",#N/A,FALSE,"WTP";"Project",#N/A,FALSE,"PROJECT";"Summary -2",#N/A,FALSE,"SUMMARY"}</definedName>
    <definedName name="wrn.Report." hidden="1">{"Offgrid",#N/A,FALSE,"OFFGRID";"Region",#N/A,FALSE,"REGION";"Offgrid -2",#N/A,FALSE,"OFFGRID";"WTP",#N/A,FALSE,"WTP";"WTP -2",#N/A,FALSE,"WTP";"Project",#N/A,FALSE,"PROJECT";"Summary -2",#N/A,FALSE,"SUMMARY"}</definedName>
    <definedName name="wrnf.report" localSheetId="7" hidden="1">{"Offgrid",#N/A,FALSE,"OFFGRID";"Region",#N/A,FALSE,"REGION";"Offgrid -2",#N/A,FALSE,"OFFGRID";"WTP",#N/A,FALSE,"WTP";"WTP -2",#N/A,FALSE,"WTP";"Project",#N/A,FALSE,"PROJECT";"Summary -2",#N/A,FALSE,"SUMMARY"}</definedName>
    <definedName name="wrnf.report" localSheetId="6" hidden="1">{"Offgrid",#N/A,FALSE,"OFFGRID";"Region",#N/A,FALSE,"REGION";"Offgrid -2",#N/A,FALSE,"OFFGRID";"WTP",#N/A,FALSE,"WTP";"WTP -2",#N/A,FALSE,"WTP";"Project",#N/A,FALSE,"PROJECT";"Summary -2",#N/A,FALSE,"SUMMARY"}</definedName>
    <definedName name="wrnf.report" localSheetId="3" hidden="1">{"Offgrid",#N/A,FALSE,"OFFGRID";"Region",#N/A,FALSE,"REGION";"Offgrid -2",#N/A,FALSE,"OFFGRID";"WTP",#N/A,FALSE,"WTP";"WTP -2",#N/A,FALSE,"WTP";"Project",#N/A,FALSE,"PROJECT";"Summary -2",#N/A,FALSE,"SUMMARY"}</definedName>
    <definedName name="wrnf.report" hidden="1">{"Offgrid",#N/A,FALSE,"OFFGRID";"Region",#N/A,FALSE,"REGION";"Offgrid -2",#N/A,FALSE,"OFFGRID";"WTP",#N/A,FALSE,"WTP";"WTP -2",#N/A,FALSE,"WTP";"Project",#N/A,FALSE,"PROJECT";"Summary -2",#N/A,FALSE,"SUMMARY"}</definedName>
    <definedName name="X" localSheetId="7">#REF!</definedName>
    <definedName name="X" localSheetId="51">#REF!</definedName>
    <definedName name="X" localSheetId="50">#REF!</definedName>
    <definedName name="X">#REF!</definedName>
    <definedName name="x1pind" localSheetId="7">#REF!</definedName>
    <definedName name="x1pind" localSheetId="51">#REF!</definedName>
    <definedName name="x1pind" localSheetId="50">#REF!</definedName>
    <definedName name="x1pind">#REF!</definedName>
    <definedName name="x1pint" localSheetId="51">#REF!</definedName>
    <definedName name="x1pint" localSheetId="50">#REF!</definedName>
    <definedName name="x1pint">#REF!</definedName>
    <definedName name="x1ping" localSheetId="7">#REF!</definedName>
    <definedName name="x1ping" localSheetId="51">#REF!</definedName>
    <definedName name="x1ping" localSheetId="50">#REF!</definedName>
    <definedName name="x1ping">#REF!</definedName>
    <definedName name="XCCT">0.5</definedName>
    <definedName name="xd0.6" localSheetId="51">#REF!</definedName>
    <definedName name="xd0.6" localSheetId="50">#REF!</definedName>
    <definedName name="xd0.6">#REF!</definedName>
    <definedName name="xd1.3" localSheetId="51">#REF!</definedName>
    <definedName name="xd1.3" localSheetId="50">#REF!</definedName>
    <definedName name="xd1.3">#REF!</definedName>
    <definedName name="xd1.5" localSheetId="51">#REF!</definedName>
    <definedName name="xd1.5" localSheetId="50">#REF!</definedName>
    <definedName name="xd1.5">#REF!</definedName>
    <definedName name="xfco" localSheetId="51">#REF!</definedName>
    <definedName name="xfco" localSheetId="50">#REF!</definedName>
    <definedName name="xfco">#REF!</definedName>
    <definedName name="xfco3p" localSheetId="51">#REF!</definedName>
    <definedName name="xfco3p" localSheetId="50">#REF!</definedName>
    <definedName name="xfco3p">#REF!</definedName>
    <definedName name="xfcotnc" localSheetId="51">#REF!</definedName>
    <definedName name="xfcotnc" localSheetId="50">#REF!</definedName>
    <definedName name="xfcotnc">#REF!</definedName>
    <definedName name="xfcotvl" localSheetId="51">#REF!</definedName>
    <definedName name="xfcotvl" localSheetId="50">#REF!</definedName>
    <definedName name="xfcotvl">#REF!</definedName>
    <definedName name="xgc100" localSheetId="51">#REF!</definedName>
    <definedName name="xgc100" localSheetId="50">#REF!</definedName>
    <definedName name="xgc100">#REF!</definedName>
    <definedName name="xgc150" localSheetId="51">#REF!</definedName>
    <definedName name="xgc150" localSheetId="50">#REF!</definedName>
    <definedName name="xgc150">#REF!</definedName>
    <definedName name="xgc200" localSheetId="51">#REF!</definedName>
    <definedName name="xgc200" localSheetId="50">#REF!</definedName>
    <definedName name="xgc200">#REF!</definedName>
    <definedName name="xh" localSheetId="51">#REF!</definedName>
    <definedName name="xh" localSheetId="50">#REF!</definedName>
    <definedName name="xh">#REF!</definedName>
    <definedName name="xhn" localSheetId="51">#REF!</definedName>
    <definedName name="xhn" localSheetId="50">#REF!</definedName>
    <definedName name="xhn">#REF!</definedName>
    <definedName name="xi" localSheetId="51">#REF!</definedName>
    <definedName name="xi" localSheetId="50">#REF!</definedName>
    <definedName name="xi">#REF!</definedName>
    <definedName name="xig" localSheetId="51">#REF!</definedName>
    <definedName name="xig" localSheetId="50">#REF!</definedName>
    <definedName name="xig">#REF!</definedName>
    <definedName name="xig1" localSheetId="51">#REF!</definedName>
    <definedName name="xig1" localSheetId="50">#REF!</definedName>
    <definedName name="xig1">#REF!</definedName>
    <definedName name="xig1p" localSheetId="51">#REF!</definedName>
    <definedName name="xig1p" localSheetId="50">#REF!</definedName>
    <definedName name="xig1p">#REF!</definedName>
    <definedName name="xig3p" localSheetId="51">#REF!</definedName>
    <definedName name="xig3p" localSheetId="50">#REF!</definedName>
    <definedName name="xig3p">#REF!</definedName>
    <definedName name="xignc3p" localSheetId="51">#REF!</definedName>
    <definedName name="xignc3p" localSheetId="50">#REF!</definedName>
    <definedName name="xignc3p">#REF!</definedName>
    <definedName name="xigvl3p" localSheetId="51">#REF!</definedName>
    <definedName name="xigvl3p" localSheetId="50">#REF!</definedName>
    <definedName name="xigvl3p">#REF!</definedName>
    <definedName name="xin" localSheetId="51">#REF!</definedName>
    <definedName name="xin" localSheetId="50">#REF!</definedName>
    <definedName name="xin">#REF!</definedName>
    <definedName name="xin190" localSheetId="51">#REF!</definedName>
    <definedName name="xin190" localSheetId="50">#REF!</definedName>
    <definedName name="xin190">#REF!</definedName>
    <definedName name="xin1903p" localSheetId="51">#REF!</definedName>
    <definedName name="xin1903p" localSheetId="50">#REF!</definedName>
    <definedName name="xin1903p">#REF!</definedName>
    <definedName name="xin2903p" localSheetId="51">#REF!</definedName>
    <definedName name="xin2903p" localSheetId="50">#REF!</definedName>
    <definedName name="xin2903p">#REF!</definedName>
    <definedName name="xin290nc3p" localSheetId="51">#REF!</definedName>
    <definedName name="xin290nc3p" localSheetId="50">#REF!</definedName>
    <definedName name="xin290nc3p">#REF!</definedName>
    <definedName name="xin290vl3p" localSheetId="51">#REF!</definedName>
    <definedName name="xin290vl3p" localSheetId="50">#REF!</definedName>
    <definedName name="xin290vl3p">#REF!</definedName>
    <definedName name="xin3p" localSheetId="51">#REF!</definedName>
    <definedName name="xin3p" localSheetId="50">#REF!</definedName>
    <definedName name="xin3p">#REF!</definedName>
    <definedName name="xind" localSheetId="51">#REF!</definedName>
    <definedName name="xind" localSheetId="50">#REF!</definedName>
    <definedName name="xind">#REF!</definedName>
    <definedName name="xind1p" localSheetId="51">#REF!</definedName>
    <definedName name="xind1p" localSheetId="50">#REF!</definedName>
    <definedName name="xind1p">#REF!</definedName>
    <definedName name="xind3p" localSheetId="51">#REF!</definedName>
    <definedName name="xind3p" localSheetId="50">#REF!</definedName>
    <definedName name="xind3p">#REF!</definedName>
    <definedName name="xindnc1p" localSheetId="51">#REF!</definedName>
    <definedName name="xindnc1p" localSheetId="50">#REF!</definedName>
    <definedName name="xindnc1p">#REF!</definedName>
    <definedName name="xindvl1p" localSheetId="51">#REF!</definedName>
    <definedName name="xindvl1p" localSheetId="50">#REF!</definedName>
    <definedName name="xindvl1p">#REF!</definedName>
    <definedName name="xinnc3p" localSheetId="51">#REF!</definedName>
    <definedName name="xinnc3p" localSheetId="50">#REF!</definedName>
    <definedName name="xinnc3p">#REF!</definedName>
    <definedName name="xint1p" localSheetId="51">#REF!</definedName>
    <definedName name="xint1p" localSheetId="50">#REF!</definedName>
    <definedName name="xint1p">#REF!</definedName>
    <definedName name="xinvl3p" localSheetId="51">#REF!</definedName>
    <definedName name="xinvl3p" localSheetId="50">#REF!</definedName>
    <definedName name="xinvl3p">#REF!</definedName>
    <definedName name="xing1p" localSheetId="51">#REF!</definedName>
    <definedName name="xing1p" localSheetId="50">#REF!</definedName>
    <definedName name="xing1p">#REF!</definedName>
    <definedName name="xingnc1p" localSheetId="51">#REF!</definedName>
    <definedName name="xingnc1p" localSheetId="50">#REF!</definedName>
    <definedName name="xingnc1p">#REF!</definedName>
    <definedName name="xingvl1p" localSheetId="51">#REF!</definedName>
    <definedName name="xingvl1p" localSheetId="50">#REF!</definedName>
    <definedName name="xingvl1p">#REF!</definedName>
    <definedName name="xit" localSheetId="51">#REF!</definedName>
    <definedName name="xit" localSheetId="50">#REF!</definedName>
    <definedName name="xit">#REF!</definedName>
    <definedName name="xit1" localSheetId="51">#REF!</definedName>
    <definedName name="xit1" localSheetId="50">#REF!</definedName>
    <definedName name="xit1">#REF!</definedName>
    <definedName name="xit1p" localSheetId="51">#REF!</definedName>
    <definedName name="xit1p" localSheetId="50">#REF!</definedName>
    <definedName name="xit1p">#REF!</definedName>
    <definedName name="xit2nc3p" localSheetId="51">#REF!</definedName>
    <definedName name="xit2nc3p" localSheetId="50">#REF!</definedName>
    <definedName name="xit2nc3p">#REF!</definedName>
    <definedName name="xit2vl3p" localSheetId="51">#REF!</definedName>
    <definedName name="xit2vl3p" localSheetId="50">#REF!</definedName>
    <definedName name="xit2vl3p">#REF!</definedName>
    <definedName name="xit3p" localSheetId="51">#REF!</definedName>
    <definedName name="xit3p" localSheetId="50">#REF!</definedName>
    <definedName name="xit3p">#REF!</definedName>
    <definedName name="xitnc3p" localSheetId="51">#REF!</definedName>
    <definedName name="xitnc3p" localSheetId="50">#REF!</definedName>
    <definedName name="xitnc3p">#REF!</definedName>
    <definedName name="xitvl3p" localSheetId="51">#REF!</definedName>
    <definedName name="xitvl3p" localSheetId="50">#REF!</definedName>
    <definedName name="xitvl3p">#REF!</definedName>
    <definedName name="xk0.6" localSheetId="51">#REF!</definedName>
    <definedName name="xk0.6" localSheetId="50">#REF!</definedName>
    <definedName name="xk0.6">#REF!</definedName>
    <definedName name="xk1.3" localSheetId="51">#REF!</definedName>
    <definedName name="xk1.3" localSheetId="50">#REF!</definedName>
    <definedName name="xk1.3">#REF!</definedName>
    <definedName name="xk1.5" localSheetId="51">#REF!</definedName>
    <definedName name="xk1.5" localSheetId="50">#REF!</definedName>
    <definedName name="xk1.5">#REF!</definedName>
    <definedName name="xl" localSheetId="51">#REF!</definedName>
    <definedName name="xl" localSheetId="50">#REF!</definedName>
    <definedName name="xl">#REF!</definedName>
    <definedName name="xlc" localSheetId="51">#REF!</definedName>
    <definedName name="xlc" localSheetId="50">#REF!</definedName>
    <definedName name="xlc">#REF!</definedName>
    <definedName name="xld1.4" localSheetId="51">#REF!</definedName>
    <definedName name="xld1.4" localSheetId="50">#REF!</definedName>
    <definedName name="xld1.4">#REF!</definedName>
    <definedName name="xlk" localSheetId="51">#REF!</definedName>
    <definedName name="xlk" localSheetId="50">#REF!</definedName>
    <definedName name="xlk">#REF!</definedName>
    <definedName name="xlk1.4" localSheetId="51">#REF!</definedName>
    <definedName name="xlk1.4" localSheetId="50">#REF!</definedName>
    <definedName name="xlk1.4">#REF!</definedName>
    <definedName name="XLP" localSheetId="51">#REF!</definedName>
    <definedName name="XLP" localSheetId="50">#REF!</definedName>
    <definedName name="XLP">#REF!</definedName>
    <definedName name="xmcax" localSheetId="51">#REF!</definedName>
    <definedName name="xmcax" localSheetId="50">#REF!</definedName>
    <definedName name="xmcax">#REF!</definedName>
    <definedName name="xn" localSheetId="51">#REF!</definedName>
    <definedName name="xn" localSheetId="50">#REF!</definedName>
    <definedName name="xn">#REF!</definedName>
    <definedName name="YR0" localSheetId="51">#REF!</definedName>
    <definedName name="YR0" localSheetId="50">#REF!</definedName>
    <definedName name="YR0">#REF!</definedName>
    <definedName name="YRP" localSheetId="51">#REF!</definedName>
    <definedName name="YRP" localSheetId="50">#REF!</definedName>
    <definedName name="YRP">#REF!</definedName>
    <definedName name="Z" localSheetId="51">#REF!</definedName>
    <definedName name="Z" localSheetId="50">#REF!</definedName>
    <definedName name="Z">#REF!</definedName>
    <definedName name="Zip" localSheetId="51">#REF!</definedName>
    <definedName name="Zip" localSheetId="50">#REF!</definedName>
    <definedName name="Zip">#REF!</definedName>
    <definedName name="ZYX" localSheetId="51">#REF!</definedName>
    <definedName name="ZYX" localSheetId="50">#REF!</definedName>
    <definedName name="ZYX">#REF!</definedName>
    <definedName name="ZZZ" localSheetId="51">#REF!</definedName>
    <definedName name="ZZZ" localSheetId="50">#REF!</definedName>
    <definedName name="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99" l="1"/>
  <c r="G16" i="99" l="1"/>
  <c r="H16" i="99" s="1"/>
  <c r="A16" i="99"/>
  <c r="G15" i="99"/>
  <c r="H15" i="99" s="1"/>
  <c r="A15" i="99"/>
  <c r="G14" i="99"/>
  <c r="H14" i="99" s="1"/>
  <c r="A14" i="99"/>
  <c r="J13" i="99"/>
  <c r="H13" i="99"/>
  <c r="F13" i="99" s="1"/>
  <c r="A13" i="99"/>
  <c r="J12" i="99"/>
  <c r="H12" i="99"/>
  <c r="F12" i="99" s="1"/>
  <c r="A12" i="99"/>
  <c r="G11" i="99"/>
  <c r="H11" i="99" s="1"/>
  <c r="F11" i="99" s="1"/>
  <c r="A11" i="99"/>
  <c r="G10" i="99"/>
  <c r="H10" i="99" s="1"/>
  <c r="H9" i="99" s="1"/>
  <c r="H8" i="99" s="1"/>
  <c r="A10" i="99"/>
  <c r="J9" i="99"/>
  <c r="J8" i="99" s="1"/>
  <c r="I9" i="99"/>
  <c r="I8" i="99" s="1"/>
  <c r="G9" i="99"/>
  <c r="G8" i="99" s="1"/>
  <c r="F8" i="99" l="1"/>
  <c r="F14" i="99"/>
  <c r="F15" i="99"/>
  <c r="F10" i="99"/>
  <c r="F16" i="99"/>
  <c r="F9" i="99" l="1"/>
  <c r="G14" i="102" l="1"/>
  <c r="G15" i="102"/>
  <c r="C13" i="102"/>
  <c r="C12" i="102" s="1"/>
  <c r="A3" i="101" l="1"/>
  <c r="A3" i="100" s="1"/>
  <c r="L10" i="100"/>
  <c r="J10" i="100" s="1"/>
  <c r="J9" i="100" s="1"/>
  <c r="J8" i="100" s="1"/>
  <c r="H10" i="100"/>
  <c r="F10" i="100" s="1"/>
  <c r="F9" i="100" s="1"/>
  <c r="I9" i="100"/>
  <c r="I8" i="100" s="1"/>
  <c r="G9" i="100"/>
  <c r="G8" i="100" s="1"/>
  <c r="C18" i="101"/>
  <c r="C27" i="101"/>
  <c r="C25" i="101"/>
  <c r="C15" i="101"/>
  <c r="C14" i="101"/>
  <c r="C12" i="101" s="1"/>
  <c r="C11" i="101"/>
  <c r="C10" i="101" s="1"/>
  <c r="B10" i="101"/>
  <c r="C8" i="101"/>
  <c r="C7" i="101" l="1"/>
  <c r="C24" i="101"/>
  <c r="H9" i="100"/>
  <c r="H8" i="100" s="1"/>
  <c r="F8" i="100" s="1"/>
  <c r="C6" i="101" l="1"/>
  <c r="F8" i="105"/>
  <c r="C10" i="102" l="1"/>
  <c r="C9" i="102" s="1"/>
  <c r="C16" i="102"/>
  <c r="C15" i="102" s="1"/>
  <c r="C8" i="102" l="1"/>
  <c r="C44" i="104"/>
  <c r="C43" i="104" s="1"/>
  <c r="C40" i="104"/>
  <c r="C39" i="104"/>
  <c r="C36" i="104"/>
  <c r="C34" i="104"/>
  <c r="C33" i="104"/>
  <c r="C31" i="104"/>
  <c r="C29" i="104"/>
  <c r="C28" i="104"/>
  <c r="C24" i="104"/>
  <c r="C22" i="104"/>
  <c r="C19" i="104"/>
  <c r="C17" i="104"/>
  <c r="C14" i="104"/>
  <c r="C10" i="104"/>
  <c r="C8" i="104"/>
  <c r="B8" i="104"/>
  <c r="C13" i="104" l="1"/>
  <c r="C12" i="104" s="1"/>
  <c r="F8" i="101"/>
  <c r="F10" i="101"/>
  <c r="B9" i="102" l="1"/>
  <c r="C14" i="103" l="1"/>
  <c r="C9" i="103"/>
  <c r="A3" i="103"/>
  <c r="A3" i="102" l="1"/>
  <c r="G11" i="102" l="1"/>
  <c r="C7" i="102"/>
  <c r="C6" i="102" s="1"/>
  <c r="G8" i="102" s="1"/>
  <c r="D6" i="98" l="1"/>
  <c r="C6" i="98"/>
  <c r="A88" i="97" l="1"/>
  <c r="A89" i="97" s="1"/>
  <c r="A90" i="97" s="1"/>
  <c r="A91" i="97" s="1"/>
  <c r="A92" i="97" s="1"/>
  <c r="A93" i="97" s="1"/>
  <c r="A94" i="97" s="1"/>
  <c r="A95" i="97" s="1"/>
  <c r="A96" i="97" s="1"/>
  <c r="A97" i="97" s="1"/>
  <c r="A98" i="97" s="1"/>
  <c r="A99" i="97" s="1"/>
  <c r="A100" i="97" s="1"/>
  <c r="A101" i="97" s="1"/>
  <c r="A102" i="97" s="1"/>
  <c r="A103" i="97" s="1"/>
  <c r="A104" i="97" s="1"/>
  <c r="A105" i="97" s="1"/>
  <c r="A106" i="97" s="1"/>
  <c r="A107" i="97" s="1"/>
  <c r="A108" i="97" s="1"/>
  <c r="A109" i="97" s="1"/>
  <c r="A110" i="97" s="1"/>
  <c r="A111" i="97" s="1"/>
  <c r="A112" i="97" s="1"/>
  <c r="A113" i="97" s="1"/>
  <c r="A114" i="97" s="1"/>
  <c r="A115" i="97" s="1"/>
  <c r="A116" i="97" s="1"/>
  <c r="F323" i="97" l="1"/>
  <c r="F322" i="97"/>
  <c r="F321" i="97"/>
  <c r="F320" i="97"/>
  <c r="F319" i="97"/>
  <c r="F318" i="97"/>
  <c r="F317" i="97"/>
  <c r="F316" i="97"/>
  <c r="F315" i="97"/>
  <c r="F314" i="97"/>
  <c r="F313" i="97"/>
  <c r="F312" i="97"/>
  <c r="F311" i="97"/>
  <c r="F310" i="97"/>
  <c r="F309" i="97"/>
  <c r="F308" i="97"/>
  <c r="J307" i="97"/>
  <c r="I307" i="97"/>
  <c r="I303" i="97" s="1"/>
  <c r="H307" i="97"/>
  <c r="H303" i="97" s="1"/>
  <c r="G307" i="97"/>
  <c r="F306" i="97"/>
  <c r="F305" i="97"/>
  <c r="J304" i="97"/>
  <c r="J303" i="97" s="1"/>
  <c r="G304" i="97"/>
  <c r="G303" i="97" s="1"/>
  <c r="F302" i="97"/>
  <c r="F301" i="97"/>
  <c r="F300" i="97"/>
  <c r="J299" i="97"/>
  <c r="G299" i="97"/>
  <c r="F299" i="97" s="1"/>
  <c r="F298" i="97"/>
  <c r="F297" i="97"/>
  <c r="F296" i="97"/>
  <c r="F295" i="97"/>
  <c r="J294" i="97"/>
  <c r="G294" i="97"/>
  <c r="F294" i="97" s="1"/>
  <c r="F293" i="97"/>
  <c r="J292" i="97"/>
  <c r="G292" i="97"/>
  <c r="F292" i="97" s="1"/>
  <c r="J290" i="97"/>
  <c r="G290" i="97"/>
  <c r="G291" i="97" s="1"/>
  <c r="F291" i="97" s="1"/>
  <c r="F289" i="97"/>
  <c r="F288" i="97"/>
  <c r="F287" i="97"/>
  <c r="F286" i="97"/>
  <c r="F285" i="97"/>
  <c r="F284" i="97"/>
  <c r="F283" i="97"/>
  <c r="F282" i="97"/>
  <c r="I281" i="97"/>
  <c r="H281" i="97"/>
  <c r="F280" i="97"/>
  <c r="F279" i="97"/>
  <c r="F278" i="97"/>
  <c r="F277" i="97"/>
  <c r="F276" i="97"/>
  <c r="F275" i="97"/>
  <c r="F274" i="97"/>
  <c r="F273" i="97"/>
  <c r="F272" i="97"/>
  <c r="F271" i="97"/>
  <c r="F270" i="97"/>
  <c r="F269" i="97"/>
  <c r="F268" i="97"/>
  <c r="F267" i="97"/>
  <c r="F266" i="97"/>
  <c r="F265" i="97"/>
  <c r="F264" i="97"/>
  <c r="F263" i="97"/>
  <c r="F262" i="97"/>
  <c r="F261" i="97"/>
  <c r="F260" i="97"/>
  <c r="F259" i="97"/>
  <c r="F258" i="97"/>
  <c r="F257" i="97"/>
  <c r="F256" i="97"/>
  <c r="F255" i="97"/>
  <c r="F254" i="97"/>
  <c r="F253" i="97"/>
  <c r="F252" i="97"/>
  <c r="F251" i="97"/>
  <c r="F250" i="97"/>
  <c r="F249" i="97"/>
  <c r="F248" i="97"/>
  <c r="F247" i="97"/>
  <c r="F246" i="97"/>
  <c r="F245" i="97"/>
  <c r="F244" i="97"/>
  <c r="F243" i="97"/>
  <c r="F242" i="97"/>
  <c r="F241" i="97"/>
  <c r="F240" i="97"/>
  <c r="F239" i="97"/>
  <c r="F238" i="97"/>
  <c r="F237" i="97"/>
  <c r="F236" i="97"/>
  <c r="F235" i="97"/>
  <c r="F234" i="97"/>
  <c r="F233" i="97"/>
  <c r="F232" i="97"/>
  <c r="F231" i="97"/>
  <c r="F230" i="97"/>
  <c r="F229" i="97"/>
  <c r="F228" i="97"/>
  <c r="F227" i="97"/>
  <c r="F226" i="97"/>
  <c r="F225" i="97"/>
  <c r="F224" i="97"/>
  <c r="F223" i="97"/>
  <c r="F222" i="97"/>
  <c r="F221" i="97"/>
  <c r="F220" i="97"/>
  <c r="I219" i="97"/>
  <c r="H219" i="97"/>
  <c r="G219" i="97"/>
  <c r="L218" i="97"/>
  <c r="H218" i="97"/>
  <c r="F218" i="97" s="1"/>
  <c r="L217" i="97"/>
  <c r="H217" i="97"/>
  <c r="F217" i="97" s="1"/>
  <c r="L216" i="97"/>
  <c r="H216" i="97"/>
  <c r="F216" i="97" s="1"/>
  <c r="L215" i="97"/>
  <c r="H215" i="97"/>
  <c r="F215" i="97" s="1"/>
  <c r="L214" i="97"/>
  <c r="H214" i="97"/>
  <c r="F214" i="97" s="1"/>
  <c r="L213" i="97"/>
  <c r="H213" i="97"/>
  <c r="F213" i="97" s="1"/>
  <c r="L212" i="97"/>
  <c r="H212" i="97"/>
  <c r="F212" i="97" s="1"/>
  <c r="L211" i="97"/>
  <c r="H211" i="97"/>
  <c r="L210" i="97"/>
  <c r="L209" i="97"/>
  <c r="F209" i="97"/>
  <c r="L208" i="97"/>
  <c r="F208" i="97"/>
  <c r="L207" i="97"/>
  <c r="L206" i="97"/>
  <c r="L205" i="97"/>
  <c r="G204" i="97"/>
  <c r="L204" i="97" s="1"/>
  <c r="F204" i="97"/>
  <c r="L203" i="97"/>
  <c r="G202" i="97"/>
  <c r="L202" i="97" s="1"/>
  <c r="L201" i="97"/>
  <c r="L200" i="97"/>
  <c r="L199" i="97"/>
  <c r="F199" i="97"/>
  <c r="L198" i="97"/>
  <c r="F198" i="97"/>
  <c r="L197" i="97"/>
  <c r="F197" i="97"/>
  <c r="L196" i="97"/>
  <c r="F196" i="97"/>
  <c r="G195" i="97"/>
  <c r="L195" i="97" s="1"/>
  <c r="L194" i="97"/>
  <c r="F194" i="97"/>
  <c r="L193" i="97"/>
  <c r="L192" i="97"/>
  <c r="F192" i="97"/>
  <c r="L191" i="97"/>
  <c r="F191" i="97"/>
  <c r="L190" i="97"/>
  <c r="L189" i="97"/>
  <c r="L188" i="97"/>
  <c r="L187" i="97"/>
  <c r="G186" i="97"/>
  <c r="L186" i="97" s="1"/>
  <c r="L185" i="97"/>
  <c r="L184" i="97"/>
  <c r="L183" i="97"/>
  <c r="L182" i="97"/>
  <c r="L181" i="97"/>
  <c r="L180" i="97"/>
  <c r="L179" i="97"/>
  <c r="L178" i="97"/>
  <c r="F178" i="97"/>
  <c r="L177" i="97"/>
  <c r="F177" i="97"/>
  <c r="L176" i="97"/>
  <c r="F176" i="97"/>
  <c r="L175" i="97"/>
  <c r="F175" i="97"/>
  <c r="L174" i="97"/>
  <c r="F174" i="97"/>
  <c r="L173" i="97"/>
  <c r="F173" i="97"/>
  <c r="L172" i="97"/>
  <c r="L171" i="97"/>
  <c r="F171" i="97"/>
  <c r="J170" i="97"/>
  <c r="F169" i="97"/>
  <c r="F168" i="97"/>
  <c r="F167" i="97"/>
  <c r="F166" i="97"/>
  <c r="F165" i="97"/>
  <c r="F164" i="97"/>
  <c r="J135" i="97"/>
  <c r="J117" i="97" s="1"/>
  <c r="G135" i="97"/>
  <c r="G117" i="97" s="1"/>
  <c r="F135" i="97"/>
  <c r="I117" i="97"/>
  <c r="H117" i="97"/>
  <c r="J86" i="97"/>
  <c r="I86" i="97"/>
  <c r="H86" i="97"/>
  <c r="G86" i="97"/>
  <c r="F86" i="97"/>
  <c r="F85" i="97"/>
  <c r="F84" i="97"/>
  <c r="F71" i="97"/>
  <c r="F70" i="97"/>
  <c r="F69" i="97"/>
  <c r="F68" i="97"/>
  <c r="F67" i="97"/>
  <c r="F66" i="97"/>
  <c r="F65" i="97"/>
  <c r="F64" i="97"/>
  <c r="F63" i="97"/>
  <c r="F62" i="97"/>
  <c r="F61" i="97"/>
  <c r="J39" i="97"/>
  <c r="J17" i="97" s="1"/>
  <c r="G39" i="97"/>
  <c r="F39" i="97"/>
  <c r="F38" i="97"/>
  <c r="F28" i="97"/>
  <c r="F27" i="97"/>
  <c r="F26" i="97"/>
  <c r="F25" i="97"/>
  <c r="F24" i="97"/>
  <c r="F23" i="97"/>
  <c r="F22" i="97"/>
  <c r="F21" i="97"/>
  <c r="F20" i="97"/>
  <c r="F19" i="97"/>
  <c r="F18" i="97"/>
  <c r="I17" i="97"/>
  <c r="H17" i="97"/>
  <c r="G17" i="97"/>
  <c r="F16" i="97"/>
  <c r="F15" i="97"/>
  <c r="F14" i="97"/>
  <c r="F13" i="97"/>
  <c r="F12" i="97"/>
  <c r="F11" i="97"/>
  <c r="F10" i="97"/>
  <c r="J9" i="97"/>
  <c r="I9" i="97"/>
  <c r="H9" i="97"/>
  <c r="G9" i="97"/>
  <c r="I8" i="97" l="1"/>
  <c r="F17" i="97"/>
  <c r="G170" i="97"/>
  <c r="F307" i="97"/>
  <c r="J291" i="97"/>
  <c r="J281" i="97" s="1"/>
  <c r="J8" i="97" s="1"/>
  <c r="F117" i="97"/>
  <c r="H170" i="97"/>
  <c r="H8" i="97" s="1"/>
  <c r="F219" i="97"/>
  <c r="L170" i="97"/>
  <c r="F304" i="97"/>
  <c r="F9" i="97"/>
  <c r="F186" i="97"/>
  <c r="F211" i="97"/>
  <c r="G281" i="97"/>
  <c r="F290" i="97"/>
  <c r="F281" i="97" s="1"/>
  <c r="M171" i="97" l="1"/>
  <c r="G8" i="97"/>
  <c r="F303" i="97"/>
  <c r="F170" i="97"/>
  <c r="F8" i="97" s="1"/>
  <c r="H15" i="92" l="1"/>
  <c r="E51" i="94" l="1"/>
  <c r="E36" i="96"/>
  <c r="E32" i="96" s="1"/>
  <c r="C32" i="96" l="1"/>
  <c r="C5" i="96"/>
  <c r="D32" i="96"/>
  <c r="E5" i="96"/>
  <c r="D5" i="96"/>
  <c r="E4" i="96" l="1"/>
  <c r="D4" i="96"/>
  <c r="C4" i="96"/>
  <c r="E47" i="94"/>
  <c r="D47" i="94"/>
  <c r="E5" i="94"/>
  <c r="D5" i="94"/>
  <c r="C5" i="94"/>
  <c r="C47" i="94"/>
  <c r="C4" i="94" l="1"/>
  <c r="C6" i="93"/>
  <c r="E60" i="93"/>
  <c r="D60" i="93"/>
  <c r="C60" i="93"/>
  <c r="E38" i="95"/>
  <c r="D38" i="95"/>
  <c r="C5" i="95"/>
  <c r="C38" i="95"/>
  <c r="D36" i="95"/>
  <c r="E16" i="95"/>
  <c r="D16" i="95" s="1"/>
  <c r="E15" i="95"/>
  <c r="E13" i="95"/>
  <c r="D13" i="95" s="1"/>
  <c r="D12" i="95"/>
  <c r="E11" i="95"/>
  <c r="D11" i="95" s="1"/>
  <c r="C4" i="95" l="1"/>
  <c r="D4" i="94"/>
  <c r="D5" i="95"/>
  <c r="D4" i="95" s="1"/>
  <c r="E5" i="95"/>
  <c r="E4" i="95" s="1"/>
  <c r="E4" i="94"/>
  <c r="C5" i="93"/>
  <c r="D58" i="93"/>
  <c r="E33" i="93"/>
  <c r="D33" i="93" s="1"/>
  <c r="D32" i="93"/>
  <c r="E31" i="93"/>
  <c r="D28" i="93"/>
  <c r="E27" i="93"/>
  <c r="D27" i="93" s="1"/>
  <c r="D26" i="93"/>
  <c r="D25" i="93"/>
  <c r="E24" i="93"/>
  <c r="D24" i="93" s="1"/>
  <c r="E23" i="93"/>
  <c r="D23" i="93" s="1"/>
  <c r="E18" i="93"/>
  <c r="D18" i="93" s="1"/>
  <c r="E17" i="93"/>
  <c r="D17" i="93" s="1"/>
  <c r="E15" i="93"/>
  <c r="E6" i="93" l="1"/>
  <c r="E5" i="93" s="1"/>
  <c r="D15" i="93"/>
  <c r="C25" i="87"/>
  <c r="C24" i="87"/>
  <c r="C23" i="87"/>
  <c r="C22" i="87"/>
  <c r="C21" i="87"/>
  <c r="C20" i="87"/>
  <c r="C19" i="87"/>
  <c r="C16" i="87"/>
  <c r="J167" i="90"/>
  <c r="J166" i="90" s="1"/>
  <c r="I167" i="90"/>
  <c r="I166" i="90" s="1"/>
  <c r="H167" i="90"/>
  <c r="G167" i="90"/>
  <c r="G166" i="90" s="1"/>
  <c r="F167" i="90"/>
  <c r="F166" i="90" s="1"/>
  <c r="H166" i="90"/>
  <c r="J149" i="90"/>
  <c r="J148" i="90" s="1"/>
  <c r="I149" i="90"/>
  <c r="I148" i="90" s="1"/>
  <c r="H149" i="90"/>
  <c r="H148" i="90" s="1"/>
  <c r="G149" i="90"/>
  <c r="G148" i="90" s="1"/>
  <c r="F149" i="90"/>
  <c r="F148" i="90" s="1"/>
  <c r="J119" i="90"/>
  <c r="I119" i="90"/>
  <c r="H119" i="90"/>
  <c r="G119" i="90"/>
  <c r="F119" i="90"/>
  <c r="H106" i="90"/>
  <c r="H105" i="90"/>
  <c r="J72" i="90"/>
  <c r="I72" i="90"/>
  <c r="G72" i="90"/>
  <c r="F72" i="90"/>
  <c r="J44" i="90"/>
  <c r="I44" i="90"/>
  <c r="H44" i="90"/>
  <c r="G44" i="90"/>
  <c r="F44" i="90"/>
  <c r="J13" i="90"/>
  <c r="I13" i="90"/>
  <c r="H13" i="90"/>
  <c r="G13" i="90"/>
  <c r="F13" i="90"/>
  <c r="F12" i="90"/>
  <c r="F11" i="90" s="1"/>
  <c r="J11" i="90"/>
  <c r="I11" i="90"/>
  <c r="H11" i="90"/>
  <c r="G11" i="90"/>
  <c r="H147" i="90" l="1"/>
  <c r="J10" i="90"/>
  <c r="H72" i="90"/>
  <c r="G10" i="90"/>
  <c r="G9" i="90" s="1"/>
  <c r="H10" i="90"/>
  <c r="J147" i="90"/>
  <c r="F10" i="90"/>
  <c r="F9" i="90" s="1"/>
  <c r="F147" i="90"/>
  <c r="G147" i="90"/>
  <c r="J9" i="90"/>
  <c r="I10" i="90"/>
  <c r="I9" i="90" s="1"/>
  <c r="I147" i="90"/>
  <c r="D6" i="93"/>
  <c r="D5" i="93" s="1"/>
  <c r="H9" i="90" l="1"/>
  <c r="H8" i="90" s="1"/>
  <c r="F8" i="90"/>
  <c r="G8" i="90"/>
  <c r="J8" i="90"/>
  <c r="I8" i="90"/>
  <c r="A4" i="92"/>
  <c r="A2" i="83"/>
  <c r="A3" i="84"/>
  <c r="A3" i="87"/>
  <c r="A3" i="86"/>
  <c r="A4" i="86"/>
  <c r="G26" i="92" l="1"/>
  <c r="A3" i="92"/>
  <c r="A31" i="13" l="1"/>
  <c r="A30" i="13"/>
  <c r="A29" i="13"/>
  <c r="H53" i="13"/>
  <c r="A53" i="13" s="1"/>
  <c r="G53" i="13"/>
  <c r="H32" i="13"/>
  <c r="A80" i="13" s="1"/>
  <c r="G32" i="13"/>
  <c r="A37" i="13" l="1"/>
  <c r="A69" i="13"/>
  <c r="A41" i="13"/>
  <c r="A57" i="13"/>
  <c r="A73" i="13"/>
  <c r="A45" i="13"/>
  <c r="A61" i="13"/>
  <c r="A77" i="13"/>
  <c r="A33" i="13"/>
  <c r="A49" i="13"/>
  <c r="A65" i="13"/>
  <c r="A78" i="13"/>
  <c r="A38" i="13"/>
  <c r="A46" i="13"/>
  <c r="A58" i="13"/>
  <c r="A55" i="13"/>
  <c r="A59" i="13"/>
  <c r="A63" i="13"/>
  <c r="A67" i="13"/>
  <c r="A71" i="13"/>
  <c r="A75" i="13"/>
  <c r="A79" i="13"/>
  <c r="A34" i="13"/>
  <c r="A42" i="13"/>
  <c r="A50" i="13"/>
  <c r="A54" i="13"/>
  <c r="A62" i="13"/>
  <c r="A66" i="13"/>
  <c r="A70" i="13"/>
  <c r="A74" i="13"/>
  <c r="A35" i="13"/>
  <c r="A39" i="13"/>
  <c r="A43" i="13"/>
  <c r="A47" i="13"/>
  <c r="A51" i="13"/>
  <c r="A32" i="13"/>
  <c r="A36" i="13"/>
  <c r="A40" i="13"/>
  <c r="A44" i="13"/>
  <c r="A48" i="13"/>
  <c r="A52" i="13"/>
  <c r="A56" i="13"/>
  <c r="A60" i="13"/>
  <c r="A64" i="13"/>
  <c r="A68" i="13"/>
  <c r="A72" i="13"/>
  <c r="A76" i="13"/>
  <c r="C17" i="87"/>
  <c r="C10" i="87"/>
  <c r="C11" i="87"/>
  <c r="C12" i="87"/>
  <c r="C13" i="87" l="1"/>
  <c r="G80" i="13" l="1"/>
  <c r="G79" i="13"/>
  <c r="G10" i="82" l="1"/>
  <c r="H10" i="82"/>
  <c r="F11" i="82"/>
  <c r="F12" i="82"/>
  <c r="F13" i="82"/>
  <c r="F14" i="82"/>
  <c r="F15" i="82"/>
  <c r="F16" i="82"/>
  <c r="F17" i="82"/>
  <c r="F18" i="82"/>
  <c r="F19" i="82"/>
  <c r="F21" i="82"/>
  <c r="F22" i="82"/>
  <c r="F23" i="82"/>
  <c r="D24" i="82"/>
  <c r="G24" i="82"/>
  <c r="G20" i="82" s="1"/>
  <c r="H24" i="82"/>
  <c r="H20" i="82" s="1"/>
  <c r="F25" i="82"/>
  <c r="F26" i="82"/>
  <c r="F27" i="82"/>
  <c r="F28" i="82"/>
  <c r="F29" i="82"/>
  <c r="G31" i="82"/>
  <c r="H31" i="82"/>
  <c r="F32" i="82"/>
  <c r="F33" i="82"/>
  <c r="F34" i="82"/>
  <c r="F36" i="82"/>
  <c r="F37" i="82"/>
  <c r="F38" i="82"/>
  <c r="F39" i="82"/>
  <c r="F40" i="82"/>
  <c r="F42" i="82"/>
  <c r="F43" i="82"/>
  <c r="D45" i="82"/>
  <c r="G45" i="82"/>
  <c r="F45" i="82" s="1"/>
  <c r="H45" i="82"/>
  <c r="H41" i="82" s="1"/>
  <c r="F46" i="82"/>
  <c r="F47" i="82"/>
  <c r="F48" i="82"/>
  <c r="G49" i="82"/>
  <c r="F49" i="82" s="1"/>
  <c r="F50" i="82"/>
  <c r="F52" i="82"/>
  <c r="F53" i="82"/>
  <c r="D55" i="82"/>
  <c r="G55" i="82"/>
  <c r="H55" i="82"/>
  <c r="H60" i="82" s="1"/>
  <c r="H51" i="82" s="1"/>
  <c r="F56" i="82"/>
  <c r="F57" i="82"/>
  <c r="F58" i="82"/>
  <c r="G59" i="82"/>
  <c r="F59" i="82" s="1"/>
  <c r="F62" i="82"/>
  <c r="F63" i="82"/>
  <c r="D65" i="82"/>
  <c r="G65" i="82"/>
  <c r="H65" i="82"/>
  <c r="H61" i="82" s="1"/>
  <c r="F66" i="82"/>
  <c r="F67" i="82"/>
  <c r="F68" i="82"/>
  <c r="G69" i="82"/>
  <c r="F69" i="82" s="1"/>
  <c r="F70" i="82"/>
  <c r="F72" i="82"/>
  <c r="F73" i="82"/>
  <c r="F74" i="82"/>
  <c r="D75" i="82"/>
  <c r="G75" i="82"/>
  <c r="H75" i="82"/>
  <c r="H71" i="82" s="1"/>
  <c r="F76" i="82"/>
  <c r="F77" i="82"/>
  <c r="F78" i="82"/>
  <c r="G79" i="82"/>
  <c r="F79" i="82" s="1"/>
  <c r="F80" i="82"/>
  <c r="G249" i="13"/>
  <c r="G248" i="13"/>
  <c r="G247" i="13"/>
  <c r="G246" i="13"/>
  <c r="A249" i="13"/>
  <c r="A248" i="13"/>
  <c r="A247" i="13"/>
  <c r="A246" i="13"/>
  <c r="L249" i="13"/>
  <c r="L248" i="13"/>
  <c r="K249" i="13"/>
  <c r="K248" i="13"/>
  <c r="E247" i="13"/>
  <c r="K247" i="13" s="1"/>
  <c r="E246" i="13"/>
  <c r="K246" i="13" s="1"/>
  <c r="G71" i="82" l="1"/>
  <c r="G51" i="82"/>
  <c r="G41" i="82"/>
  <c r="G9" i="82" s="1"/>
  <c r="F24" i="82"/>
  <c r="F20" i="82" s="1"/>
  <c r="L246" i="13"/>
  <c r="F10" i="82"/>
  <c r="G61" i="82"/>
  <c r="F41" i="82"/>
  <c r="F31" i="82"/>
  <c r="H9" i="82"/>
  <c r="F65" i="82"/>
  <c r="F61" i="82" s="1"/>
  <c r="F60" i="82"/>
  <c r="F55" i="82"/>
  <c r="F75" i="82"/>
  <c r="F71" i="82" s="1"/>
  <c r="L247" i="13"/>
  <c r="F51" i="82" l="1"/>
  <c r="F9" i="82" s="1"/>
  <c r="K91" i="21"/>
  <c r="J91" i="21"/>
  <c r="K90" i="21"/>
  <c r="J90" i="21"/>
  <c r="K89" i="21"/>
  <c r="J89" i="21"/>
  <c r="K88" i="21"/>
  <c r="J88" i="21"/>
  <c r="K87" i="21"/>
  <c r="J87" i="21"/>
  <c r="K86" i="21"/>
  <c r="J86" i="21"/>
  <c r="K85" i="21"/>
  <c r="J85" i="21"/>
  <c r="K84" i="21"/>
  <c r="J84" i="21"/>
  <c r="K83" i="21"/>
  <c r="J83" i="21"/>
  <c r="K82" i="21"/>
  <c r="J82" i="21"/>
  <c r="K81" i="21"/>
  <c r="J81" i="21"/>
  <c r="K80" i="21"/>
  <c r="J80" i="21"/>
  <c r="K79" i="21"/>
  <c r="J79" i="21"/>
  <c r="K78" i="21"/>
  <c r="J78" i="21"/>
  <c r="K77" i="21"/>
  <c r="J77" i="21"/>
  <c r="K76" i="21"/>
  <c r="J76" i="21"/>
  <c r="K75" i="21"/>
  <c r="J75" i="21"/>
  <c r="K74" i="21"/>
  <c r="J74" i="21"/>
  <c r="K73" i="21"/>
  <c r="J73" i="21"/>
  <c r="K72" i="21"/>
  <c r="J72" i="21"/>
  <c r="K71" i="21"/>
  <c r="J71" i="21"/>
  <c r="K70" i="21"/>
  <c r="J70" i="21"/>
  <c r="K69" i="21"/>
  <c r="J69" i="21"/>
  <c r="K68" i="21"/>
  <c r="J68" i="21"/>
  <c r="K66" i="21"/>
  <c r="J66" i="21"/>
  <c r="K65" i="21"/>
  <c r="J65" i="21"/>
  <c r="K64" i="21"/>
  <c r="J64" i="21"/>
  <c r="K63" i="21"/>
  <c r="J63" i="21"/>
  <c r="K62" i="21"/>
  <c r="J62" i="21"/>
  <c r="K61" i="21"/>
  <c r="J61" i="21"/>
  <c r="K60" i="21"/>
  <c r="J60" i="21"/>
  <c r="K59" i="21"/>
  <c r="J59" i="21"/>
  <c r="K58" i="21"/>
  <c r="J58" i="21"/>
  <c r="K57" i="21"/>
  <c r="J57" i="21"/>
  <c r="K56" i="21"/>
  <c r="J56" i="21"/>
  <c r="K55" i="21"/>
  <c r="J55" i="21"/>
  <c r="K54" i="21"/>
  <c r="J54" i="21"/>
  <c r="K53" i="21"/>
  <c r="J53" i="21"/>
  <c r="K52" i="21"/>
  <c r="J52" i="21"/>
  <c r="K51" i="21"/>
  <c r="J51" i="21"/>
  <c r="K50" i="21"/>
  <c r="J50" i="21"/>
  <c r="K49" i="21"/>
  <c r="J49" i="21"/>
  <c r="K48" i="21"/>
  <c r="J48" i="21"/>
  <c r="K47" i="21"/>
  <c r="J47" i="21"/>
  <c r="K46" i="21"/>
  <c r="J46" i="21"/>
  <c r="K45" i="21"/>
  <c r="J45" i="21"/>
  <c r="K44" i="21"/>
  <c r="J44" i="21"/>
  <c r="K43" i="21"/>
  <c r="J43" i="21"/>
  <c r="K42" i="21"/>
  <c r="J42" i="21"/>
  <c r="K41" i="21"/>
  <c r="J41" i="21"/>
  <c r="K40" i="21"/>
  <c r="J40" i="21"/>
  <c r="K39" i="21"/>
  <c r="J39" i="21"/>
  <c r="K37" i="21"/>
  <c r="J37" i="21"/>
  <c r="K36" i="21"/>
  <c r="J36" i="21"/>
  <c r="K35" i="21"/>
  <c r="J35" i="21"/>
  <c r="K34" i="21"/>
  <c r="J34" i="21"/>
  <c r="K33" i="21"/>
  <c r="J33" i="21"/>
  <c r="K32" i="21"/>
  <c r="J32" i="21"/>
  <c r="K31" i="21"/>
  <c r="J31" i="21"/>
  <c r="K29" i="21"/>
  <c r="J29" i="21"/>
  <c r="K28" i="21"/>
  <c r="J28" i="21"/>
  <c r="K27" i="21"/>
  <c r="J27" i="21"/>
  <c r="K26" i="21"/>
  <c r="J26" i="21"/>
  <c r="K25" i="21"/>
  <c r="J25" i="21"/>
  <c r="K24" i="21"/>
  <c r="J24" i="21"/>
  <c r="K23" i="21"/>
  <c r="J23" i="21"/>
  <c r="K22" i="21"/>
  <c r="J22" i="21"/>
  <c r="K21" i="21"/>
  <c r="J21" i="21"/>
  <c r="K20" i="21"/>
  <c r="J20" i="21"/>
  <c r="K19" i="21"/>
  <c r="J19" i="21"/>
  <c r="K18" i="21"/>
  <c r="J18" i="21"/>
  <c r="K17" i="21"/>
  <c r="J17" i="21"/>
  <c r="K16" i="21"/>
  <c r="J16" i="21"/>
  <c r="K15" i="21"/>
  <c r="J15" i="21"/>
  <c r="K14" i="21"/>
  <c r="J14" i="21"/>
  <c r="K13" i="21"/>
  <c r="J13" i="21"/>
  <c r="K12" i="21"/>
  <c r="J12" i="21"/>
  <c r="K11" i="21"/>
  <c r="J11" i="21"/>
  <c r="J63" i="15"/>
  <c r="I63" i="15"/>
  <c r="J62" i="15"/>
  <c r="I62" i="15"/>
  <c r="J61" i="15"/>
  <c r="I61" i="15"/>
  <c r="J60" i="15"/>
  <c r="I60" i="15"/>
  <c r="J59" i="15"/>
  <c r="I59" i="15"/>
  <c r="J58" i="15"/>
  <c r="I58" i="15"/>
  <c r="J57" i="15"/>
  <c r="I57" i="15"/>
  <c r="J56" i="15"/>
  <c r="I56" i="15"/>
  <c r="J54" i="15"/>
  <c r="I54" i="15"/>
  <c r="J53" i="15"/>
  <c r="I53" i="15"/>
  <c r="J52" i="15"/>
  <c r="I52" i="15"/>
  <c r="J51" i="15"/>
  <c r="I51" i="15"/>
  <c r="J50" i="15"/>
  <c r="I50" i="15"/>
  <c r="J48" i="15"/>
  <c r="I48" i="15"/>
  <c r="J47" i="15"/>
  <c r="I47" i="15"/>
  <c r="J46" i="15"/>
  <c r="I46" i="15"/>
  <c r="J45" i="15"/>
  <c r="I45" i="15"/>
  <c r="J43" i="15"/>
  <c r="I43" i="15"/>
  <c r="J42" i="15"/>
  <c r="I42" i="15"/>
  <c r="J41" i="15"/>
  <c r="I41" i="15"/>
  <c r="J40" i="15"/>
  <c r="I40" i="15"/>
  <c r="J39" i="15"/>
  <c r="I39" i="15"/>
  <c r="J37" i="15"/>
  <c r="I37" i="15"/>
  <c r="J36" i="15"/>
  <c r="I36" i="15"/>
  <c r="J34" i="15"/>
  <c r="I34" i="15"/>
  <c r="J33" i="15"/>
  <c r="I33" i="15"/>
  <c r="J32" i="15"/>
  <c r="I32" i="15"/>
  <c r="J30" i="15"/>
  <c r="I30" i="15"/>
  <c r="J29" i="15"/>
  <c r="I29" i="15"/>
  <c r="J28" i="15"/>
  <c r="I28" i="15"/>
  <c r="J24" i="15"/>
  <c r="I24" i="15"/>
  <c r="J23" i="15"/>
  <c r="I23" i="15"/>
  <c r="J22" i="15"/>
  <c r="I22" i="15"/>
  <c r="J21" i="15"/>
  <c r="I21" i="15"/>
  <c r="J20" i="15"/>
  <c r="I20" i="15"/>
  <c r="J19" i="15"/>
  <c r="I19" i="15"/>
  <c r="J18" i="15"/>
  <c r="I18" i="15"/>
  <c r="J17" i="15"/>
  <c r="I17" i="15"/>
  <c r="J16" i="15"/>
  <c r="I16" i="15"/>
  <c r="J15" i="15"/>
  <c r="I15" i="15"/>
  <c r="J14" i="15"/>
  <c r="I14" i="15"/>
  <c r="J13" i="15"/>
  <c r="I13" i="15"/>
  <c r="J12" i="15"/>
  <c r="I12" i="15"/>
  <c r="J11" i="15"/>
  <c r="I11" i="15"/>
  <c r="J10" i="15"/>
  <c r="I10" i="15"/>
  <c r="K28" i="8"/>
  <c r="K27" i="8"/>
  <c r="K25" i="8"/>
  <c r="K24" i="8"/>
  <c r="K22" i="8"/>
  <c r="K20" i="8"/>
  <c r="K19" i="8"/>
  <c r="K17" i="8"/>
  <c r="K15" i="8"/>
  <c r="K13" i="8"/>
  <c r="K11" i="8"/>
  <c r="L28" i="8"/>
  <c r="L27" i="8"/>
  <c r="L25" i="8"/>
  <c r="L24" i="8"/>
  <c r="L22" i="8"/>
  <c r="L20" i="8"/>
  <c r="L19" i="8"/>
  <c r="L17" i="8"/>
  <c r="L15" i="8"/>
  <c r="L13" i="8"/>
  <c r="L11" i="8"/>
  <c r="K245" i="13"/>
  <c r="K244" i="13"/>
  <c r="K243" i="13"/>
  <c r="K242" i="13"/>
  <c r="K241" i="13"/>
  <c r="K240" i="13"/>
  <c r="K239" i="13"/>
  <c r="K238" i="13"/>
  <c r="K237" i="13"/>
  <c r="K236" i="13"/>
  <c r="K235" i="13"/>
  <c r="K234" i="13"/>
  <c r="K233" i="13"/>
  <c r="K232" i="13"/>
  <c r="K231" i="13"/>
  <c r="K230" i="13"/>
  <c r="K229" i="13"/>
  <c r="K228" i="13"/>
  <c r="K227" i="13"/>
  <c r="K226" i="13"/>
  <c r="K225" i="13"/>
  <c r="K224" i="13"/>
  <c r="K223" i="13"/>
  <c r="K222" i="13"/>
  <c r="K221" i="13"/>
  <c r="K220" i="13"/>
  <c r="K219" i="13"/>
  <c r="K218" i="13"/>
  <c r="K217" i="13"/>
  <c r="K216" i="13"/>
  <c r="K215" i="13"/>
  <c r="K214" i="13"/>
  <c r="K211" i="13"/>
  <c r="K210" i="13"/>
  <c r="K209" i="13"/>
  <c r="K208" i="13"/>
  <c r="K207" i="13"/>
  <c r="K206" i="13"/>
  <c r="K205" i="13"/>
  <c r="K204" i="13"/>
  <c r="K202" i="13"/>
  <c r="K201" i="13"/>
  <c r="K200" i="13"/>
  <c r="K199" i="13"/>
  <c r="K197" i="13"/>
  <c r="K195" i="13"/>
  <c r="K194" i="13"/>
  <c r="K193" i="13"/>
  <c r="K192" i="13"/>
  <c r="K190" i="13"/>
  <c r="K189" i="13"/>
  <c r="K188" i="13"/>
  <c r="K187" i="13"/>
  <c r="K186" i="13"/>
  <c r="K185" i="13"/>
  <c r="K184" i="13"/>
  <c r="K183" i="13"/>
  <c r="K182" i="13"/>
  <c r="K181" i="13"/>
  <c r="K180" i="13"/>
  <c r="K179" i="13"/>
  <c r="K178" i="13"/>
  <c r="K177" i="13"/>
  <c r="K176" i="13"/>
  <c r="K175" i="13"/>
  <c r="K173" i="13"/>
  <c r="K172" i="13"/>
  <c r="K170" i="13"/>
  <c r="K169" i="13"/>
  <c r="K167" i="13"/>
  <c r="K164" i="13"/>
  <c r="K163" i="13"/>
  <c r="K162" i="13"/>
  <c r="K161" i="13"/>
  <c r="K160" i="13"/>
  <c r="K159" i="13"/>
  <c r="K158" i="13"/>
  <c r="K157" i="13"/>
  <c r="K156" i="13"/>
  <c r="K155" i="13"/>
  <c r="K154" i="13"/>
  <c r="K153" i="13"/>
  <c r="K152" i="13"/>
  <c r="K151" i="13"/>
  <c r="K150" i="13"/>
  <c r="K149" i="13"/>
  <c r="K148" i="13"/>
  <c r="K147" i="13"/>
  <c r="K146" i="13"/>
  <c r="K145" i="13"/>
  <c r="K144" i="13"/>
  <c r="K143" i="13"/>
  <c r="K142" i="13"/>
  <c r="K141" i="13"/>
  <c r="K138" i="13"/>
  <c r="K137" i="13"/>
  <c r="K133" i="13"/>
  <c r="K132" i="13"/>
  <c r="K131" i="13"/>
  <c r="K130" i="13"/>
  <c r="K129" i="13"/>
  <c r="K128" i="13"/>
  <c r="K127" i="13"/>
  <c r="K126" i="13"/>
  <c r="K125" i="13"/>
  <c r="K124" i="13"/>
  <c r="K123" i="13"/>
  <c r="K122" i="13"/>
  <c r="K119" i="13"/>
  <c r="K116" i="13"/>
  <c r="K115" i="13"/>
  <c r="K113" i="13"/>
  <c r="K112" i="13"/>
  <c r="K111" i="13"/>
  <c r="K110" i="13"/>
  <c r="K109" i="13"/>
  <c r="K108" i="13"/>
  <c r="K107" i="13"/>
  <c r="K106" i="13"/>
  <c r="K105" i="13"/>
  <c r="K104" i="13"/>
  <c r="K103" i="13"/>
  <c r="K102" i="13"/>
  <c r="K101" i="13"/>
  <c r="K100" i="13"/>
  <c r="K99" i="13"/>
  <c r="K98" i="13"/>
  <c r="K97" i="13"/>
  <c r="K96" i="13"/>
  <c r="K95" i="13"/>
  <c r="K94" i="13"/>
  <c r="K90" i="13"/>
  <c r="K89" i="13"/>
  <c r="K88" i="13"/>
  <c r="K87" i="13"/>
  <c r="K86" i="13"/>
  <c r="K85" i="13"/>
  <c r="K84" i="13"/>
  <c r="K83" i="13"/>
  <c r="K82" i="13"/>
  <c r="K80" i="13"/>
  <c r="K79" i="13"/>
  <c r="K78" i="13"/>
  <c r="K77" i="13"/>
  <c r="K76" i="13"/>
  <c r="K75" i="13"/>
  <c r="K74" i="13"/>
  <c r="K73" i="13"/>
  <c r="K72" i="13"/>
  <c r="K71" i="13"/>
  <c r="K70" i="13"/>
  <c r="K69" i="13"/>
  <c r="K68" i="13"/>
  <c r="K67" i="13"/>
  <c r="K66" i="13"/>
  <c r="K65" i="13"/>
  <c r="K64" i="13"/>
  <c r="K63" i="13"/>
  <c r="K62" i="13"/>
  <c r="K61" i="13"/>
  <c r="K60" i="13"/>
  <c r="K59" i="13"/>
  <c r="K58" i="13"/>
  <c r="K57" i="13"/>
  <c r="K56" i="13"/>
  <c r="K55" i="13"/>
  <c r="K54" i="13"/>
  <c r="K53" i="13"/>
  <c r="K52" i="13"/>
  <c r="K51" i="13"/>
  <c r="K50" i="13"/>
  <c r="K49" i="13"/>
  <c r="K48" i="13"/>
  <c r="K47" i="13"/>
  <c r="K46" i="13"/>
  <c r="K45" i="13"/>
  <c r="K44" i="13"/>
  <c r="K43" i="13"/>
  <c r="K42" i="13"/>
  <c r="K41" i="13"/>
  <c r="K40" i="13"/>
  <c r="K39" i="13"/>
  <c r="K38" i="13"/>
  <c r="K37" i="13"/>
  <c r="K36" i="13"/>
  <c r="K32" i="13"/>
  <c r="K30" i="13"/>
  <c r="K29" i="13"/>
  <c r="K25" i="13"/>
  <c r="K22" i="13"/>
  <c r="K21" i="13"/>
  <c r="K20" i="13"/>
  <c r="K19" i="13"/>
  <c r="K18" i="13"/>
  <c r="K17" i="13"/>
  <c r="K16" i="13"/>
  <c r="K15" i="13"/>
  <c r="K14" i="13"/>
  <c r="K13" i="13"/>
  <c r="K12" i="13"/>
  <c r="K11" i="13"/>
  <c r="J202" i="13"/>
  <c r="J177" i="13"/>
  <c r="J9" i="21" l="1"/>
  <c r="K9" i="21"/>
  <c r="K9" i="8"/>
  <c r="K8" i="8" s="1"/>
  <c r="I8" i="15"/>
  <c r="J8" i="15"/>
  <c r="L9" i="8"/>
  <c r="L8" i="8" s="1"/>
  <c r="A3" i="90" l="1"/>
  <c r="A3" i="91"/>
  <c r="A3" i="97" s="1"/>
  <c r="J114" i="91"/>
  <c r="H114" i="91"/>
  <c r="D114" i="91"/>
  <c r="J113" i="91"/>
  <c r="J112" i="91" s="1"/>
  <c r="H113" i="91"/>
  <c r="I112" i="91"/>
  <c r="H112" i="91"/>
  <c r="C112" i="91" s="1"/>
  <c r="G112" i="91"/>
  <c r="F111" i="91"/>
  <c r="D111" i="91" s="1"/>
  <c r="F110" i="91"/>
  <c r="C110" i="91" s="1"/>
  <c r="F109" i="91"/>
  <c r="D109" i="91" s="1"/>
  <c r="F108" i="91"/>
  <c r="D108" i="91" s="1"/>
  <c r="F107" i="91"/>
  <c r="C107" i="91" s="1"/>
  <c r="F106" i="91"/>
  <c r="C106" i="91" s="1"/>
  <c r="F105" i="91"/>
  <c r="D105" i="91" s="1"/>
  <c r="F104" i="91"/>
  <c r="D104" i="91" s="1"/>
  <c r="F103" i="91"/>
  <c r="C103" i="91" s="1"/>
  <c r="F102" i="91"/>
  <c r="C102" i="91" s="1"/>
  <c r="J101" i="91"/>
  <c r="H101" i="91"/>
  <c r="F101" i="91"/>
  <c r="J100" i="91"/>
  <c r="H100" i="91"/>
  <c r="F100" i="91"/>
  <c r="J99" i="91"/>
  <c r="H99" i="91"/>
  <c r="F99" i="91"/>
  <c r="I98" i="91"/>
  <c r="G98" i="91"/>
  <c r="E98" i="91"/>
  <c r="F97" i="91"/>
  <c r="C97" i="91" s="1"/>
  <c r="F96" i="91"/>
  <c r="C96" i="91" s="1"/>
  <c r="F95" i="91"/>
  <c r="D95" i="91" s="1"/>
  <c r="F94" i="91"/>
  <c r="D94" i="91" s="1"/>
  <c r="F93" i="91"/>
  <c r="C93" i="91" s="1"/>
  <c r="F92" i="91"/>
  <c r="D92" i="91" s="1"/>
  <c r="F91" i="91"/>
  <c r="D91" i="91" s="1"/>
  <c r="C91" i="91"/>
  <c r="J90" i="91"/>
  <c r="H90" i="91"/>
  <c r="F90" i="91"/>
  <c r="J89" i="91"/>
  <c r="H89" i="91"/>
  <c r="F89" i="91"/>
  <c r="J88" i="91"/>
  <c r="H88" i="91"/>
  <c r="F88" i="91"/>
  <c r="I87" i="91"/>
  <c r="G87" i="91"/>
  <c r="E87" i="91"/>
  <c r="F86" i="91"/>
  <c r="C86" i="91" s="1"/>
  <c r="F85" i="91"/>
  <c r="D85" i="91" s="1"/>
  <c r="F84" i="91"/>
  <c r="C84" i="91" s="1"/>
  <c r="F83" i="91"/>
  <c r="D83" i="91" s="1"/>
  <c r="F82" i="91"/>
  <c r="C82" i="91" s="1"/>
  <c r="F81" i="91"/>
  <c r="C81" i="91" s="1"/>
  <c r="F80" i="91"/>
  <c r="D80" i="91" s="1"/>
  <c r="F79" i="91"/>
  <c r="D79" i="91" s="1"/>
  <c r="F78" i="91"/>
  <c r="C78" i="91" s="1"/>
  <c r="F77" i="91"/>
  <c r="D77" i="91" s="1"/>
  <c r="F76" i="91"/>
  <c r="C76" i="91" s="1"/>
  <c r="F75" i="91"/>
  <c r="D75" i="91" s="1"/>
  <c r="F74" i="91"/>
  <c r="C74" i="91" s="1"/>
  <c r="F73" i="91"/>
  <c r="C73" i="91" s="1"/>
  <c r="F72" i="91"/>
  <c r="D72" i="91" s="1"/>
  <c r="F71" i="91"/>
  <c r="D71" i="91" s="1"/>
  <c r="F70" i="91"/>
  <c r="C70" i="91" s="1"/>
  <c r="J69" i="91"/>
  <c r="H69" i="91"/>
  <c r="F69" i="91"/>
  <c r="J68" i="91"/>
  <c r="H68" i="91"/>
  <c r="F68" i="91"/>
  <c r="J67" i="91"/>
  <c r="H67" i="91"/>
  <c r="F67" i="91"/>
  <c r="J66" i="91"/>
  <c r="H66" i="91"/>
  <c r="F66" i="91"/>
  <c r="I65" i="91"/>
  <c r="G65" i="91"/>
  <c r="E65" i="91"/>
  <c r="F64" i="91"/>
  <c r="C64" i="91" s="1"/>
  <c r="F63" i="91"/>
  <c r="D63" i="91" s="1"/>
  <c r="F62" i="91"/>
  <c r="D62" i="91" s="1"/>
  <c r="F61" i="91"/>
  <c r="C61" i="91" s="1"/>
  <c r="F60" i="91"/>
  <c r="D60" i="91" s="1"/>
  <c r="F59" i="91"/>
  <c r="D59" i="91" s="1"/>
  <c r="F58" i="91"/>
  <c r="D58" i="91" s="1"/>
  <c r="F57" i="91"/>
  <c r="C57" i="91" s="1"/>
  <c r="F56" i="91"/>
  <c r="D56" i="91" s="1"/>
  <c r="F55" i="91"/>
  <c r="D55" i="91" s="1"/>
  <c r="F54" i="91"/>
  <c r="D54" i="91" s="1"/>
  <c r="F53" i="91"/>
  <c r="C53" i="91" s="1"/>
  <c r="J52" i="91"/>
  <c r="H52" i="91"/>
  <c r="F52" i="91"/>
  <c r="J51" i="91"/>
  <c r="H51" i="91"/>
  <c r="F51" i="91"/>
  <c r="J50" i="91"/>
  <c r="H50" i="91"/>
  <c r="F50" i="91"/>
  <c r="J49" i="91"/>
  <c r="H49" i="91"/>
  <c r="F49" i="91"/>
  <c r="I48" i="91"/>
  <c r="G48" i="91"/>
  <c r="E48" i="91"/>
  <c r="F47" i="91"/>
  <c r="D47" i="91" s="1"/>
  <c r="F46" i="91"/>
  <c r="C46" i="91" s="1"/>
  <c r="F45" i="91"/>
  <c r="D45" i="91" s="1"/>
  <c r="F44" i="91"/>
  <c r="C44" i="91" s="1"/>
  <c r="J43" i="91"/>
  <c r="H43" i="91"/>
  <c r="F43" i="91"/>
  <c r="J42" i="91"/>
  <c r="H42" i="91"/>
  <c r="F42" i="91"/>
  <c r="J41" i="91"/>
  <c r="H41" i="91"/>
  <c r="F41" i="91"/>
  <c r="J40" i="91"/>
  <c r="H40" i="91"/>
  <c r="F40" i="91"/>
  <c r="J39" i="91"/>
  <c r="H39" i="91"/>
  <c r="F39" i="91"/>
  <c r="J38" i="91"/>
  <c r="H38" i="91"/>
  <c r="F38" i="91"/>
  <c r="J37" i="91"/>
  <c r="H37" i="91"/>
  <c r="F37" i="91"/>
  <c r="I36" i="91"/>
  <c r="G36" i="91"/>
  <c r="E36" i="91"/>
  <c r="J35" i="91"/>
  <c r="H35" i="91"/>
  <c r="F35" i="91"/>
  <c r="J34" i="91"/>
  <c r="H34" i="91"/>
  <c r="F34" i="91"/>
  <c r="J33" i="91"/>
  <c r="H33" i="91"/>
  <c r="F33" i="91"/>
  <c r="J32" i="91"/>
  <c r="H32" i="91"/>
  <c r="F32" i="91"/>
  <c r="D32" i="91" s="1"/>
  <c r="J31" i="91"/>
  <c r="H31" i="91"/>
  <c r="F31" i="91"/>
  <c r="J30" i="91"/>
  <c r="H30" i="91"/>
  <c r="F30" i="91"/>
  <c r="J29" i="91"/>
  <c r="H29" i="91"/>
  <c r="F29" i="91"/>
  <c r="J28" i="91"/>
  <c r="H28" i="91"/>
  <c r="F28" i="91"/>
  <c r="D28" i="91" s="1"/>
  <c r="J27" i="91"/>
  <c r="H27" i="91"/>
  <c r="F27" i="91"/>
  <c r="I26" i="91"/>
  <c r="G26" i="91"/>
  <c r="E26" i="91"/>
  <c r="F25" i="91"/>
  <c r="D25" i="91" s="1"/>
  <c r="C25" i="91"/>
  <c r="F24" i="91"/>
  <c r="D24" i="91" s="1"/>
  <c r="F23" i="91"/>
  <c r="C23" i="91" s="1"/>
  <c r="F22" i="91"/>
  <c r="C22" i="91" s="1"/>
  <c r="J21" i="91"/>
  <c r="H21" i="91"/>
  <c r="F21" i="91"/>
  <c r="J20" i="91"/>
  <c r="H20" i="91"/>
  <c r="F20" i="91"/>
  <c r="J19" i="91"/>
  <c r="H19" i="91"/>
  <c r="F19" i="91"/>
  <c r="J18" i="91"/>
  <c r="H18" i="91"/>
  <c r="F18" i="91"/>
  <c r="D18" i="91"/>
  <c r="J17" i="91"/>
  <c r="H17" i="91"/>
  <c r="F17" i="91"/>
  <c r="J16" i="91"/>
  <c r="H16" i="91"/>
  <c r="F16" i="91"/>
  <c r="J15" i="91"/>
  <c r="H15" i="91"/>
  <c r="F15" i="91"/>
  <c r="J14" i="91"/>
  <c r="H14" i="91"/>
  <c r="F14" i="91"/>
  <c r="D14" i="91" s="1"/>
  <c r="I13" i="91"/>
  <c r="G13" i="91"/>
  <c r="E13" i="91"/>
  <c r="D12" i="91"/>
  <c r="C12" i="91"/>
  <c r="J11" i="91"/>
  <c r="J10" i="91" s="1"/>
  <c r="H11" i="91"/>
  <c r="F11" i="91"/>
  <c r="D11" i="91" s="1"/>
  <c r="I10" i="91"/>
  <c r="H10" i="91"/>
  <c r="G10" i="91"/>
  <c r="E10" i="91"/>
  <c r="D68" i="91" l="1"/>
  <c r="C29" i="91"/>
  <c r="D69" i="91"/>
  <c r="D31" i="91"/>
  <c r="E8" i="91"/>
  <c r="F48" i="91"/>
  <c r="D48" i="91" s="1"/>
  <c r="D53" i="91"/>
  <c r="I8" i="91"/>
  <c r="D82" i="91"/>
  <c r="C80" i="91"/>
  <c r="D86" i="91"/>
  <c r="C45" i="91"/>
  <c r="D78" i="91"/>
  <c r="J65" i="91"/>
  <c r="C51" i="91"/>
  <c r="D84" i="91"/>
  <c r="D97" i="91"/>
  <c r="D27" i="91"/>
  <c r="D93" i="91"/>
  <c r="C95" i="91"/>
  <c r="C32" i="91"/>
  <c r="D38" i="91"/>
  <c r="C42" i="91"/>
  <c r="C58" i="91"/>
  <c r="D61" i="91"/>
  <c r="D16" i="91"/>
  <c r="C94" i="91"/>
  <c r="D19" i="91"/>
  <c r="C19" i="91"/>
  <c r="C21" i="91"/>
  <c r="D35" i="91"/>
  <c r="J36" i="91"/>
  <c r="D44" i="91"/>
  <c r="D46" i="91"/>
  <c r="C69" i="91"/>
  <c r="C72" i="91"/>
  <c r="D74" i="91"/>
  <c r="D76" i="91"/>
  <c r="D90" i="91"/>
  <c r="D99" i="91"/>
  <c r="C105" i="91"/>
  <c r="C111" i="91"/>
  <c r="D15" i="91"/>
  <c r="D34" i="91"/>
  <c r="D39" i="91"/>
  <c r="D43" i="91"/>
  <c r="J48" i="91"/>
  <c r="C52" i="91"/>
  <c r="C54" i="91"/>
  <c r="D57" i="91"/>
  <c r="C62" i="91"/>
  <c r="C66" i="91"/>
  <c r="D70" i="91"/>
  <c r="C113" i="91"/>
  <c r="C19" i="86" s="1"/>
  <c r="J98" i="91"/>
  <c r="C101" i="91"/>
  <c r="D110" i="91"/>
  <c r="C39" i="91"/>
  <c r="C41" i="91"/>
  <c r="C88" i="91"/>
  <c r="C11" i="91"/>
  <c r="H13" i="91"/>
  <c r="C14" i="91"/>
  <c r="H26" i="91"/>
  <c r="C27" i="91"/>
  <c r="C35" i="91"/>
  <c r="H48" i="91"/>
  <c r="J87" i="91"/>
  <c r="C99" i="91"/>
  <c r="G8" i="91"/>
  <c r="J13" i="91"/>
  <c r="C17" i="91"/>
  <c r="C20" i="91"/>
  <c r="C24" i="91"/>
  <c r="J26" i="91"/>
  <c r="C30" i="91"/>
  <c r="D33" i="91"/>
  <c r="C37" i="91"/>
  <c r="C38" i="91"/>
  <c r="C40" i="91"/>
  <c r="D51" i="91"/>
  <c r="C55" i="91"/>
  <c r="C59" i="91"/>
  <c r="C63" i="91"/>
  <c r="C67" i="91"/>
  <c r="C68" i="91"/>
  <c r="C89" i="91"/>
  <c r="D100" i="91"/>
  <c r="C104" i="91"/>
  <c r="C108" i="91"/>
  <c r="D112" i="91"/>
  <c r="C15" i="91"/>
  <c r="C16" i="91"/>
  <c r="C18" i="91"/>
  <c r="D22" i="91"/>
  <c r="C28" i="91"/>
  <c r="C31" i="91"/>
  <c r="H36" i="91"/>
  <c r="D42" i="91"/>
  <c r="C43" i="91"/>
  <c r="D50" i="91"/>
  <c r="D52" i="91"/>
  <c r="F65" i="91"/>
  <c r="C71" i="91"/>
  <c r="C75" i="91"/>
  <c r="C79" i="91"/>
  <c r="C83" i="91"/>
  <c r="D88" i="91"/>
  <c r="D89" i="91"/>
  <c r="D102" i="91"/>
  <c r="D106" i="91"/>
  <c r="D113" i="91"/>
  <c r="C114" i="91"/>
  <c r="C20" i="86" s="1"/>
  <c r="D20" i="91"/>
  <c r="D29" i="91"/>
  <c r="C34" i="91"/>
  <c r="D40" i="91"/>
  <c r="C47" i="91"/>
  <c r="D49" i="91"/>
  <c r="C50" i="91"/>
  <c r="C56" i="91"/>
  <c r="C60" i="91"/>
  <c r="H65" i="91"/>
  <c r="D66" i="91"/>
  <c r="C77" i="91"/>
  <c r="C85" i="91"/>
  <c r="C90" i="91"/>
  <c r="C92" i="91"/>
  <c r="F10" i="91"/>
  <c r="D17" i="91"/>
  <c r="D21" i="91"/>
  <c r="D23" i="91"/>
  <c r="D30" i="91"/>
  <c r="F36" i="91"/>
  <c r="D37" i="91"/>
  <c r="D41" i="91"/>
  <c r="D64" i="91"/>
  <c r="D67" i="91"/>
  <c r="D73" i="91"/>
  <c r="D81" i="91"/>
  <c r="F87" i="91"/>
  <c r="D96" i="91"/>
  <c r="F98" i="91"/>
  <c r="D101" i="91"/>
  <c r="D103" i="91"/>
  <c r="D107" i="91"/>
  <c r="C109" i="91"/>
  <c r="C33" i="91"/>
  <c r="C49" i="91"/>
  <c r="H87" i="91"/>
  <c r="H98" i="91"/>
  <c r="C100" i="91"/>
  <c r="F13" i="91"/>
  <c r="F26" i="91"/>
  <c r="C48" i="91" l="1"/>
  <c r="C14" i="86"/>
  <c r="C18" i="86"/>
  <c r="J8" i="91"/>
  <c r="H8" i="91"/>
  <c r="C65" i="91"/>
  <c r="D26" i="91"/>
  <c r="C26" i="91"/>
  <c r="D98" i="91"/>
  <c r="C98" i="91"/>
  <c r="D13" i="91"/>
  <c r="C13" i="91"/>
  <c r="D36" i="91"/>
  <c r="C36" i="91"/>
  <c r="C11" i="86" s="1"/>
  <c r="D87" i="91"/>
  <c r="C87" i="91"/>
  <c r="D10" i="91"/>
  <c r="C10" i="91"/>
  <c r="C10" i="86" s="1"/>
  <c r="F8" i="91"/>
  <c r="D65" i="91"/>
  <c r="C13" i="86" l="1"/>
  <c r="C16" i="86"/>
  <c r="C12" i="86"/>
  <c r="C17" i="86"/>
  <c r="C15" i="86"/>
  <c r="C9" i="91"/>
  <c r="C8" i="91" s="1"/>
  <c r="D8" i="91"/>
  <c r="C9" i="86" l="1"/>
  <c r="C8" i="86" l="1"/>
  <c r="C7" i="86" l="1"/>
  <c r="A5" i="74" l="1"/>
  <c r="A5" i="63"/>
  <c r="A5" i="21"/>
  <c r="A5" i="60"/>
  <c r="A4" i="17" l="1"/>
  <c r="A5" i="67"/>
  <c r="A4" i="16"/>
  <c r="A5" i="66"/>
  <c r="A4" i="15"/>
  <c r="A5" i="52"/>
  <c r="A5" i="13"/>
  <c r="A5" i="39"/>
  <c r="A4" i="81"/>
  <c r="A5" i="46"/>
  <c r="A4" i="8"/>
  <c r="A4" i="6"/>
  <c r="A5" i="2"/>
  <c r="A3" i="83"/>
  <c r="A4" i="84"/>
  <c r="A4" i="87"/>
  <c r="C15" i="87"/>
  <c r="C18" i="87" l="1"/>
  <c r="C14" i="87" s="1"/>
  <c r="C9" i="87"/>
  <c r="C8" i="87" s="1"/>
  <c r="C7" i="87" l="1"/>
  <c r="A201" i="13"/>
  <c r="A202" i="13"/>
  <c r="H203" i="13"/>
  <c r="A206" i="13" s="1"/>
  <c r="H212" i="13"/>
  <c r="G211" i="13"/>
  <c r="A212" i="13" l="1"/>
  <c r="J212" i="13"/>
  <c r="K212" i="13"/>
  <c r="A207" i="13"/>
  <c r="K203" i="13"/>
  <c r="J203" i="13"/>
  <c r="G212" i="13"/>
  <c r="A210" i="13"/>
  <c r="A203" i="13"/>
  <c r="A209" i="13"/>
  <c r="A208" i="13"/>
  <c r="A204" i="13"/>
  <c r="H198" i="13"/>
  <c r="A205" i="13"/>
  <c r="A211" i="13"/>
  <c r="G197" i="13"/>
  <c r="G195" i="13"/>
  <c r="G194" i="13"/>
  <c r="G193" i="13"/>
  <c r="G192" i="13"/>
  <c r="G190" i="13"/>
  <c r="G189" i="13"/>
  <c r="G188" i="13"/>
  <c r="G187" i="13"/>
  <c r="G186" i="13"/>
  <c r="G185" i="13"/>
  <c r="G184" i="13"/>
  <c r="G183" i="13"/>
  <c r="G182" i="13"/>
  <c r="G181" i="13"/>
  <c r="G180" i="13"/>
  <c r="G179" i="13"/>
  <c r="G178" i="13"/>
  <c r="G177" i="13"/>
  <c r="G176" i="13"/>
  <c r="G175" i="13"/>
  <c r="G173" i="13"/>
  <c r="G172" i="13"/>
  <c r="G170" i="13"/>
  <c r="G169" i="13"/>
  <c r="G245" i="13"/>
  <c r="G244" i="13"/>
  <c r="G243" i="13"/>
  <c r="G242" i="13"/>
  <c r="G241" i="13"/>
  <c r="G240" i="13"/>
  <c r="G239" i="13"/>
  <c r="G238" i="13"/>
  <c r="G236" i="13"/>
  <c r="G235" i="13"/>
  <c r="G234" i="13"/>
  <c r="G233" i="13"/>
  <c r="G232" i="13"/>
  <c r="G231" i="13"/>
  <c r="G230" i="13"/>
  <c r="G229" i="13"/>
  <c r="G228" i="13"/>
  <c r="G227" i="13"/>
  <c r="G226" i="13"/>
  <c r="G225" i="13"/>
  <c r="G224" i="13"/>
  <c r="G223" i="13"/>
  <c r="G222" i="13"/>
  <c r="G221" i="13"/>
  <c r="G220" i="13"/>
  <c r="G219" i="13"/>
  <c r="G218" i="13"/>
  <c r="G217" i="13"/>
  <c r="G216" i="13"/>
  <c r="H174" i="13"/>
  <c r="H140" i="13"/>
  <c r="K140" i="13" s="1"/>
  <c r="H121" i="13"/>
  <c r="K121" i="13" s="1"/>
  <c r="H92" i="13"/>
  <c r="K92" i="13" s="1"/>
  <c r="H26" i="13"/>
  <c r="K26" i="13" s="1"/>
  <c r="F673" i="75"/>
  <c r="F672" i="75"/>
  <c r="H672" i="75" s="1"/>
  <c r="G672" i="75" s="1"/>
  <c r="F671" i="75"/>
  <c r="H671" i="75" s="1"/>
  <c r="G671" i="75" s="1"/>
  <c r="F670" i="75"/>
  <c r="F668" i="75"/>
  <c r="F667" i="75"/>
  <c r="H667" i="75" s="1"/>
  <c r="F665" i="75"/>
  <c r="F664" i="75"/>
  <c r="H664" i="75" s="1"/>
  <c r="F662" i="75"/>
  <c r="F661" i="75"/>
  <c r="H661" i="75" s="1"/>
  <c r="F660" i="75"/>
  <c r="H660" i="75" s="1"/>
  <c r="G660" i="75" s="1"/>
  <c r="F658" i="75"/>
  <c r="H658" i="75" s="1"/>
  <c r="F657" i="75"/>
  <c r="F656" i="75"/>
  <c r="H656" i="75" s="1"/>
  <c r="F653" i="75"/>
  <c r="F652" i="75"/>
  <c r="H652" i="75" s="1"/>
  <c r="G652" i="75" s="1"/>
  <c r="F651" i="75"/>
  <c r="H651" i="75" s="1"/>
  <c r="F649" i="75"/>
  <c r="F648" i="75"/>
  <c r="F647" i="75"/>
  <c r="H647" i="75" s="1"/>
  <c r="F645" i="75"/>
  <c r="F643" i="75"/>
  <c r="H643" i="75" s="1"/>
  <c r="G643" i="75" s="1"/>
  <c r="F641" i="75"/>
  <c r="F640" i="75"/>
  <c r="H640" i="75" s="1"/>
  <c r="G640" i="75" s="1"/>
  <c r="F639" i="75"/>
  <c r="F636" i="75"/>
  <c r="H636" i="75" s="1"/>
  <c r="G636" i="75" s="1"/>
  <c r="F635" i="75"/>
  <c r="H635" i="75" s="1"/>
  <c r="G635" i="75" s="1"/>
  <c r="F634" i="75"/>
  <c r="H634" i="75" s="1"/>
  <c r="F633" i="75"/>
  <c r="F632" i="75"/>
  <c r="H632" i="75" s="1"/>
  <c r="G632" i="75" s="1"/>
  <c r="F631" i="75"/>
  <c r="H631" i="75" s="1"/>
  <c r="G631" i="75" s="1"/>
  <c r="F630" i="75"/>
  <c r="F629" i="75"/>
  <c r="F628" i="75"/>
  <c r="H628" i="75" s="1"/>
  <c r="G628" i="75" s="1"/>
  <c r="F625" i="75"/>
  <c r="G625" i="75" s="1"/>
  <c r="F623" i="75"/>
  <c r="H623" i="75" s="1"/>
  <c r="G623" i="75" s="1"/>
  <c r="F622" i="75"/>
  <c r="H622" i="75" s="1"/>
  <c r="F620" i="75"/>
  <c r="H620" i="75" s="1"/>
  <c r="G620" i="75" s="1"/>
  <c r="F619" i="75"/>
  <c r="H619" i="75" s="1"/>
  <c r="F617" i="75"/>
  <c r="F616" i="75"/>
  <c r="H616" i="75" s="1"/>
  <c r="F614" i="75"/>
  <c r="H614" i="75" s="1"/>
  <c r="F613" i="75"/>
  <c r="F612" i="75"/>
  <c r="H612" i="75" s="1"/>
  <c r="G612" i="75" s="1"/>
  <c r="F611" i="75"/>
  <c r="H611" i="75" s="1"/>
  <c r="F610" i="75"/>
  <c r="H610" i="75" s="1"/>
  <c r="F606" i="75"/>
  <c r="F605" i="75"/>
  <c r="F604" i="75"/>
  <c r="H604" i="75" s="1"/>
  <c r="G604" i="75" s="1"/>
  <c r="F603" i="75"/>
  <c r="F601" i="75"/>
  <c r="F600" i="75"/>
  <c r="H600" i="75" s="1"/>
  <c r="G600" i="75" s="1"/>
  <c r="F598" i="75"/>
  <c r="H598" i="75" s="1"/>
  <c r="F597" i="75"/>
  <c r="F595" i="75"/>
  <c r="F594" i="75"/>
  <c r="H594" i="75" s="1"/>
  <c r="F591" i="75"/>
  <c r="H591" i="75" s="1"/>
  <c r="G591" i="75" s="1"/>
  <c r="F590" i="75"/>
  <c r="F589" i="75"/>
  <c r="H589" i="75" s="1"/>
  <c r="F586" i="75"/>
  <c r="H586" i="75" s="1"/>
  <c r="G586" i="75" s="1"/>
  <c r="F585" i="75"/>
  <c r="H585" i="75" s="1"/>
  <c r="F584" i="75"/>
  <c r="F582" i="75"/>
  <c r="H582" i="75" s="1"/>
  <c r="G582" i="75" s="1"/>
  <c r="F581" i="75"/>
  <c r="F580" i="75"/>
  <c r="F578" i="75"/>
  <c r="F576" i="75"/>
  <c r="F574" i="75"/>
  <c r="H574" i="75" s="1"/>
  <c r="G574" i="75" s="1"/>
  <c r="F573" i="75"/>
  <c r="H573" i="75" s="1"/>
  <c r="F572" i="75"/>
  <c r="F569" i="75"/>
  <c r="F568" i="75"/>
  <c r="F567" i="75"/>
  <c r="H567" i="75" s="1"/>
  <c r="F566" i="75"/>
  <c r="H566" i="75" s="1"/>
  <c r="G566" i="75" s="1"/>
  <c r="F565" i="75"/>
  <c r="F564" i="75"/>
  <c r="F563" i="75"/>
  <c r="G563" i="75" s="1"/>
  <c r="F562" i="75"/>
  <c r="F561" i="75"/>
  <c r="F558" i="75"/>
  <c r="H558" i="75" s="1"/>
  <c r="F556" i="75"/>
  <c r="F555" i="75"/>
  <c r="H555" i="75" s="1"/>
  <c r="F553" i="75"/>
  <c r="G553" i="75" s="1"/>
  <c r="F552" i="75"/>
  <c r="H552" i="75" s="1"/>
  <c r="F550" i="75"/>
  <c r="H550" i="75" s="1"/>
  <c r="F549" i="75"/>
  <c r="F547" i="75"/>
  <c r="H547" i="75" s="1"/>
  <c r="F546" i="75"/>
  <c r="H546" i="75" s="1"/>
  <c r="F545" i="75"/>
  <c r="F544" i="75"/>
  <c r="H544" i="75" s="1"/>
  <c r="F543" i="75"/>
  <c r="F539" i="75"/>
  <c r="H539" i="75" s="1"/>
  <c r="G539" i="75" s="1"/>
  <c r="F538" i="75"/>
  <c r="H538" i="75" s="1"/>
  <c r="F537" i="75"/>
  <c r="F536" i="75"/>
  <c r="H536" i="75" s="1"/>
  <c r="G536" i="75" s="1"/>
  <c r="F534" i="75"/>
  <c r="F533" i="75"/>
  <c r="F531" i="75"/>
  <c r="F530" i="75"/>
  <c r="H530" i="75" s="1"/>
  <c r="F528" i="75"/>
  <c r="H528" i="75" s="1"/>
  <c r="F527" i="75"/>
  <c r="H527" i="75" s="1"/>
  <c r="F526" i="75"/>
  <c r="F524" i="75"/>
  <c r="H524" i="75" s="1"/>
  <c r="F523" i="75"/>
  <c r="F522" i="75"/>
  <c r="F519" i="75"/>
  <c r="H519" i="75" s="1"/>
  <c r="F518" i="75"/>
  <c r="F517" i="75"/>
  <c r="H517" i="75" s="1"/>
  <c r="F515" i="75"/>
  <c r="H515" i="75" s="1"/>
  <c r="F514" i="75"/>
  <c r="F513" i="75"/>
  <c r="F511" i="75"/>
  <c r="F509" i="75"/>
  <c r="H509" i="75" s="1"/>
  <c r="F507" i="75"/>
  <c r="H507" i="75" s="1"/>
  <c r="F506" i="75"/>
  <c r="F505" i="75"/>
  <c r="H505" i="75" s="1"/>
  <c r="F502" i="75"/>
  <c r="G502" i="75" s="1"/>
  <c r="F501" i="75"/>
  <c r="H501" i="75" s="1"/>
  <c r="G501" i="75" s="1"/>
  <c r="F500" i="75"/>
  <c r="F499" i="75"/>
  <c r="F498" i="75"/>
  <c r="F497" i="75"/>
  <c r="H497" i="75" s="1"/>
  <c r="G497" i="75" s="1"/>
  <c r="F496" i="75"/>
  <c r="F495" i="75"/>
  <c r="F494" i="75"/>
  <c r="F491" i="75"/>
  <c r="F489" i="75"/>
  <c r="H489" i="75" s="1"/>
  <c r="F488" i="75"/>
  <c r="F486" i="75"/>
  <c r="F485" i="75"/>
  <c r="G485" i="75" s="1"/>
  <c r="F483" i="75"/>
  <c r="F482" i="75"/>
  <c r="F480" i="75"/>
  <c r="H480" i="75" s="1"/>
  <c r="F479" i="75"/>
  <c r="F478" i="75"/>
  <c r="F477" i="75"/>
  <c r="H477" i="75" s="1"/>
  <c r="F476" i="75"/>
  <c r="H476" i="75" s="1"/>
  <c r="F472" i="75"/>
  <c r="H472" i="75" s="1"/>
  <c r="F471" i="75"/>
  <c r="F470" i="75"/>
  <c r="F469" i="75"/>
  <c r="H469" i="75" s="1"/>
  <c r="F467" i="75"/>
  <c r="F466" i="75"/>
  <c r="H466" i="75" s="1"/>
  <c r="F464" i="75"/>
  <c r="F463" i="75"/>
  <c r="F461" i="75"/>
  <c r="H461" i="75" s="1"/>
  <c r="F460" i="75"/>
  <c r="H460" i="75" s="1"/>
  <c r="F459" i="75"/>
  <c r="F457" i="75"/>
  <c r="F456" i="75"/>
  <c r="H456" i="75" s="1"/>
  <c r="F455" i="75"/>
  <c r="F452" i="75"/>
  <c r="F451" i="75"/>
  <c r="F450" i="75"/>
  <c r="H450" i="75" s="1"/>
  <c r="G450" i="75" s="1"/>
  <c r="F448" i="75"/>
  <c r="H448" i="75" s="1"/>
  <c r="F447" i="75"/>
  <c r="F446" i="75"/>
  <c r="H446" i="75" s="1"/>
  <c r="G446" i="75" s="1"/>
  <c r="F444" i="75"/>
  <c r="H444" i="75" s="1"/>
  <c r="F442" i="75"/>
  <c r="F440" i="75"/>
  <c r="F439" i="75"/>
  <c r="H439" i="75" s="1"/>
  <c r="F438" i="75"/>
  <c r="F435" i="75"/>
  <c r="H435" i="75" s="1"/>
  <c r="F434" i="75"/>
  <c r="H434" i="75" s="1"/>
  <c r="F433" i="75"/>
  <c r="H433" i="75" s="1"/>
  <c r="G433" i="75" s="1"/>
  <c r="F432" i="75"/>
  <c r="F431" i="75"/>
  <c r="H431" i="75" s="1"/>
  <c r="F430" i="75"/>
  <c r="H430" i="75" s="1"/>
  <c r="F429" i="75"/>
  <c r="H429" i="75" s="1"/>
  <c r="G429" i="75" s="1"/>
  <c r="F428" i="75"/>
  <c r="F427" i="75"/>
  <c r="H427" i="75" s="1"/>
  <c r="F424" i="75"/>
  <c r="F422" i="75"/>
  <c r="H422" i="75" s="1"/>
  <c r="F421" i="75"/>
  <c r="F419" i="75"/>
  <c r="F418" i="75"/>
  <c r="G418" i="75" s="1"/>
  <c r="F416" i="75"/>
  <c r="F415" i="75"/>
  <c r="H415" i="75" s="1"/>
  <c r="F413" i="75"/>
  <c r="H413" i="75" s="1"/>
  <c r="G413" i="75" s="1"/>
  <c r="F412" i="75"/>
  <c r="G412" i="75" s="1"/>
  <c r="F411" i="75"/>
  <c r="H411" i="75" s="1"/>
  <c r="F410" i="75"/>
  <c r="F409" i="75"/>
  <c r="F405" i="75"/>
  <c r="G405" i="75" s="1"/>
  <c r="F404" i="75"/>
  <c r="H404" i="75" s="1"/>
  <c r="F403" i="75"/>
  <c r="H403" i="75" s="1"/>
  <c r="F402" i="75"/>
  <c r="F400" i="75"/>
  <c r="H400" i="75" s="1"/>
  <c r="F399" i="75"/>
  <c r="F397" i="75"/>
  <c r="H397" i="75" s="1"/>
  <c r="F396" i="75"/>
  <c r="H396" i="75" s="1"/>
  <c r="F394" i="75"/>
  <c r="F393" i="75"/>
  <c r="H393" i="75" s="1"/>
  <c r="F392" i="75"/>
  <c r="H392" i="75" s="1"/>
  <c r="F390" i="75"/>
  <c r="F389" i="75"/>
  <c r="H389" i="75" s="1"/>
  <c r="F388" i="75"/>
  <c r="H388" i="75" s="1"/>
  <c r="F385" i="75"/>
  <c r="H385" i="75" s="1"/>
  <c r="F384" i="75"/>
  <c r="H384" i="75" s="1"/>
  <c r="F383" i="75"/>
  <c r="H383" i="75" s="1"/>
  <c r="F381" i="75"/>
  <c r="H381" i="75" s="1"/>
  <c r="F380" i="75"/>
  <c r="F379" i="75"/>
  <c r="H379" i="75" s="1"/>
  <c r="G379" i="75" s="1"/>
  <c r="F377" i="75"/>
  <c r="H377" i="75" s="1"/>
  <c r="F375" i="75"/>
  <c r="H375" i="75" s="1"/>
  <c r="F373" i="75"/>
  <c r="H373" i="75" s="1"/>
  <c r="F372" i="75"/>
  <c r="H372" i="75" s="1"/>
  <c r="F371" i="75"/>
  <c r="H371" i="75" s="1"/>
  <c r="G371" i="75" s="1"/>
  <c r="F368" i="75"/>
  <c r="H368" i="75" s="1"/>
  <c r="F367" i="75"/>
  <c r="F366" i="75"/>
  <c r="F365" i="75"/>
  <c r="H365" i="75" s="1"/>
  <c r="F364" i="75"/>
  <c r="F363" i="75"/>
  <c r="H363" i="75" s="1"/>
  <c r="F362" i="75"/>
  <c r="F361" i="75"/>
  <c r="H361" i="75" s="1"/>
  <c r="F360" i="75"/>
  <c r="H360" i="75" s="1"/>
  <c r="F357" i="75"/>
  <c r="H357" i="75" s="1"/>
  <c r="H356" i="75"/>
  <c r="F355" i="75"/>
  <c r="H355" i="75" s="1"/>
  <c r="F354" i="75"/>
  <c r="F352" i="75"/>
  <c r="F351" i="75"/>
  <c r="G351" i="75" s="1"/>
  <c r="F349" i="75"/>
  <c r="F348" i="75"/>
  <c r="H348" i="75" s="1"/>
  <c r="F346" i="75"/>
  <c r="H346" i="75" s="1"/>
  <c r="F345" i="75"/>
  <c r="F344" i="75"/>
  <c r="H344" i="75" s="1"/>
  <c r="F343" i="75"/>
  <c r="F342" i="75"/>
  <c r="H342" i="75" s="1"/>
  <c r="G342" i="75" s="1"/>
  <c r="F338" i="75"/>
  <c r="G338" i="75" s="1"/>
  <c r="F337" i="75"/>
  <c r="H337" i="75" s="1"/>
  <c r="F336" i="75"/>
  <c r="H336" i="75" s="1"/>
  <c r="F334" i="75"/>
  <c r="F333" i="75"/>
  <c r="H333" i="75" s="1"/>
  <c r="F331" i="75"/>
  <c r="G331" i="75" s="1"/>
  <c r="F330" i="75"/>
  <c r="H330" i="75" s="1"/>
  <c r="H329" i="75" s="1"/>
  <c r="F328" i="75"/>
  <c r="H328" i="75" s="1"/>
  <c r="G328" i="75" s="1"/>
  <c r="F327" i="75"/>
  <c r="F324" i="75"/>
  <c r="H324" i="75" s="1"/>
  <c r="F323" i="75"/>
  <c r="F322" i="75"/>
  <c r="F319" i="75"/>
  <c r="F318" i="75"/>
  <c r="F317" i="75"/>
  <c r="H317" i="75" s="1"/>
  <c r="F315" i="75"/>
  <c r="H315" i="75" s="1"/>
  <c r="G315" i="75" s="1"/>
  <c r="F314" i="75"/>
  <c r="F313" i="75"/>
  <c r="H313" i="75" s="1"/>
  <c r="F311" i="75"/>
  <c r="H311" i="75" s="1"/>
  <c r="G311" i="75" s="1"/>
  <c r="F309" i="75"/>
  <c r="H309" i="75" s="1"/>
  <c r="F307" i="75"/>
  <c r="H307" i="75" s="1"/>
  <c r="F306" i="75"/>
  <c r="F305" i="75"/>
  <c r="H305" i="75" s="1"/>
  <c r="F302" i="75"/>
  <c r="F301" i="75"/>
  <c r="F300" i="75"/>
  <c r="F299" i="75"/>
  <c r="H299" i="75" s="1"/>
  <c r="G299" i="75" s="1"/>
  <c r="F298" i="75"/>
  <c r="F297" i="75"/>
  <c r="F296" i="75"/>
  <c r="F295" i="75"/>
  <c r="H295" i="75" s="1"/>
  <c r="G295" i="75" s="1"/>
  <c r="F294" i="75"/>
  <c r="F291" i="75"/>
  <c r="F289" i="75"/>
  <c r="H289" i="75" s="1"/>
  <c r="F288" i="75"/>
  <c r="F286" i="75"/>
  <c r="F285" i="75"/>
  <c r="G285" i="75" s="1"/>
  <c r="F283" i="75"/>
  <c r="F282" i="75"/>
  <c r="F280" i="75"/>
  <c r="H280" i="75" s="1"/>
  <c r="F279" i="75"/>
  <c r="G279" i="75" s="1"/>
  <c r="F278" i="75"/>
  <c r="G278" i="75" s="1"/>
  <c r="F277" i="75"/>
  <c r="H277" i="75" s="1"/>
  <c r="F276" i="75"/>
  <c r="F272" i="75"/>
  <c r="F271" i="75"/>
  <c r="H271" i="75" s="1"/>
  <c r="G271" i="75" s="1"/>
  <c r="F270" i="75"/>
  <c r="H270" i="75" s="1"/>
  <c r="G270" i="75" s="1"/>
  <c r="F269" i="75"/>
  <c r="F267" i="75"/>
  <c r="H267" i="75" s="1"/>
  <c r="G267" i="75" s="1"/>
  <c r="F266" i="75"/>
  <c r="F264" i="75"/>
  <c r="F263" i="75"/>
  <c r="H263" i="75" s="1"/>
  <c r="G263" i="75" s="1"/>
  <c r="F261" i="75"/>
  <c r="H261" i="75" s="1"/>
  <c r="F260" i="75"/>
  <c r="F257" i="75"/>
  <c r="H257" i="75" s="1"/>
  <c r="G257" i="75" s="1"/>
  <c r="F256" i="75"/>
  <c r="H256" i="75" s="1"/>
  <c r="F255" i="75"/>
  <c r="F252" i="75"/>
  <c r="F251" i="75"/>
  <c r="F250" i="75"/>
  <c r="H250" i="75" s="1"/>
  <c r="G250" i="75" s="1"/>
  <c r="F248" i="75"/>
  <c r="H248" i="75" s="1"/>
  <c r="F247" i="75"/>
  <c r="F246" i="75"/>
  <c r="F244" i="75"/>
  <c r="H244" i="75" s="1"/>
  <c r="F242" i="75"/>
  <c r="H242" i="75" s="1"/>
  <c r="F240" i="75"/>
  <c r="H240" i="75" s="1"/>
  <c r="F239" i="75"/>
  <c r="F238" i="75"/>
  <c r="H238" i="75" s="1"/>
  <c r="F235" i="75"/>
  <c r="F234" i="75"/>
  <c r="F233" i="75"/>
  <c r="H233" i="75" s="1"/>
  <c r="F232" i="75"/>
  <c r="H232" i="75" s="1"/>
  <c r="F231" i="75"/>
  <c r="G231" i="75" s="1"/>
  <c r="F230" i="75"/>
  <c r="H230" i="75" s="1"/>
  <c r="F229" i="75"/>
  <c r="H229" i="75" s="1"/>
  <c r="G229" i="75" s="1"/>
  <c r="F228" i="75"/>
  <c r="F227" i="75"/>
  <c r="F224" i="75"/>
  <c r="G224" i="75" s="1"/>
  <c r="F222" i="75"/>
  <c r="H222" i="75" s="1"/>
  <c r="G222" i="75" s="1"/>
  <c r="F221" i="75"/>
  <c r="F219" i="75"/>
  <c r="G219" i="75" s="1"/>
  <c r="F218" i="75"/>
  <c r="H218" i="75" s="1"/>
  <c r="F216" i="75"/>
  <c r="F215" i="75"/>
  <c r="H215" i="75" s="1"/>
  <c r="F213" i="75"/>
  <c r="H213" i="75" s="1"/>
  <c r="F212" i="75"/>
  <c r="G212" i="75" s="1"/>
  <c r="F211" i="75"/>
  <c r="F210" i="75"/>
  <c r="F209" i="75"/>
  <c r="H209" i="75" s="1"/>
  <c r="G209" i="75" s="1"/>
  <c r="F208" i="75"/>
  <c r="F204" i="75"/>
  <c r="H204" i="75" s="1"/>
  <c r="G204" i="75" s="1"/>
  <c r="F203" i="75"/>
  <c r="H203" i="75" s="1"/>
  <c r="F202" i="75"/>
  <c r="H202" i="75" s="1"/>
  <c r="G202" i="75" s="1"/>
  <c r="F201" i="75"/>
  <c r="F199" i="75"/>
  <c r="H199" i="75" s="1"/>
  <c r="F198" i="75"/>
  <c r="F196" i="75"/>
  <c r="G196" i="75" s="1"/>
  <c r="F195" i="75"/>
  <c r="H195" i="75" s="1"/>
  <c r="H194" i="75" s="1"/>
  <c r="F193" i="75"/>
  <c r="H193" i="75" s="1"/>
  <c r="G193" i="75" s="1"/>
  <c r="F192" i="75"/>
  <c r="H192" i="75" s="1"/>
  <c r="F191" i="75"/>
  <c r="F189" i="75"/>
  <c r="H189" i="75" s="1"/>
  <c r="G189" i="75" s="1"/>
  <c r="F188" i="75"/>
  <c r="H188" i="75" s="1"/>
  <c r="F187" i="75"/>
  <c r="F184" i="75"/>
  <c r="H184" i="75" s="1"/>
  <c r="F183" i="75"/>
  <c r="H183" i="75" s="1"/>
  <c r="G183" i="75" s="1"/>
  <c r="F182" i="75"/>
  <c r="F180" i="75"/>
  <c r="H180" i="75" s="1"/>
  <c r="F179" i="75"/>
  <c r="F178" i="75"/>
  <c r="F176" i="75"/>
  <c r="H176" i="75" s="1"/>
  <c r="F174" i="75"/>
  <c r="F172" i="75"/>
  <c r="H172" i="75" s="1"/>
  <c r="F171" i="75"/>
  <c r="H171" i="75" s="1"/>
  <c r="F170" i="75"/>
  <c r="F167" i="75"/>
  <c r="H167" i="75" s="1"/>
  <c r="F166" i="75"/>
  <c r="F165" i="75"/>
  <c r="H165" i="75" s="1"/>
  <c r="G165" i="75" s="1"/>
  <c r="F164" i="75"/>
  <c r="H164" i="75" s="1"/>
  <c r="F162" i="75"/>
  <c r="F161" i="75"/>
  <c r="H161" i="75" s="1"/>
  <c r="G161" i="75" s="1"/>
  <c r="F160" i="75"/>
  <c r="H160" i="75" s="1"/>
  <c r="F159" i="75"/>
  <c r="E156" i="75"/>
  <c r="F156" i="75" s="1"/>
  <c r="G156" i="75" s="1"/>
  <c r="F154" i="75"/>
  <c r="H154" i="75" s="1"/>
  <c r="F153" i="75"/>
  <c r="F151" i="75"/>
  <c r="F150" i="75"/>
  <c r="H150" i="75" s="1"/>
  <c r="F148" i="75"/>
  <c r="H148" i="75" s="1"/>
  <c r="G148" i="75" s="1"/>
  <c r="F147" i="75"/>
  <c r="H147" i="75" s="1"/>
  <c r="F145" i="75"/>
  <c r="G145" i="75" s="1"/>
  <c r="D144" i="75"/>
  <c r="F144" i="75" s="1"/>
  <c r="G144" i="75" s="1"/>
  <c r="F143" i="75"/>
  <c r="F142" i="75"/>
  <c r="F141" i="75"/>
  <c r="H141" i="75" s="1"/>
  <c r="G141" i="75" s="1"/>
  <c r="E136" i="75"/>
  <c r="E135" i="75"/>
  <c r="F135" i="75" s="1"/>
  <c r="G135" i="75" s="1"/>
  <c r="E134" i="75"/>
  <c r="E132" i="75"/>
  <c r="D132" i="75"/>
  <c r="E131" i="75"/>
  <c r="D131" i="75"/>
  <c r="E130" i="75"/>
  <c r="F130" i="75" s="1"/>
  <c r="G130" i="75" s="1"/>
  <c r="E129" i="75"/>
  <c r="D129" i="75"/>
  <c r="E128" i="75"/>
  <c r="F128" i="75" s="1"/>
  <c r="E127" i="75"/>
  <c r="F127" i="75" s="1"/>
  <c r="F118" i="75"/>
  <c r="G118" i="75" s="1"/>
  <c r="H118" i="75" s="1"/>
  <c r="E117" i="75"/>
  <c r="E116" i="75"/>
  <c r="E115" i="75"/>
  <c r="F114" i="75"/>
  <c r="F113" i="75"/>
  <c r="F111" i="75"/>
  <c r="G111" i="75" s="1"/>
  <c r="F110" i="75"/>
  <c r="F109" i="75" s="1"/>
  <c r="F108" i="75"/>
  <c r="F107" i="75"/>
  <c r="F106" i="75"/>
  <c r="F104" i="75"/>
  <c r="F103" i="75"/>
  <c r="F102" i="75"/>
  <c r="F100" i="75"/>
  <c r="F99" i="75"/>
  <c r="F98" i="75"/>
  <c r="D97" i="75"/>
  <c r="F97" i="75" s="1"/>
  <c r="F96" i="75"/>
  <c r="F95" i="75"/>
  <c r="F92" i="75"/>
  <c r="F91" i="75"/>
  <c r="D90" i="75"/>
  <c r="F90" i="75" s="1"/>
  <c r="D89" i="75"/>
  <c r="F89" i="75" s="1"/>
  <c r="F87" i="75"/>
  <c r="E84" i="75"/>
  <c r="F84" i="75" s="1"/>
  <c r="E83" i="75"/>
  <c r="F83" i="75" s="1"/>
  <c r="E82" i="75"/>
  <c r="F82" i="75" s="1"/>
  <c r="E80" i="75"/>
  <c r="F80" i="75" s="1"/>
  <c r="E79" i="75"/>
  <c r="F79" i="75" s="1"/>
  <c r="E78" i="75"/>
  <c r="F78" i="75" s="1"/>
  <c r="E76" i="75"/>
  <c r="D76" i="75"/>
  <c r="E75" i="75"/>
  <c r="D75" i="75"/>
  <c r="E74" i="75"/>
  <c r="E73" i="75"/>
  <c r="E72" i="75"/>
  <c r="D72" i="75"/>
  <c r="D74" i="75" s="1"/>
  <c r="E71" i="75"/>
  <c r="F71" i="75" s="1"/>
  <c r="F64" i="75"/>
  <c r="F62" i="75" s="1"/>
  <c r="F61" i="75"/>
  <c r="H61" i="75" s="1"/>
  <c r="F60" i="75"/>
  <c r="H60" i="75" s="1"/>
  <c r="F58" i="75"/>
  <c r="H58" i="75" s="1"/>
  <c r="G58" i="75" s="1"/>
  <c r="F57" i="75"/>
  <c r="H57" i="75" s="1"/>
  <c r="F55" i="75"/>
  <c r="H55" i="75" s="1"/>
  <c r="F54" i="75"/>
  <c r="H54" i="75" s="1"/>
  <c r="G54" i="75" s="1"/>
  <c r="F52" i="75"/>
  <c r="H52" i="75" s="1"/>
  <c r="F51" i="75"/>
  <c r="H51" i="75" s="1"/>
  <c r="F50" i="75"/>
  <c r="H50" i="75" s="1"/>
  <c r="G50" i="75" s="1"/>
  <c r="F49" i="75"/>
  <c r="H49" i="75" s="1"/>
  <c r="G49" i="75" s="1"/>
  <c r="F48" i="75"/>
  <c r="H48" i="75" s="1"/>
  <c r="F45" i="75"/>
  <c r="H45" i="75" s="1"/>
  <c r="G45" i="75" s="1"/>
  <c r="F44" i="75"/>
  <c r="H44" i="75" s="1"/>
  <c r="F43" i="75"/>
  <c r="H43" i="75" s="1"/>
  <c r="F41" i="75"/>
  <c r="H41" i="75" s="1"/>
  <c r="F40" i="75"/>
  <c r="H40" i="75" s="1"/>
  <c r="F38" i="75"/>
  <c r="H38" i="75" s="1"/>
  <c r="G38" i="75" s="1"/>
  <c r="F37" i="75"/>
  <c r="F36" i="75"/>
  <c r="H36" i="75" s="1"/>
  <c r="F34" i="75"/>
  <c r="H34" i="75" s="1"/>
  <c r="G34" i="75" s="1"/>
  <c r="F33" i="75"/>
  <c r="H33" i="75" s="1"/>
  <c r="E32" i="75"/>
  <c r="F32" i="75" s="1"/>
  <c r="H32" i="75" s="1"/>
  <c r="F29" i="75"/>
  <c r="H29" i="75" s="1"/>
  <c r="G29" i="75" s="1"/>
  <c r="G28" i="75" s="1"/>
  <c r="F27" i="75"/>
  <c r="H27" i="75" s="1"/>
  <c r="F26" i="75"/>
  <c r="H26" i="75" s="1"/>
  <c r="F24" i="75"/>
  <c r="F23" i="75"/>
  <c r="H23" i="75" s="1"/>
  <c r="E22" i="75"/>
  <c r="F22" i="75" s="1"/>
  <c r="F21" i="75"/>
  <c r="H21" i="75" s="1"/>
  <c r="F19" i="75"/>
  <c r="H19" i="75" s="1"/>
  <c r="G19" i="75" s="1"/>
  <c r="F18" i="75"/>
  <c r="H18" i="75" s="1"/>
  <c r="F17" i="75"/>
  <c r="H17" i="75" s="1"/>
  <c r="F15" i="75"/>
  <c r="H15" i="75" s="1"/>
  <c r="F13" i="75"/>
  <c r="H13" i="75" s="1"/>
  <c r="F12" i="75"/>
  <c r="H12" i="75" s="1"/>
  <c r="G12" i="75" s="1"/>
  <c r="H26" i="68"/>
  <c r="H11" i="68"/>
  <c r="J46" i="68"/>
  <c r="J44" i="68"/>
  <c r="J42" i="68"/>
  <c r="J40" i="68"/>
  <c r="J38" i="68"/>
  <c r="J36" i="68"/>
  <c r="J34" i="68"/>
  <c r="J32" i="68"/>
  <c r="H46" i="68"/>
  <c r="H44" i="68"/>
  <c r="H42" i="68"/>
  <c r="H40" i="68"/>
  <c r="H38" i="68"/>
  <c r="H36" i="68"/>
  <c r="H34" i="68"/>
  <c r="H33" i="68"/>
  <c r="H32" i="68" s="1"/>
  <c r="F47" i="68"/>
  <c r="F46" i="68" s="1"/>
  <c r="F45" i="68"/>
  <c r="F44" i="68" s="1"/>
  <c r="F43" i="68"/>
  <c r="F42" i="68" s="1"/>
  <c r="F41" i="68"/>
  <c r="F40" i="68" s="1"/>
  <c r="F39" i="68"/>
  <c r="F38" i="68" s="1"/>
  <c r="F37" i="68"/>
  <c r="F36" i="68" s="1"/>
  <c r="F35" i="68"/>
  <c r="F34" i="68" s="1"/>
  <c r="F30" i="68"/>
  <c r="F29" i="68" s="1"/>
  <c r="F28" i="68"/>
  <c r="F27" i="68" s="1"/>
  <c r="F25" i="68"/>
  <c r="J25" i="68" s="1"/>
  <c r="F24" i="68"/>
  <c r="J24" i="68" s="1"/>
  <c r="F23" i="68"/>
  <c r="J23" i="68" s="1"/>
  <c r="F22" i="68"/>
  <c r="J22" i="68" s="1"/>
  <c r="F20" i="68"/>
  <c r="J20" i="68" s="1"/>
  <c r="F19" i="68"/>
  <c r="J19" i="68" s="1"/>
  <c r="F18" i="68"/>
  <c r="J18" i="68" s="1"/>
  <c r="F16" i="68"/>
  <c r="F15" i="68" s="1"/>
  <c r="F14" i="68"/>
  <c r="J14" i="68" s="1"/>
  <c r="F13" i="68"/>
  <c r="C270" i="49"/>
  <c r="C269" i="49"/>
  <c r="F268" i="49"/>
  <c r="F267" i="49" s="1"/>
  <c r="E268" i="49"/>
  <c r="E267" i="49" s="1"/>
  <c r="D268" i="49"/>
  <c r="D267" i="49" s="1"/>
  <c r="C266" i="49"/>
  <c r="C265" i="49"/>
  <c r="C264" i="49"/>
  <c r="C263" i="49"/>
  <c r="C262" i="49"/>
  <c r="C261" i="49"/>
  <c r="C260" i="49"/>
  <c r="C259" i="49"/>
  <c r="C258" i="49"/>
  <c r="C257" i="49"/>
  <c r="C256" i="49"/>
  <c r="C255" i="49"/>
  <c r="C254" i="49"/>
  <c r="C253" i="49"/>
  <c r="C252" i="49"/>
  <c r="C251" i="49"/>
  <c r="C250" i="49"/>
  <c r="C249" i="49"/>
  <c r="C248" i="49"/>
  <c r="C247" i="49"/>
  <c r="C246" i="49"/>
  <c r="F245" i="49"/>
  <c r="E245" i="49"/>
  <c r="D245" i="49"/>
  <c r="C244" i="49"/>
  <c r="C243" i="49"/>
  <c r="C242" i="49"/>
  <c r="C241" i="49"/>
  <c r="F240" i="49"/>
  <c r="E240" i="49"/>
  <c r="D240" i="49"/>
  <c r="C238" i="49"/>
  <c r="C237" i="49" s="1"/>
  <c r="F237" i="49"/>
  <c r="E237" i="49"/>
  <c r="D237" i="49"/>
  <c r="C236" i="49"/>
  <c r="F235" i="49"/>
  <c r="E235" i="49"/>
  <c r="D235" i="49"/>
  <c r="C235" i="49"/>
  <c r="C234" i="49"/>
  <c r="C233" i="49" s="1"/>
  <c r="F233" i="49"/>
  <c r="E233" i="49"/>
  <c r="D233" i="49"/>
  <c r="C232" i="49"/>
  <c r="C231" i="49" s="1"/>
  <c r="F231" i="49"/>
  <c r="E231" i="49"/>
  <c r="D231" i="49"/>
  <c r="C230" i="49"/>
  <c r="C229" i="49" s="1"/>
  <c r="F229" i="49"/>
  <c r="E229" i="49"/>
  <c r="D229" i="49"/>
  <c r="C228" i="49"/>
  <c r="C227" i="49" s="1"/>
  <c r="F227" i="49"/>
  <c r="E227" i="49"/>
  <c r="D227" i="49"/>
  <c r="C226" i="49"/>
  <c r="C225" i="49" s="1"/>
  <c r="F225" i="49"/>
  <c r="E225" i="49"/>
  <c r="D225" i="49"/>
  <c r="F221" i="49"/>
  <c r="C221" i="49" s="1"/>
  <c r="F220" i="49"/>
  <c r="C220" i="49" s="1"/>
  <c r="F219" i="49"/>
  <c r="C219" i="49" s="1"/>
  <c r="F218" i="49"/>
  <c r="C218" i="49" s="1"/>
  <c r="E217" i="49"/>
  <c r="D217" i="49"/>
  <c r="D216" i="49" s="1"/>
  <c r="C215" i="49"/>
  <c r="C214" i="49"/>
  <c r="C213" i="49"/>
  <c r="C212" i="49"/>
  <c r="F211" i="49"/>
  <c r="C210" i="49"/>
  <c r="C209" i="49"/>
  <c r="C208" i="49"/>
  <c r="C207" i="49"/>
  <c r="F206" i="49"/>
  <c r="C205" i="49"/>
  <c r="C204" i="49"/>
  <c r="C203" i="49"/>
  <c r="C202" i="49"/>
  <c r="F201" i="49"/>
  <c r="C200" i="49"/>
  <c r="C199" i="49"/>
  <c r="C198" i="49"/>
  <c r="C197" i="49"/>
  <c r="F196" i="49"/>
  <c r="C195" i="49"/>
  <c r="C194" i="49"/>
  <c r="C193" i="49"/>
  <c r="C192" i="49"/>
  <c r="F191" i="49"/>
  <c r="C190" i="49"/>
  <c r="C189" i="49"/>
  <c r="C188" i="49"/>
  <c r="C187" i="49"/>
  <c r="F186" i="49"/>
  <c r="C185" i="49"/>
  <c r="C184" i="49"/>
  <c r="C183" i="49"/>
  <c r="C182" i="49"/>
  <c r="F181" i="49"/>
  <c r="C180" i="49"/>
  <c r="C179" i="49"/>
  <c r="C178" i="49"/>
  <c r="C177" i="49"/>
  <c r="F176" i="49"/>
  <c r="F171" i="49"/>
  <c r="C171" i="49"/>
  <c r="F166" i="49"/>
  <c r="C166" i="49"/>
  <c r="F161" i="49"/>
  <c r="C161" i="49"/>
  <c r="F156" i="49"/>
  <c r="C156" i="49"/>
  <c r="F151" i="49"/>
  <c r="C151" i="49"/>
  <c r="C149" i="49"/>
  <c r="C148" i="49"/>
  <c r="F147" i="49"/>
  <c r="E147" i="49"/>
  <c r="D147" i="49"/>
  <c r="D146" i="49" s="1"/>
  <c r="C145" i="49"/>
  <c r="C144" i="49"/>
  <c r="F143" i="49"/>
  <c r="E143" i="49"/>
  <c r="D143" i="49"/>
  <c r="C142" i="49"/>
  <c r="F141" i="49"/>
  <c r="E141" i="49"/>
  <c r="D141" i="49"/>
  <c r="C141" i="49"/>
  <c r="C140" i="49"/>
  <c r="C139" i="49" s="1"/>
  <c r="F139" i="49"/>
  <c r="E139" i="49"/>
  <c r="D139" i="49"/>
  <c r="C138" i="49"/>
  <c r="C137" i="49"/>
  <c r="F136" i="49"/>
  <c r="E136" i="49"/>
  <c r="D136" i="49"/>
  <c r="C135" i="49"/>
  <c r="C134" i="49"/>
  <c r="F133" i="49"/>
  <c r="E133" i="49"/>
  <c r="D133" i="49"/>
  <c r="C132" i="49"/>
  <c r="C131" i="49" s="1"/>
  <c r="F131" i="49"/>
  <c r="E131" i="49"/>
  <c r="D131" i="49"/>
  <c r="C130" i="49"/>
  <c r="C129" i="49" s="1"/>
  <c r="F129" i="49"/>
  <c r="E129" i="49"/>
  <c r="D129" i="49"/>
  <c r="C128" i="49"/>
  <c r="C127" i="49"/>
  <c r="F126" i="49"/>
  <c r="E126" i="49"/>
  <c r="D126" i="49"/>
  <c r="C125" i="49"/>
  <c r="C124" i="49" s="1"/>
  <c r="F124" i="49"/>
  <c r="E124" i="49"/>
  <c r="D124" i="49"/>
  <c r="C123" i="49"/>
  <c r="C122" i="49"/>
  <c r="F121" i="49"/>
  <c r="E121" i="49"/>
  <c r="D121" i="49"/>
  <c r="C120" i="49"/>
  <c r="C119" i="49"/>
  <c r="F118" i="49"/>
  <c r="E118" i="49"/>
  <c r="D118" i="49"/>
  <c r="C117" i="49"/>
  <c r="C116" i="49"/>
  <c r="F115" i="49"/>
  <c r="E115" i="49"/>
  <c r="D115" i="49"/>
  <c r="C114" i="49"/>
  <c r="C113" i="49"/>
  <c r="F112" i="49"/>
  <c r="E112" i="49"/>
  <c r="D112" i="49"/>
  <c r="C111" i="49"/>
  <c r="C110" i="49"/>
  <c r="F109" i="49"/>
  <c r="E109" i="49"/>
  <c r="D109" i="49"/>
  <c r="C108" i="49"/>
  <c r="C107" i="49"/>
  <c r="F106" i="49"/>
  <c r="E106" i="49"/>
  <c r="D106" i="49"/>
  <c r="C104" i="49"/>
  <c r="C103" i="49"/>
  <c r="C102" i="49"/>
  <c r="C101" i="49"/>
  <c r="C100" i="49"/>
  <c r="C99" i="49"/>
  <c r="C98" i="49"/>
  <c r="F97" i="49"/>
  <c r="E97" i="49"/>
  <c r="D97" i="49"/>
  <c r="C95" i="49"/>
  <c r="C94" i="49"/>
  <c r="F93" i="49"/>
  <c r="E93" i="49"/>
  <c r="D93" i="49"/>
  <c r="C92" i="49"/>
  <c r="C91" i="49"/>
  <c r="F90" i="49"/>
  <c r="E90" i="49"/>
  <c r="D90" i="49"/>
  <c r="C89" i="49"/>
  <c r="C88" i="49" s="1"/>
  <c r="F88" i="49"/>
  <c r="E88" i="49"/>
  <c r="D88" i="49"/>
  <c r="C87" i="49"/>
  <c r="C86" i="49" s="1"/>
  <c r="F86" i="49"/>
  <c r="E86" i="49"/>
  <c r="D86" i="49"/>
  <c r="C85" i="49"/>
  <c r="C84" i="49"/>
  <c r="F83" i="49"/>
  <c r="D83" i="49"/>
  <c r="C82" i="49"/>
  <c r="C81" i="49"/>
  <c r="F80" i="49"/>
  <c r="D80" i="49"/>
  <c r="C79" i="49"/>
  <c r="C78" i="49"/>
  <c r="F77" i="49"/>
  <c r="E77" i="49"/>
  <c r="D77" i="49"/>
  <c r="C76" i="49"/>
  <c r="C75" i="49"/>
  <c r="F74" i="49"/>
  <c r="E74" i="49"/>
  <c r="D74" i="49"/>
  <c r="C72" i="49"/>
  <c r="C71" i="49"/>
  <c r="F70" i="49"/>
  <c r="E70" i="49"/>
  <c r="D70" i="49"/>
  <c r="C68" i="49"/>
  <c r="C67" i="49"/>
  <c r="C66" i="49"/>
  <c r="F65" i="49"/>
  <c r="E65" i="49"/>
  <c r="D65" i="49"/>
  <c r="C64" i="49"/>
  <c r="C63" i="49" s="1"/>
  <c r="F63" i="49"/>
  <c r="E63" i="49"/>
  <c r="D63" i="49"/>
  <c r="C62" i="49"/>
  <c r="C61" i="49" s="1"/>
  <c r="F61" i="49"/>
  <c r="E61" i="49"/>
  <c r="D61" i="49"/>
  <c r="C60" i="49"/>
  <c r="C59" i="49"/>
  <c r="C58" i="49"/>
  <c r="F57" i="49"/>
  <c r="E57" i="49"/>
  <c r="D57" i="49"/>
  <c r="C56" i="49"/>
  <c r="C55" i="49"/>
  <c r="C54" i="49"/>
  <c r="F53" i="49"/>
  <c r="E53" i="49"/>
  <c r="D53" i="49"/>
  <c r="C52" i="49"/>
  <c r="C51" i="49"/>
  <c r="F50" i="49"/>
  <c r="E50" i="49"/>
  <c r="D50" i="49"/>
  <c r="C49" i="49"/>
  <c r="C48" i="49"/>
  <c r="C47" i="49"/>
  <c r="F46" i="49"/>
  <c r="E46" i="49"/>
  <c r="D46" i="49"/>
  <c r="C45" i="49"/>
  <c r="C44" i="49"/>
  <c r="C43" i="49" s="1"/>
  <c r="F43" i="49"/>
  <c r="E43" i="49"/>
  <c r="D43" i="49"/>
  <c r="C42" i="49"/>
  <c r="C40" i="49" s="1"/>
  <c r="C41" i="49"/>
  <c r="F40" i="49"/>
  <c r="E40" i="49"/>
  <c r="D40" i="49"/>
  <c r="C39" i="49"/>
  <c r="C38" i="49"/>
  <c r="F37" i="49"/>
  <c r="E37" i="49"/>
  <c r="D37" i="49"/>
  <c r="C36" i="49"/>
  <c r="C35" i="49"/>
  <c r="F34" i="49"/>
  <c r="E34" i="49"/>
  <c r="D34" i="49"/>
  <c r="C33" i="49"/>
  <c r="C32" i="49" s="1"/>
  <c r="F32" i="49"/>
  <c r="E32" i="49"/>
  <c r="D32" i="49"/>
  <c r="C31" i="49"/>
  <c r="C30" i="49"/>
  <c r="C29" i="49"/>
  <c r="F28" i="49"/>
  <c r="E28" i="49"/>
  <c r="D28" i="49"/>
  <c r="C27" i="49"/>
  <c r="C26" i="49"/>
  <c r="C25" i="49"/>
  <c r="F24" i="49"/>
  <c r="E24" i="49"/>
  <c r="D24" i="49"/>
  <c r="C22" i="49"/>
  <c r="C21" i="49"/>
  <c r="C20" i="49"/>
  <c r="F19" i="49"/>
  <c r="E19" i="49"/>
  <c r="D19" i="49"/>
  <c r="F53" i="6"/>
  <c r="F52" i="6"/>
  <c r="D52" i="6"/>
  <c r="F51" i="6"/>
  <c r="H165" i="13"/>
  <c r="H139" i="13"/>
  <c r="K139" i="13" s="1"/>
  <c r="H171" i="13"/>
  <c r="C147" i="49" l="1"/>
  <c r="F441" i="75"/>
  <c r="H442" i="75"/>
  <c r="G442" i="75" s="1"/>
  <c r="F74" i="75"/>
  <c r="C118" i="49"/>
  <c r="C106" i="49"/>
  <c r="C268" i="49"/>
  <c r="C267" i="49" s="1"/>
  <c r="F12" i="68"/>
  <c r="F666" i="75"/>
  <c r="C211" i="49"/>
  <c r="J31" i="68"/>
  <c r="C37" i="49"/>
  <c r="F105" i="49"/>
  <c r="F96" i="49" s="1"/>
  <c r="F76" i="75"/>
  <c r="F129" i="75"/>
  <c r="G129" i="75" s="1"/>
  <c r="F132" i="75"/>
  <c r="G132" i="75" s="1"/>
  <c r="G154" i="75"/>
  <c r="G167" i="75"/>
  <c r="J165" i="13"/>
  <c r="K165" i="13"/>
  <c r="G171" i="13"/>
  <c r="K171" i="13"/>
  <c r="J171" i="13"/>
  <c r="K33" i="13"/>
  <c r="G174" i="13"/>
  <c r="K174" i="13"/>
  <c r="C46" i="49"/>
  <c r="C112" i="49"/>
  <c r="F26" i="68"/>
  <c r="J30" i="68"/>
  <c r="J29" i="68" s="1"/>
  <c r="F56" i="75"/>
  <c r="H64" i="75"/>
  <c r="F72" i="75"/>
  <c r="F75" i="75"/>
  <c r="G171" i="75"/>
  <c r="F642" i="75"/>
  <c r="H642" i="75" s="1"/>
  <c r="G642" i="75" s="1"/>
  <c r="F378" i="75"/>
  <c r="F376" i="75" s="1"/>
  <c r="C121" i="49"/>
  <c r="D239" i="49"/>
  <c r="H31" i="68"/>
  <c r="J13" i="68"/>
  <c r="J12" i="68" s="1"/>
  <c r="F190" i="75"/>
  <c r="G195" i="75"/>
  <c r="G194" i="75" s="1"/>
  <c r="G230" i="75"/>
  <c r="F370" i="75"/>
  <c r="F374" i="75"/>
  <c r="H374" i="75" s="1"/>
  <c r="G374" i="75" s="1"/>
  <c r="F621" i="75"/>
  <c r="F618" i="75" s="1"/>
  <c r="F615" i="75" s="1"/>
  <c r="G248" i="75"/>
  <c r="G280" i="75"/>
  <c r="G472" i="75"/>
  <c r="H578" i="75"/>
  <c r="G578" i="75" s="1"/>
  <c r="G614" i="75"/>
  <c r="G619" i="75"/>
  <c r="G651" i="75"/>
  <c r="H16" i="75"/>
  <c r="H31" i="75"/>
  <c r="F105" i="75"/>
  <c r="G232" i="75"/>
  <c r="F241" i="75"/>
  <c r="H241" i="75" s="1"/>
  <c r="G241" i="75" s="1"/>
  <c r="G547" i="75"/>
  <c r="H603" i="75"/>
  <c r="G603" i="75" s="1"/>
  <c r="F638" i="75"/>
  <c r="F646" i="75"/>
  <c r="F644" i="75" s="1"/>
  <c r="F28" i="75"/>
  <c r="H59" i="75"/>
  <c r="F398" i="75"/>
  <c r="G585" i="75"/>
  <c r="H590" i="75"/>
  <c r="G590" i="75" s="1"/>
  <c r="H595" i="75"/>
  <c r="H592" i="75" s="1"/>
  <c r="G610" i="75"/>
  <c r="H639" i="75"/>
  <c r="H151" i="75"/>
  <c r="G151" i="75" s="1"/>
  <c r="H179" i="75"/>
  <c r="G179" i="75" s="1"/>
  <c r="H216" i="75"/>
  <c r="G216" i="75" s="1"/>
  <c r="H234" i="75"/>
  <c r="G234" i="75" s="1"/>
  <c r="H300" i="75"/>
  <c r="G300" i="75" s="1"/>
  <c r="H319" i="75"/>
  <c r="G319" i="75" s="1"/>
  <c r="F487" i="75"/>
  <c r="F484" i="75" s="1"/>
  <c r="F481" i="75" s="1"/>
  <c r="H488" i="75"/>
  <c r="H487" i="75" s="1"/>
  <c r="G33" i="75"/>
  <c r="H37" i="75"/>
  <c r="G37" i="75" s="1"/>
  <c r="G41" i="75"/>
  <c r="F134" i="75"/>
  <c r="G134" i="75" s="1"/>
  <c r="H159" i="75"/>
  <c r="G159" i="75" s="1"/>
  <c r="H210" i="75"/>
  <c r="G210" i="75" s="1"/>
  <c r="F265" i="75"/>
  <c r="H266" i="75"/>
  <c r="G266" i="75" s="1"/>
  <c r="G265" i="75" s="1"/>
  <c r="H291" i="75"/>
  <c r="G291" i="75" s="1"/>
  <c r="G307" i="75"/>
  <c r="F542" i="75"/>
  <c r="H543" i="75"/>
  <c r="G543" i="75" s="1"/>
  <c r="H457" i="75"/>
  <c r="G457" i="75" s="1"/>
  <c r="H498" i="75"/>
  <c r="G498" i="75" s="1"/>
  <c r="G57" i="75"/>
  <c r="G56" i="75" s="1"/>
  <c r="H143" i="75"/>
  <c r="G143" i="75" s="1"/>
  <c r="F197" i="75"/>
  <c r="H198" i="75"/>
  <c r="H197" i="75" s="1"/>
  <c r="H246" i="75"/>
  <c r="G246" i="75" s="1"/>
  <c r="H323" i="75"/>
  <c r="G323" i="75" s="1"/>
  <c r="H367" i="75"/>
  <c r="G367" i="75" s="1"/>
  <c r="F382" i="75"/>
  <c r="H410" i="75"/>
  <c r="G410" i="75" s="1"/>
  <c r="H441" i="75"/>
  <c r="G441" i="75" s="1"/>
  <c r="H470" i="75"/>
  <c r="G470" i="75" s="1"/>
  <c r="H526" i="75"/>
  <c r="H525" i="75" s="1"/>
  <c r="F525" i="75"/>
  <c r="H531" i="75"/>
  <c r="G531" i="75" s="1"/>
  <c r="H24" i="75"/>
  <c r="G24" i="75" s="1"/>
  <c r="H56" i="75"/>
  <c r="F136" i="75"/>
  <c r="G136" i="75" s="1"/>
  <c r="F186" i="75"/>
  <c r="H187" i="75"/>
  <c r="H186" i="75" s="1"/>
  <c r="H354" i="75"/>
  <c r="H353" i="75" s="1"/>
  <c r="H364" i="75"/>
  <c r="G364" i="75" s="1"/>
  <c r="H438" i="75"/>
  <c r="G438" i="75" s="1"/>
  <c r="G477" i="75"/>
  <c r="H39" i="75"/>
  <c r="D73" i="75"/>
  <c r="F73" i="75" s="1"/>
  <c r="F101" i="75"/>
  <c r="H191" i="75"/>
  <c r="G191" i="75" s="1"/>
  <c r="F194" i="75"/>
  <c r="H399" i="75"/>
  <c r="G589" i="75"/>
  <c r="G594" i="75"/>
  <c r="F609" i="75"/>
  <c r="G611" i="75"/>
  <c r="H621" i="75"/>
  <c r="H618" i="75" s="1"/>
  <c r="G634" i="75"/>
  <c r="H648" i="75"/>
  <c r="G648" i="75" s="1"/>
  <c r="F663" i="75"/>
  <c r="H665" i="75"/>
  <c r="G665" i="75" s="1"/>
  <c r="H668" i="75"/>
  <c r="G668" i="75" s="1"/>
  <c r="G15" i="75"/>
  <c r="F77" i="75"/>
  <c r="F94" i="75"/>
  <c r="G150" i="75"/>
  <c r="F158" i="75"/>
  <c r="G233" i="75"/>
  <c r="G336" i="75"/>
  <c r="H343" i="75"/>
  <c r="G343" i="75" s="1"/>
  <c r="G346" i="75"/>
  <c r="G363" i="75"/>
  <c r="G375" i="75"/>
  <c r="H380" i="75"/>
  <c r="G380" i="75" s="1"/>
  <c r="G378" i="75" s="1"/>
  <c r="G383" i="75"/>
  <c r="G400" i="75"/>
  <c r="G403" i="75"/>
  <c r="H421" i="75"/>
  <c r="H420" i="75" s="1"/>
  <c r="G430" i="75"/>
  <c r="G461" i="75"/>
  <c r="G466" i="75"/>
  <c r="G469" i="75"/>
  <c r="H478" i="75"/>
  <c r="G478" i="75" s="1"/>
  <c r="H482" i="75"/>
  <c r="G482" i="75" s="1"/>
  <c r="G515" i="75"/>
  <c r="G527" i="75"/>
  <c r="F529" i="75"/>
  <c r="G546" i="75"/>
  <c r="G573" i="75"/>
  <c r="G647" i="75"/>
  <c r="G160" i="75"/>
  <c r="G180" i="75"/>
  <c r="G188" i="75"/>
  <c r="G199" i="75"/>
  <c r="G218" i="75"/>
  <c r="H227" i="75"/>
  <c r="G227" i="75" s="1"/>
  <c r="G261" i="75"/>
  <c r="H296" i="75"/>
  <c r="G296" i="75" s="1"/>
  <c r="G324" i="75"/>
  <c r="H335" i="75"/>
  <c r="G368" i="75"/>
  <c r="G388" i="75"/>
  <c r="G392" i="75"/>
  <c r="G396" i="75"/>
  <c r="G411" i="75"/>
  <c r="G489" i="75"/>
  <c r="H494" i="75"/>
  <c r="G494" i="75" s="1"/>
  <c r="G505" i="75"/>
  <c r="G509" i="75"/>
  <c r="H513" i="75"/>
  <c r="G513" i="75" s="1"/>
  <c r="G558" i="75"/>
  <c r="F588" i="75"/>
  <c r="F592" i="75"/>
  <c r="H673" i="75"/>
  <c r="G673" i="75" s="1"/>
  <c r="F81" i="75"/>
  <c r="H22" i="75"/>
  <c r="H47" i="75"/>
  <c r="H25" i="75"/>
  <c r="H174" i="75"/>
  <c r="G174" i="75" s="1"/>
  <c r="F173" i="75"/>
  <c r="H247" i="75"/>
  <c r="F245" i="75"/>
  <c r="F243" i="75" s="1"/>
  <c r="G23" i="75"/>
  <c r="G27" i="75"/>
  <c r="H28" i="75"/>
  <c r="G32" i="75"/>
  <c r="F35" i="75"/>
  <c r="G36" i="75"/>
  <c r="F39" i="75"/>
  <c r="G40" i="75"/>
  <c r="G44" i="75"/>
  <c r="F47" i="75"/>
  <c r="G48" i="75"/>
  <c r="G52" i="75"/>
  <c r="H53" i="75"/>
  <c r="F86" i="75"/>
  <c r="H111" i="75"/>
  <c r="G113" i="75"/>
  <c r="G112" i="75" s="1"/>
  <c r="H142" i="75"/>
  <c r="G142" i="75" s="1"/>
  <c r="F140" i="75"/>
  <c r="H166" i="75"/>
  <c r="G166" i="75" s="1"/>
  <c r="H211" i="75"/>
  <c r="G211" i="75" s="1"/>
  <c r="H221" i="75"/>
  <c r="H220" i="75" s="1"/>
  <c r="H217" i="75" s="1"/>
  <c r="F220" i="75"/>
  <c r="F217" i="75" s="1"/>
  <c r="F214" i="75" s="1"/>
  <c r="H260" i="75"/>
  <c r="H258" i="75" s="1"/>
  <c r="F258" i="75"/>
  <c r="H269" i="75"/>
  <c r="F268" i="75"/>
  <c r="H288" i="75"/>
  <c r="H287" i="75" s="1"/>
  <c r="H284" i="75" s="1"/>
  <c r="F287" i="75"/>
  <c r="F284" i="75" s="1"/>
  <c r="F281" i="75" s="1"/>
  <c r="H409" i="75"/>
  <c r="F408" i="75"/>
  <c r="H428" i="75"/>
  <c r="H426" i="75" s="1"/>
  <c r="H425" i="75" s="1"/>
  <c r="H464" i="75"/>
  <c r="G464" i="75" s="1"/>
  <c r="H605" i="75"/>
  <c r="G605" i="75" s="1"/>
  <c r="F602" i="75"/>
  <c r="H630" i="75"/>
  <c r="G630" i="75" s="1"/>
  <c r="F31" i="75"/>
  <c r="H394" i="75"/>
  <c r="G394" i="75" s="1"/>
  <c r="H479" i="75"/>
  <c r="G479" i="75" s="1"/>
  <c r="F475" i="75"/>
  <c r="H662" i="75"/>
  <c r="H659" i="75" s="1"/>
  <c r="H11" i="75"/>
  <c r="G18" i="75"/>
  <c r="G13" i="75"/>
  <c r="G11" i="75" s="1"/>
  <c r="F16" i="75"/>
  <c r="G17" i="75"/>
  <c r="F20" i="75"/>
  <c r="G21" i="75"/>
  <c r="F25" i="75"/>
  <c r="G26" i="75"/>
  <c r="F42" i="75"/>
  <c r="G43" i="75"/>
  <c r="G51" i="75"/>
  <c r="G55" i="75"/>
  <c r="G53" i="75" s="1"/>
  <c r="G61" i="75"/>
  <c r="F112" i="75"/>
  <c r="G128" i="75"/>
  <c r="F131" i="75"/>
  <c r="G131" i="75" s="1"/>
  <c r="G147" i="75"/>
  <c r="G164" i="75"/>
  <c r="H170" i="75"/>
  <c r="H169" i="75" s="1"/>
  <c r="F169" i="75"/>
  <c r="G172" i="75"/>
  <c r="G176" i="75"/>
  <c r="H182" i="75"/>
  <c r="G182" i="75" s="1"/>
  <c r="F181" i="75"/>
  <c r="G184" i="75"/>
  <c r="H201" i="75"/>
  <c r="H200" i="75" s="1"/>
  <c r="F200" i="75"/>
  <c r="G203" i="75"/>
  <c r="H283" i="75"/>
  <c r="G283" i="75" s="1"/>
  <c r="H294" i="75"/>
  <c r="F293" i="75"/>
  <c r="F292" i="75" s="1"/>
  <c r="H302" i="75"/>
  <c r="G302" i="75" s="1"/>
  <c r="H322" i="75"/>
  <c r="F321" i="75"/>
  <c r="H491" i="75"/>
  <c r="G491" i="75" s="1"/>
  <c r="H564" i="75"/>
  <c r="G564" i="75" s="1"/>
  <c r="H162" i="75"/>
  <c r="G162" i="75" s="1"/>
  <c r="H178" i="75"/>
  <c r="G178" i="75" s="1"/>
  <c r="F177" i="75"/>
  <c r="F175" i="75" s="1"/>
  <c r="H228" i="75"/>
  <c r="G228" i="75" s="1"/>
  <c r="H298" i="75"/>
  <c r="G298" i="75" s="1"/>
  <c r="H416" i="75"/>
  <c r="G416" i="75" s="1"/>
  <c r="F11" i="75"/>
  <c r="F53" i="75"/>
  <c r="G60" i="75"/>
  <c r="F59" i="75"/>
  <c r="G127" i="75"/>
  <c r="H153" i="75"/>
  <c r="H152" i="75" s="1"/>
  <c r="F152" i="75"/>
  <c r="F149" i="75" s="1"/>
  <c r="F146" i="75" s="1"/>
  <c r="G192" i="75"/>
  <c r="H208" i="75"/>
  <c r="F207" i="75"/>
  <c r="H252" i="75"/>
  <c r="G252" i="75" s="1"/>
  <c r="H424" i="75"/>
  <c r="G424" i="75" s="1"/>
  <c r="H239" i="75"/>
  <c r="H237" i="75" s="1"/>
  <c r="F237" i="75"/>
  <c r="H255" i="75"/>
  <c r="H254" i="75" s="1"/>
  <c r="F254" i="75"/>
  <c r="H276" i="75"/>
  <c r="H275" i="75" s="1"/>
  <c r="F275" i="75"/>
  <c r="H306" i="75"/>
  <c r="G306" i="75" s="1"/>
  <c r="H314" i="75"/>
  <c r="G314" i="75" s="1"/>
  <c r="H345" i="75"/>
  <c r="G345" i="75" s="1"/>
  <c r="H366" i="75"/>
  <c r="G366" i="75" s="1"/>
  <c r="H447" i="75"/>
  <c r="H445" i="75" s="1"/>
  <c r="F445" i="75"/>
  <c r="F443" i="75" s="1"/>
  <c r="H486" i="75"/>
  <c r="G486" i="75" s="1"/>
  <c r="H496" i="75"/>
  <c r="G496" i="75" s="1"/>
  <c r="H562" i="75"/>
  <c r="G562" i="75" s="1"/>
  <c r="G656" i="75"/>
  <c r="H235" i="75"/>
  <c r="G235" i="75" s="1"/>
  <c r="G286" i="75"/>
  <c r="G289" i="75"/>
  <c r="H327" i="75"/>
  <c r="H325" i="75" s="1"/>
  <c r="F325" i="75"/>
  <c r="F341" i="75"/>
  <c r="H352" i="75"/>
  <c r="H362" i="75"/>
  <c r="H359" i="75" s="1"/>
  <c r="H358" i="75" s="1"/>
  <c r="H370" i="75"/>
  <c r="H459" i="75"/>
  <c r="H458" i="75" s="1"/>
  <c r="F458" i="75"/>
  <c r="H506" i="75"/>
  <c r="H504" i="75" s="1"/>
  <c r="H533" i="75"/>
  <c r="G533" i="75" s="1"/>
  <c r="F532" i="75"/>
  <c r="H549" i="75"/>
  <c r="G549" i="75" s="1"/>
  <c r="G639" i="75"/>
  <c r="F163" i="75"/>
  <c r="G213" i="75"/>
  <c r="G238" i="75"/>
  <c r="G240" i="75"/>
  <c r="G242" i="75"/>
  <c r="G244" i="75"/>
  <c r="H251" i="75"/>
  <c r="G251" i="75" s="1"/>
  <c r="F249" i="75"/>
  <c r="G256" i="75"/>
  <c r="H264" i="75"/>
  <c r="H262" i="75" s="1"/>
  <c r="F262" i="75"/>
  <c r="H272" i="75"/>
  <c r="G272" i="75" s="1"/>
  <c r="G277" i="75"/>
  <c r="H282" i="75"/>
  <c r="H297" i="75"/>
  <c r="G297" i="75" s="1"/>
  <c r="H301" i="75"/>
  <c r="G301" i="75" s="1"/>
  <c r="H318" i="75"/>
  <c r="G318" i="75" s="1"/>
  <c r="H334" i="75"/>
  <c r="H332" i="75" s="1"/>
  <c r="H349" i="75"/>
  <c r="G349" i="75" s="1"/>
  <c r="G360" i="75"/>
  <c r="G372" i="75"/>
  <c r="H382" i="75"/>
  <c r="G384" i="75"/>
  <c r="H390" i="75"/>
  <c r="G390" i="75" s="1"/>
  <c r="H395" i="75"/>
  <c r="H402" i="75"/>
  <c r="H401" i="75" s="1"/>
  <c r="F401" i="75"/>
  <c r="G404" i="75"/>
  <c r="H419" i="75"/>
  <c r="H432" i="75"/>
  <c r="G432" i="75" s="1"/>
  <c r="G434" i="75"/>
  <c r="H440" i="75"/>
  <c r="G440" i="75" s="1"/>
  <c r="H452" i="75"/>
  <c r="G452" i="75" s="1"/>
  <c r="H500" i="75"/>
  <c r="G500" i="75" s="1"/>
  <c r="H511" i="75"/>
  <c r="G511" i="75" s="1"/>
  <c r="H523" i="75"/>
  <c r="G523" i="75" s="1"/>
  <c r="H569" i="75"/>
  <c r="G569" i="75" s="1"/>
  <c r="H455" i="75"/>
  <c r="H454" i="75" s="1"/>
  <c r="F454" i="75"/>
  <c r="H475" i="75"/>
  <c r="H518" i="75"/>
  <c r="G518" i="75" s="1"/>
  <c r="H534" i="75"/>
  <c r="G534" i="75" s="1"/>
  <c r="H565" i="75"/>
  <c r="G565" i="75" s="1"/>
  <c r="H576" i="75"/>
  <c r="G576" i="75" s="1"/>
  <c r="F575" i="75"/>
  <c r="H580" i="75"/>
  <c r="G580" i="75" s="1"/>
  <c r="F579" i="75"/>
  <c r="F577" i="75" s="1"/>
  <c r="H601" i="75"/>
  <c r="H599" i="75" s="1"/>
  <c r="F599" i="75"/>
  <c r="H606" i="75"/>
  <c r="G606" i="75" s="1"/>
  <c r="G616" i="75"/>
  <c r="H657" i="75"/>
  <c r="H655" i="75" s="1"/>
  <c r="F655" i="75"/>
  <c r="F304" i="75"/>
  <c r="G305" i="75"/>
  <c r="F308" i="75"/>
  <c r="G309" i="75"/>
  <c r="F312" i="75"/>
  <c r="F310" i="75" s="1"/>
  <c r="G313" i="75"/>
  <c r="F316" i="75"/>
  <c r="G317" i="75"/>
  <c r="F329" i="75"/>
  <c r="G330" i="75"/>
  <c r="G329" i="75" s="1"/>
  <c r="F332" i="75"/>
  <c r="G333" i="75"/>
  <c r="G337" i="75"/>
  <c r="G335" i="75" s="1"/>
  <c r="G344" i="75"/>
  <c r="G348" i="75"/>
  <c r="G355" i="75"/>
  <c r="G357" i="75"/>
  <c r="G361" i="75"/>
  <c r="G365" i="75"/>
  <c r="G373" i="75"/>
  <c r="G377" i="75"/>
  <c r="G381" i="75"/>
  <c r="G385" i="75"/>
  <c r="G389" i="75"/>
  <c r="G393" i="75"/>
  <c r="G397" i="75"/>
  <c r="G415" i="75"/>
  <c r="G422" i="75"/>
  <c r="F426" i="75"/>
  <c r="F425" i="75" s="1"/>
  <c r="G427" i="75"/>
  <c r="G431" i="75"/>
  <c r="G435" i="75"/>
  <c r="G439" i="75"/>
  <c r="H443" i="75"/>
  <c r="G448" i="75"/>
  <c r="G460" i="75"/>
  <c r="H467" i="75"/>
  <c r="H465" i="75" s="1"/>
  <c r="H471" i="75"/>
  <c r="G471" i="75" s="1"/>
  <c r="G476" i="75"/>
  <c r="G480" i="75"/>
  <c r="G507" i="75"/>
  <c r="H514" i="75"/>
  <c r="H556" i="75"/>
  <c r="G556" i="75" s="1"/>
  <c r="H581" i="75"/>
  <c r="G581" i="75" s="1"/>
  <c r="H617" i="75"/>
  <c r="G617" i="75" s="1"/>
  <c r="H670" i="75"/>
  <c r="G670" i="75" s="1"/>
  <c r="F669" i="75"/>
  <c r="F226" i="75"/>
  <c r="F225" i="75" s="1"/>
  <c r="F335" i="75"/>
  <c r="F353" i="75"/>
  <c r="F350" i="75" s="1"/>
  <c r="F347" i="75" s="1"/>
  <c r="F359" i="75"/>
  <c r="F358" i="75" s="1"/>
  <c r="F387" i="75"/>
  <c r="F391" i="75"/>
  <c r="F395" i="75"/>
  <c r="F420" i="75"/>
  <c r="F417" i="75" s="1"/>
  <c r="F414" i="75" s="1"/>
  <c r="F437" i="75"/>
  <c r="G444" i="75"/>
  <c r="H451" i="75"/>
  <c r="G451" i="75" s="1"/>
  <c r="F449" i="75"/>
  <c r="G456" i="75"/>
  <c r="H463" i="75"/>
  <c r="G463" i="75" s="1"/>
  <c r="F462" i="75"/>
  <c r="F468" i="75"/>
  <c r="H483" i="75"/>
  <c r="H495" i="75"/>
  <c r="H499" i="75"/>
  <c r="G499" i="75" s="1"/>
  <c r="G517" i="75"/>
  <c r="G519" i="75"/>
  <c r="H522" i="75"/>
  <c r="G522" i="75" s="1"/>
  <c r="F521" i="75"/>
  <c r="G538" i="75"/>
  <c r="G544" i="75"/>
  <c r="H568" i="75"/>
  <c r="G568" i="75" s="1"/>
  <c r="H597" i="75"/>
  <c r="H596" i="75" s="1"/>
  <c r="F596" i="75"/>
  <c r="G664" i="75"/>
  <c r="H663" i="75"/>
  <c r="G667" i="75"/>
  <c r="H545" i="75"/>
  <c r="G552" i="75"/>
  <c r="G567" i="75"/>
  <c r="H572" i="75"/>
  <c r="H571" i="75" s="1"/>
  <c r="F571" i="75"/>
  <c r="H613" i="75"/>
  <c r="H609" i="75" s="1"/>
  <c r="H645" i="75"/>
  <c r="H649" i="75"/>
  <c r="G649" i="75" s="1"/>
  <c r="H653" i="75"/>
  <c r="G653" i="75" s="1"/>
  <c r="F465" i="75"/>
  <c r="F493" i="75"/>
  <c r="F492" i="75" s="1"/>
  <c r="F504" i="75"/>
  <c r="F508" i="75"/>
  <c r="F512" i="75"/>
  <c r="F510" i="75" s="1"/>
  <c r="F516" i="75"/>
  <c r="G524" i="75"/>
  <c r="G528" i="75"/>
  <c r="G530" i="75"/>
  <c r="H537" i="75"/>
  <c r="H535" i="75" s="1"/>
  <c r="F535" i="75"/>
  <c r="G550" i="75"/>
  <c r="G555" i="75"/>
  <c r="H561" i="75"/>
  <c r="F560" i="75"/>
  <c r="F559" i="75" s="1"/>
  <c r="H584" i="75"/>
  <c r="G584" i="75" s="1"/>
  <c r="F583" i="75"/>
  <c r="H588" i="75"/>
  <c r="G598" i="75"/>
  <c r="G622" i="75"/>
  <c r="G621" i="75" s="1"/>
  <c r="G618" i="75" s="1"/>
  <c r="H629" i="75"/>
  <c r="F627" i="75"/>
  <c r="F626" i="75" s="1"/>
  <c r="H633" i="75"/>
  <c r="G633" i="75" s="1"/>
  <c r="H641" i="75"/>
  <c r="H638" i="75" s="1"/>
  <c r="F650" i="75"/>
  <c r="G658" i="75"/>
  <c r="G661" i="75"/>
  <c r="F554" i="75"/>
  <c r="F551" i="75" s="1"/>
  <c r="F548" i="75" s="1"/>
  <c r="F659" i="75"/>
  <c r="H10" i="68"/>
  <c r="H9" i="68" s="1"/>
  <c r="J16" i="68"/>
  <c r="J15" i="68" s="1"/>
  <c r="J28" i="68"/>
  <c r="J27" i="68" s="1"/>
  <c r="J21" i="68"/>
  <c r="J17" i="68"/>
  <c r="F21" i="68"/>
  <c r="F17" i="68"/>
  <c r="F33" i="68"/>
  <c r="F32" i="68" s="1"/>
  <c r="F31" i="68" s="1"/>
  <c r="C34" i="49"/>
  <c r="C74" i="49"/>
  <c r="C90" i="49"/>
  <c r="E239" i="49"/>
  <c r="D73" i="49"/>
  <c r="D69" i="49" s="1"/>
  <c r="E224" i="49"/>
  <c r="E222" i="49" s="1"/>
  <c r="C50" i="49"/>
  <c r="C126" i="49"/>
  <c r="F150" i="49"/>
  <c r="F146" i="49" s="1"/>
  <c r="C70" i="49"/>
  <c r="C93" i="49"/>
  <c r="C133" i="49"/>
  <c r="C143" i="49"/>
  <c r="F217" i="49"/>
  <c r="F216" i="49" s="1"/>
  <c r="C19" i="49"/>
  <c r="C80" i="49"/>
  <c r="C83" i="49"/>
  <c r="C136" i="49"/>
  <c r="E105" i="49"/>
  <c r="E96" i="49" s="1"/>
  <c r="C65" i="49"/>
  <c r="C115" i="49"/>
  <c r="C176" i="49"/>
  <c r="C196" i="49"/>
  <c r="E23" i="49"/>
  <c r="E18" i="49" s="1"/>
  <c r="F23" i="49"/>
  <c r="F18" i="49" s="1"/>
  <c r="D105" i="49"/>
  <c r="D96" i="49" s="1"/>
  <c r="C217" i="49"/>
  <c r="C216" i="49" s="1"/>
  <c r="C224" i="49"/>
  <c r="C222" i="49" s="1"/>
  <c r="F224" i="49"/>
  <c r="F222" i="49" s="1"/>
  <c r="F239" i="49"/>
  <c r="C240" i="49"/>
  <c r="C201" i="49"/>
  <c r="C245" i="49"/>
  <c r="C28" i="49"/>
  <c r="C57" i="49"/>
  <c r="C97" i="49"/>
  <c r="C109" i="49"/>
  <c r="C181" i="49"/>
  <c r="D23" i="49"/>
  <c r="D18" i="49" s="1"/>
  <c r="C24" i="49"/>
  <c r="C53" i="49"/>
  <c r="C77" i="49"/>
  <c r="F73" i="49"/>
  <c r="F69" i="49" s="1"/>
  <c r="C186" i="49"/>
  <c r="C191" i="49"/>
  <c r="C206" i="49"/>
  <c r="D224" i="49"/>
  <c r="D222" i="49" s="1"/>
  <c r="F93" i="75" l="1"/>
  <c r="G31" i="75"/>
  <c r="H408" i="75"/>
  <c r="H8" i="68"/>
  <c r="H7" i="68" s="1"/>
  <c r="J26" i="68"/>
  <c r="G64" i="75"/>
  <c r="G62" i="75" s="1"/>
  <c r="H62" i="75"/>
  <c r="H265" i="75"/>
  <c r="H214" i="75"/>
  <c r="H627" i="75"/>
  <c r="H626" i="75" s="1"/>
  <c r="H321" i="75"/>
  <c r="G25" i="75"/>
  <c r="H149" i="75"/>
  <c r="H146" i="75" s="1"/>
  <c r="F70" i="75"/>
  <c r="F69" i="75" s="1"/>
  <c r="E68" i="75" s="1"/>
  <c r="F68" i="75" s="1"/>
  <c r="G68" i="75" s="1"/>
  <c r="G67" i="75" s="1"/>
  <c r="H20" i="75"/>
  <c r="H14" i="75" s="1"/>
  <c r="H35" i="75"/>
  <c r="H512" i="75"/>
  <c r="C105" i="49"/>
  <c r="C96" i="49" s="1"/>
  <c r="G526" i="75"/>
  <c r="G525" i="75" s="1"/>
  <c r="H391" i="75"/>
  <c r="H462" i="75"/>
  <c r="H453" i="75" s="1"/>
  <c r="H669" i="75"/>
  <c r="G387" i="75"/>
  <c r="H350" i="75"/>
  <c r="H347" i="75" s="1"/>
  <c r="H646" i="75"/>
  <c r="G613" i="75"/>
  <c r="G609" i="75" s="1"/>
  <c r="G597" i="75"/>
  <c r="G596" i="75" s="1"/>
  <c r="F157" i="75"/>
  <c r="G190" i="75"/>
  <c r="F11" i="68"/>
  <c r="F10" i="68" s="1"/>
  <c r="F9" i="68" s="1"/>
  <c r="F8" i="68" s="1"/>
  <c r="F7" i="68" s="1"/>
  <c r="G662" i="75"/>
  <c r="G659" i="75" s="1"/>
  <c r="J11" i="68"/>
  <c r="J10" i="68" s="1"/>
  <c r="J9" i="68" s="1"/>
  <c r="J8" i="68" s="1"/>
  <c r="J7" i="68" s="1"/>
  <c r="G170" i="75"/>
  <c r="G169" i="75" s="1"/>
  <c r="F587" i="75"/>
  <c r="G537" i="75"/>
  <c r="G535" i="75" s="1"/>
  <c r="F637" i="75"/>
  <c r="G514" i="75"/>
  <c r="G512" i="75" s="1"/>
  <c r="G510" i="75" s="1"/>
  <c r="G288" i="75"/>
  <c r="G588" i="75"/>
  <c r="H417" i="75"/>
  <c r="H414" i="75" s="1"/>
  <c r="H378" i="75"/>
  <c r="H376" i="75" s="1"/>
  <c r="H369" i="75" s="1"/>
  <c r="H484" i="75"/>
  <c r="H481" i="75" s="1"/>
  <c r="H177" i="75"/>
  <c r="H175" i="75" s="1"/>
  <c r="G16" i="75"/>
  <c r="G140" i="75"/>
  <c r="H245" i="75"/>
  <c r="H243" i="75" s="1"/>
  <c r="G595" i="75"/>
  <c r="G592" i="75" s="1"/>
  <c r="F608" i="75"/>
  <c r="G177" i="75"/>
  <c r="G175" i="75" s="1"/>
  <c r="F30" i="75"/>
  <c r="G602" i="75"/>
  <c r="G382" i="75"/>
  <c r="G529" i="75"/>
  <c r="H615" i="75"/>
  <c r="H542" i="75"/>
  <c r="H468" i="75"/>
  <c r="G334" i="75"/>
  <c r="G332" i="75" s="1"/>
  <c r="H281" i="75"/>
  <c r="H341" i="75"/>
  <c r="F14" i="75"/>
  <c r="F10" i="75" s="1"/>
  <c r="H529" i="75"/>
  <c r="G239" i="75"/>
  <c r="G237" i="75" s="1"/>
  <c r="G59" i="75"/>
  <c r="G428" i="75"/>
  <c r="G426" i="75" s="1"/>
  <c r="G425" i="75" s="1"/>
  <c r="G22" i="75"/>
  <c r="G20" i="75" s="1"/>
  <c r="G421" i="75"/>
  <c r="G420" i="75" s="1"/>
  <c r="G187" i="75"/>
  <c r="G186" i="75" s="1"/>
  <c r="G488" i="75"/>
  <c r="G487" i="75" s="1"/>
  <c r="G484" i="75" s="1"/>
  <c r="G437" i="75"/>
  <c r="G304" i="75"/>
  <c r="F185" i="75"/>
  <c r="F541" i="75"/>
  <c r="H560" i="75"/>
  <c r="H559" i="75" s="1"/>
  <c r="G666" i="75"/>
  <c r="H521" i="75"/>
  <c r="G669" i="75"/>
  <c r="F369" i="75"/>
  <c r="G532" i="75"/>
  <c r="F253" i="75"/>
  <c r="H140" i="75"/>
  <c r="G226" i="75"/>
  <c r="G35" i="75"/>
  <c r="H398" i="75"/>
  <c r="G399" i="75"/>
  <c r="G398" i="75" s="1"/>
  <c r="G354" i="75"/>
  <c r="G391" i="75"/>
  <c r="G341" i="75"/>
  <c r="H304" i="75"/>
  <c r="G641" i="75"/>
  <c r="G629" i="75"/>
  <c r="G627" i="75" s="1"/>
  <c r="G626" i="75" s="1"/>
  <c r="G572" i="75"/>
  <c r="G571" i="75" s="1"/>
  <c r="G545" i="75"/>
  <c r="G542" i="75" s="1"/>
  <c r="H666" i="75"/>
  <c r="H654" i="75" s="1"/>
  <c r="H493" i="75"/>
  <c r="H492" i="75" s="1"/>
  <c r="G468" i="75"/>
  <c r="G353" i="75"/>
  <c r="G350" i="75" s="1"/>
  <c r="G347" i="75" s="1"/>
  <c r="G657" i="75"/>
  <c r="G655" i="75" s="1"/>
  <c r="G370" i="75"/>
  <c r="G264" i="75"/>
  <c r="G262" i="75" s="1"/>
  <c r="G255" i="75"/>
  <c r="G254" i="75" s="1"/>
  <c r="H226" i="75"/>
  <c r="H225" i="75" s="1"/>
  <c r="G158" i="75"/>
  <c r="H190" i="75"/>
  <c r="H185" i="75" s="1"/>
  <c r="G133" i="75"/>
  <c r="G663" i="75"/>
  <c r="H320" i="75"/>
  <c r="H644" i="75"/>
  <c r="F520" i="75"/>
  <c r="G483" i="75"/>
  <c r="F436" i="75"/>
  <c r="G467" i="75"/>
  <c r="G465" i="75" s="1"/>
  <c r="G395" i="75"/>
  <c r="G455" i="75"/>
  <c r="G454" i="75" s="1"/>
  <c r="H437" i="75"/>
  <c r="G506" i="75"/>
  <c r="G459" i="75"/>
  <c r="G458" i="75" s="1"/>
  <c r="G352" i="75"/>
  <c r="G327" i="75"/>
  <c r="G325" i="75" s="1"/>
  <c r="G447" i="75"/>
  <c r="G445" i="75" s="1"/>
  <c r="G443" i="75" s="1"/>
  <c r="G276" i="75"/>
  <c r="H207" i="75"/>
  <c r="G153" i="75"/>
  <c r="G152" i="75" s="1"/>
  <c r="G149" i="75" s="1"/>
  <c r="G146" i="75" s="1"/>
  <c r="G409" i="75"/>
  <c r="G408" i="75" s="1"/>
  <c r="G39" i="75"/>
  <c r="G247" i="75"/>
  <c r="G245" i="75" s="1"/>
  <c r="G243" i="75" s="1"/>
  <c r="G646" i="75"/>
  <c r="G198" i="75"/>
  <c r="G197" i="75" s="1"/>
  <c r="F133" i="75"/>
  <c r="H181" i="75"/>
  <c r="G181" i="75" s="1"/>
  <c r="F126" i="75"/>
  <c r="G521" i="75"/>
  <c r="G475" i="75"/>
  <c r="H602" i="75"/>
  <c r="H554" i="75"/>
  <c r="H551" i="75" s="1"/>
  <c r="H548" i="75" s="1"/>
  <c r="H249" i="75"/>
  <c r="H532" i="75"/>
  <c r="F274" i="75"/>
  <c r="F236" i="75"/>
  <c r="H293" i="75"/>
  <c r="H292" i="75" s="1"/>
  <c r="F168" i="75"/>
  <c r="H158" i="75"/>
  <c r="G287" i="75"/>
  <c r="G284" i="75" s="1"/>
  <c r="H268" i="75"/>
  <c r="G86" i="75"/>
  <c r="H86" i="75" s="1"/>
  <c r="F85" i="75"/>
  <c r="G47" i="75"/>
  <c r="H608" i="75"/>
  <c r="F407" i="75"/>
  <c r="H173" i="75"/>
  <c r="G173" i="75" s="1"/>
  <c r="H587" i="75"/>
  <c r="F503" i="75"/>
  <c r="G462" i="75"/>
  <c r="H449" i="75"/>
  <c r="F386" i="75"/>
  <c r="G376" i="75"/>
  <c r="H316" i="75"/>
  <c r="G316" i="75" s="1"/>
  <c r="H308" i="75"/>
  <c r="G308" i="75" s="1"/>
  <c r="F654" i="75"/>
  <c r="G615" i="75"/>
  <c r="G601" i="75"/>
  <c r="G599" i="75" s="1"/>
  <c r="G579" i="75"/>
  <c r="G577" i="75" s="1"/>
  <c r="H163" i="75"/>
  <c r="G163" i="75" s="1"/>
  <c r="G638" i="75"/>
  <c r="G504" i="75"/>
  <c r="G275" i="75"/>
  <c r="H253" i="75"/>
  <c r="G208" i="75"/>
  <c r="G207" i="75" s="1"/>
  <c r="G225" i="75"/>
  <c r="F320" i="75"/>
  <c r="G221" i="75"/>
  <c r="G220" i="75" s="1"/>
  <c r="G217" i="75" s="1"/>
  <c r="G214" i="75" s="1"/>
  <c r="F46" i="75"/>
  <c r="G93" i="75"/>
  <c r="H93" i="75" s="1"/>
  <c r="F303" i="75"/>
  <c r="H575" i="75"/>
  <c r="H510" i="75"/>
  <c r="H387" i="75"/>
  <c r="H386" i="75" s="1"/>
  <c r="H10" i="75"/>
  <c r="F139" i="75"/>
  <c r="H312" i="75"/>
  <c r="H310" i="75" s="1"/>
  <c r="G554" i="75"/>
  <c r="G551" i="75" s="1"/>
  <c r="G548" i="75" s="1"/>
  <c r="H508" i="75"/>
  <c r="G508" i="75" s="1"/>
  <c r="H650" i="75"/>
  <c r="G650" i="75" s="1"/>
  <c r="H583" i="75"/>
  <c r="G583" i="75" s="1"/>
  <c r="G561" i="75"/>
  <c r="G560" i="75" s="1"/>
  <c r="G559" i="75" s="1"/>
  <c r="H516" i="75"/>
  <c r="G516" i="75" s="1"/>
  <c r="G645" i="75"/>
  <c r="F570" i="75"/>
  <c r="F540" i="75" s="1"/>
  <c r="G495" i="75"/>
  <c r="G493" i="75" s="1"/>
  <c r="G492" i="75" s="1"/>
  <c r="G312" i="75"/>
  <c r="G310" i="75" s="1"/>
  <c r="H579" i="75"/>
  <c r="H577" i="75" s="1"/>
  <c r="F453" i="75"/>
  <c r="G419" i="75"/>
  <c r="G402" i="75"/>
  <c r="G401" i="75" s="1"/>
  <c r="G282" i="75"/>
  <c r="G362" i="75"/>
  <c r="G359" i="75" s="1"/>
  <c r="G358" i="75" s="1"/>
  <c r="F340" i="75"/>
  <c r="F206" i="75"/>
  <c r="G126" i="75"/>
  <c r="G125" i="75" s="1"/>
  <c r="G322" i="75"/>
  <c r="G321" i="75" s="1"/>
  <c r="G294" i="75"/>
  <c r="G293" i="75" s="1"/>
  <c r="G292" i="75" s="1"/>
  <c r="G201" i="75"/>
  <c r="G200" i="75" s="1"/>
  <c r="H42" i="75"/>
  <c r="F474" i="75"/>
  <c r="G269" i="75"/>
  <c r="G268" i="75" s="1"/>
  <c r="G260" i="75"/>
  <c r="G258" i="75" s="1"/>
  <c r="H46" i="75"/>
  <c r="H113" i="75"/>
  <c r="H112" i="75" s="1"/>
  <c r="C73" i="49"/>
  <c r="C69" i="49" s="1"/>
  <c r="C23" i="49"/>
  <c r="C18" i="49" s="1"/>
  <c r="C150" i="49"/>
  <c r="C146" i="49" s="1"/>
  <c r="D17" i="49"/>
  <c r="C239" i="49"/>
  <c r="F17" i="49"/>
  <c r="H191" i="13"/>
  <c r="K191" i="13" s="1"/>
  <c r="H196" i="13"/>
  <c r="H407" i="75" l="1"/>
  <c r="F607" i="75"/>
  <c r="H30" i="75"/>
  <c r="H541" i="75"/>
  <c r="G369" i="75"/>
  <c r="G157" i="75"/>
  <c r="F205" i="75"/>
  <c r="G608" i="75"/>
  <c r="F67" i="75"/>
  <c r="F473" i="75"/>
  <c r="F138" i="75"/>
  <c r="H236" i="75"/>
  <c r="G185" i="75"/>
  <c r="H436" i="75"/>
  <c r="H406" i="75" s="1"/>
  <c r="G46" i="75"/>
  <c r="H340" i="75"/>
  <c r="H339" i="75" s="1"/>
  <c r="G196" i="13"/>
  <c r="K196" i="13"/>
  <c r="J196" i="13"/>
  <c r="J9" i="13" s="1"/>
  <c r="H474" i="75"/>
  <c r="C17" i="49"/>
  <c r="G587" i="75"/>
  <c r="G481" i="75"/>
  <c r="G474" i="75" s="1"/>
  <c r="H206" i="75"/>
  <c r="H205" i="75" s="1"/>
  <c r="H274" i="75"/>
  <c r="G191" i="13"/>
  <c r="H168" i="13"/>
  <c r="G340" i="75"/>
  <c r="G644" i="75"/>
  <c r="G637" i="75" s="1"/>
  <c r="F9" i="75"/>
  <c r="G449" i="75"/>
  <c r="G436" i="75" s="1"/>
  <c r="H570" i="75"/>
  <c r="H540" i="75" s="1"/>
  <c r="F406" i="75"/>
  <c r="F137" i="75" s="1"/>
  <c r="G654" i="75"/>
  <c r="G386" i="75"/>
  <c r="H520" i="75"/>
  <c r="H637" i="75"/>
  <c r="H607" i="75" s="1"/>
  <c r="G320" i="75"/>
  <c r="G417" i="75"/>
  <c r="G414" i="75" s="1"/>
  <c r="G407" i="75" s="1"/>
  <c r="G14" i="75"/>
  <c r="G10" i="75" s="1"/>
  <c r="H85" i="75"/>
  <c r="H168" i="75"/>
  <c r="H9" i="75"/>
  <c r="G575" i="75"/>
  <c r="G570" i="75" s="1"/>
  <c r="H157" i="75"/>
  <c r="H139" i="75" s="1"/>
  <c r="H138" i="75" s="1"/>
  <c r="G139" i="75"/>
  <c r="F339" i="75"/>
  <c r="G303" i="75"/>
  <c r="G85" i="75"/>
  <c r="G66" i="75" s="1"/>
  <c r="F125" i="75"/>
  <c r="E124" i="75" s="1"/>
  <c r="F124" i="75" s="1"/>
  <c r="G124" i="75" s="1"/>
  <c r="G123" i="75" s="1"/>
  <c r="G42" i="75"/>
  <c r="G30" i="75" s="1"/>
  <c r="G168" i="75"/>
  <c r="F273" i="75"/>
  <c r="G541" i="75"/>
  <c r="H503" i="75"/>
  <c r="H303" i="75"/>
  <c r="G249" i="75"/>
  <c r="G236" i="75" s="1"/>
  <c r="H68" i="75"/>
  <c r="H67" i="75" s="1"/>
  <c r="G281" i="75"/>
  <c r="G274" i="75" s="1"/>
  <c r="G503" i="75"/>
  <c r="G206" i="75"/>
  <c r="G453" i="75"/>
  <c r="G253" i="75"/>
  <c r="G520" i="75"/>
  <c r="F66" i="75"/>
  <c r="H166" i="13"/>
  <c r="H134" i="13"/>
  <c r="K134" i="13" s="1"/>
  <c r="G167" i="13"/>
  <c r="G165" i="13"/>
  <c r="H273" i="75" l="1"/>
  <c r="H137" i="75" s="1"/>
  <c r="H473" i="75"/>
  <c r="F123" i="75"/>
  <c r="G9" i="75"/>
  <c r="G339" i="75"/>
  <c r="G168" i="13"/>
  <c r="G138" i="75"/>
  <c r="H66" i="75"/>
  <c r="G166" i="13"/>
  <c r="K166" i="13"/>
  <c r="G134" i="13"/>
  <c r="G273" i="75"/>
  <c r="G607" i="75"/>
  <c r="G205" i="75"/>
  <c r="G406" i="75"/>
  <c r="G540" i="75"/>
  <c r="G65" i="75"/>
  <c r="F65" i="75"/>
  <c r="F8" i="75" s="1"/>
  <c r="F7" i="75" s="1"/>
  <c r="G473" i="75"/>
  <c r="H124" i="75"/>
  <c r="H123" i="75" s="1"/>
  <c r="H65" i="75" s="1"/>
  <c r="H8" i="75" s="1"/>
  <c r="G86" i="16"/>
  <c r="H120" i="13"/>
  <c r="H118" i="13"/>
  <c r="G121" i="13"/>
  <c r="H93" i="13"/>
  <c r="H91" i="13"/>
  <c r="K91" i="13" s="1"/>
  <c r="G8" i="75" l="1"/>
  <c r="H7" i="75"/>
  <c r="G137" i="75"/>
  <c r="G7" i="75" s="1"/>
  <c r="G93" i="13"/>
  <c r="K93" i="13"/>
  <c r="K35" i="13"/>
  <c r="K34" i="13"/>
  <c r="G118" i="13"/>
  <c r="K118" i="13"/>
  <c r="G120" i="13"/>
  <c r="K120" i="13"/>
  <c r="G88" i="21" l="1"/>
  <c r="A88" i="21" l="1"/>
  <c r="A91" i="21"/>
  <c r="H135" i="13" l="1"/>
  <c r="K135" i="13" s="1"/>
  <c r="G135" i="13"/>
  <c r="I26" i="8" l="1"/>
  <c r="H26" i="8"/>
  <c r="F26" i="8"/>
  <c r="D26" i="8"/>
  <c r="I23" i="8"/>
  <c r="H23" i="8"/>
  <c r="F23" i="8"/>
  <c r="D23" i="8"/>
  <c r="I21" i="8"/>
  <c r="H21" i="8"/>
  <c r="F21" i="8"/>
  <c r="D21" i="8"/>
  <c r="I18" i="8"/>
  <c r="H18" i="8"/>
  <c r="F18" i="8"/>
  <c r="D18" i="8"/>
  <c r="I16" i="8"/>
  <c r="H16" i="8"/>
  <c r="F16" i="8"/>
  <c r="I14" i="8"/>
  <c r="H14" i="8"/>
  <c r="F14" i="8"/>
  <c r="I12" i="8"/>
  <c r="H12" i="8"/>
  <c r="F12" i="8"/>
  <c r="I10" i="8"/>
  <c r="H10" i="8"/>
  <c r="F10" i="8"/>
  <c r="F35" i="15"/>
  <c r="G35" i="15"/>
  <c r="G140" i="13" l="1"/>
  <c r="H117" i="13"/>
  <c r="G92" i="13"/>
  <c r="G91" i="13"/>
  <c r="H27" i="13"/>
  <c r="G27" i="13" l="1"/>
  <c r="K27" i="13"/>
  <c r="K9" i="13" s="1"/>
  <c r="A133" i="13"/>
  <c r="K117" i="13"/>
  <c r="K31" i="13"/>
  <c r="A196" i="13"/>
  <c r="A195" i="13"/>
  <c r="A194" i="13"/>
  <c r="G139" i="13"/>
  <c r="A166" i="13"/>
  <c r="A165" i="13"/>
  <c r="A167" i="13"/>
  <c r="G117" i="13"/>
  <c r="A134" i="13"/>
  <c r="A67" i="6" l="1"/>
  <c r="A66" i="6"/>
  <c r="F65" i="6"/>
  <c r="A65" i="6"/>
  <c r="F64" i="6"/>
  <c r="A64" i="6"/>
  <c r="G63" i="6"/>
  <c r="D63" i="6"/>
  <c r="F62" i="6"/>
  <c r="A62" i="6"/>
  <c r="F61" i="6"/>
  <c r="A61" i="6"/>
  <c r="F60" i="6"/>
  <c r="A60" i="6"/>
  <c r="G59" i="6"/>
  <c r="D59" i="6"/>
  <c r="F58" i="6"/>
  <c r="A58" i="6"/>
  <c r="F57" i="6"/>
  <c r="A57" i="6"/>
  <c r="F56" i="6"/>
  <c r="A56" i="6"/>
  <c r="F55" i="6"/>
  <c r="F54" i="6" s="1"/>
  <c r="A55" i="6"/>
  <c r="G54" i="6"/>
  <c r="D54" i="6"/>
  <c r="A53" i="6"/>
  <c r="A52" i="6"/>
  <c r="A51" i="6"/>
  <c r="G50" i="6"/>
  <c r="D50" i="6"/>
  <c r="F49" i="6"/>
  <c r="A49" i="6"/>
  <c r="F48" i="6"/>
  <c r="A48" i="6"/>
  <c r="F47" i="6"/>
  <c r="A47" i="6"/>
  <c r="G46" i="6"/>
  <c r="D46" i="6"/>
  <c r="F45" i="6"/>
  <c r="A45" i="6"/>
  <c r="F44" i="6"/>
  <c r="A44" i="6"/>
  <c r="G43" i="6"/>
  <c r="D43" i="6"/>
  <c r="F42" i="6"/>
  <c r="A42" i="6"/>
  <c r="F41" i="6"/>
  <c r="A41" i="6"/>
  <c r="F40" i="6"/>
  <c r="A40" i="6"/>
  <c r="F39" i="6"/>
  <c r="A39" i="6"/>
  <c r="G38" i="6"/>
  <c r="D38" i="6"/>
  <c r="F37" i="6"/>
  <c r="F36" i="6" s="1"/>
  <c r="A37" i="6"/>
  <c r="G36" i="6"/>
  <c r="D36" i="6"/>
  <c r="A34" i="6"/>
  <c r="F33" i="6"/>
  <c r="A33" i="6"/>
  <c r="F32" i="6"/>
  <c r="F23" i="6" s="1"/>
  <c r="A32" i="6"/>
  <c r="A31" i="6"/>
  <c r="A30" i="6"/>
  <c r="A29" i="6"/>
  <c r="A28" i="6"/>
  <c r="A27" i="6"/>
  <c r="A26" i="6"/>
  <c r="A25" i="6"/>
  <c r="A24" i="6"/>
  <c r="G23" i="6"/>
  <c r="D23" i="6"/>
  <c r="A22" i="6"/>
  <c r="A21" i="6"/>
  <c r="F20" i="6"/>
  <c r="F10" i="6" s="1"/>
  <c r="A20" i="6"/>
  <c r="A19" i="6"/>
  <c r="A18" i="6"/>
  <c r="A17" i="6"/>
  <c r="A16" i="6"/>
  <c r="A15" i="6"/>
  <c r="A14" i="6"/>
  <c r="A13" i="6"/>
  <c r="A12" i="6"/>
  <c r="A11" i="6"/>
  <c r="G10" i="6"/>
  <c r="G9" i="6" s="1"/>
  <c r="D10" i="6"/>
  <c r="D9" i="6" s="1"/>
  <c r="H81" i="13"/>
  <c r="G81" i="13"/>
  <c r="H24" i="13"/>
  <c r="G26" i="13"/>
  <c r="G24" i="13" s="1"/>
  <c r="F46" i="6" l="1"/>
  <c r="F9" i="6"/>
  <c r="F63" i="6"/>
  <c r="F38" i="6"/>
  <c r="D35" i="6"/>
  <c r="D8" i="6" s="1"/>
  <c r="F59" i="6"/>
  <c r="F50" i="6"/>
  <c r="F43" i="6"/>
  <c r="G35" i="6"/>
  <c r="G8" i="6" s="1"/>
  <c r="G55" i="15"/>
  <c r="G49" i="15"/>
  <c r="G44" i="15"/>
  <c r="G38" i="15"/>
  <c r="G31" i="15"/>
  <c r="F27" i="15"/>
  <c r="G27" i="15"/>
  <c r="F9" i="15"/>
  <c r="G9" i="15"/>
  <c r="F35" i="6" l="1"/>
  <c r="F8" i="6" s="1"/>
  <c r="F55" i="15"/>
  <c r="F38" i="15"/>
  <c r="F49" i="15"/>
  <c r="F31" i="15"/>
  <c r="F44" i="15"/>
  <c r="G25" i="15"/>
  <c r="G8" i="15" s="1"/>
  <c r="F25" i="15" l="1"/>
  <c r="F8" i="15" s="1"/>
  <c r="I213" i="83"/>
  <c r="F213" i="83"/>
  <c r="I209" i="83"/>
  <c r="F209" i="83"/>
  <c r="F194" i="83"/>
  <c r="H193" i="83"/>
  <c r="I193" i="83" s="1"/>
  <c r="G193" i="83"/>
  <c r="I179" i="83"/>
  <c r="F179" i="83"/>
  <c r="I166" i="83"/>
  <c r="F166" i="83"/>
  <c r="H165" i="83"/>
  <c r="I165" i="83" s="1"/>
  <c r="G165" i="83"/>
  <c r="I152" i="83"/>
  <c r="F152" i="83"/>
  <c r="I147" i="83"/>
  <c r="F147" i="83"/>
  <c r="I135" i="83"/>
  <c r="F135" i="83"/>
  <c r="I131" i="83"/>
  <c r="I118" i="83"/>
  <c r="F118" i="83"/>
  <c r="I114" i="83"/>
  <c r="F114" i="83"/>
  <c r="I102" i="83"/>
  <c r="F102" i="83"/>
  <c r="H101" i="83"/>
  <c r="I101" i="83" s="1"/>
  <c r="G101" i="83"/>
  <c r="G87" i="83" s="1"/>
  <c r="F88" i="83"/>
  <c r="I74" i="83"/>
  <c r="F74" i="83"/>
  <c r="I63" i="83"/>
  <c r="F63" i="83"/>
  <c r="F49" i="83"/>
  <c r="F48" i="83" s="1"/>
  <c r="H48" i="83"/>
  <c r="H35" i="83" s="1"/>
  <c r="G48" i="83"/>
  <c r="G35" i="83" s="1"/>
  <c r="F36" i="83"/>
  <c r="I23" i="83"/>
  <c r="F23" i="83"/>
  <c r="I10" i="83"/>
  <c r="F10" i="83"/>
  <c r="F165" i="83" l="1"/>
  <c r="F35" i="83"/>
  <c r="F101" i="83"/>
  <c r="F87" i="83" s="1"/>
  <c r="H87" i="83"/>
  <c r="I87" i="83" s="1"/>
  <c r="G9" i="83"/>
  <c r="F193" i="83"/>
  <c r="I35" i="83"/>
  <c r="I48" i="83"/>
  <c r="F9" i="83" l="1"/>
  <c r="F10" i="84" s="1"/>
  <c r="G10" i="84"/>
  <c r="H9" i="83"/>
  <c r="I9" i="83" s="1"/>
  <c r="C57" i="2"/>
  <c r="D58" i="2"/>
  <c r="F58" i="2"/>
  <c r="E58" i="2" s="1"/>
  <c r="H10" i="84" l="1"/>
  <c r="D59" i="2"/>
  <c r="F59" i="2"/>
  <c r="E59" i="2" s="1"/>
  <c r="H39" i="63" l="1"/>
  <c r="D39" i="63"/>
  <c r="E39" i="63" s="1"/>
  <c r="I39" i="63" s="1"/>
  <c r="K222" i="83" l="1"/>
  <c r="M222" i="83" s="1"/>
  <c r="J222" i="83" l="1"/>
  <c r="L22" i="73"/>
  <c r="F21" i="2"/>
  <c r="C62" i="2"/>
  <c r="F68" i="2"/>
  <c r="C68" i="2"/>
  <c r="F67" i="2"/>
  <c r="C67" i="2"/>
  <c r="C66" i="2"/>
  <c r="F65" i="2"/>
  <c r="C65" i="2"/>
  <c r="F64" i="2"/>
  <c r="C64" i="2"/>
  <c r="C63" i="2"/>
  <c r="F62" i="2"/>
  <c r="C61" i="2" l="1"/>
  <c r="C60" i="2" s="1"/>
  <c r="C56" i="2" s="1"/>
  <c r="D61" i="2"/>
  <c r="F61" i="2"/>
  <c r="F66" i="2"/>
  <c r="D66" i="2"/>
  <c r="D65" i="2"/>
  <c r="D64" i="2"/>
  <c r="D67" i="2"/>
  <c r="D68" i="2"/>
  <c r="D62" i="2"/>
  <c r="F63" i="2"/>
  <c r="F339" i="76" l="1"/>
  <c r="F338" i="76"/>
  <c r="G338" i="76" s="1"/>
  <c r="H338" i="76" s="1"/>
  <c r="F337" i="76"/>
  <c r="G337" i="76" s="1"/>
  <c r="H337" i="76" s="1"/>
  <c r="F336" i="76"/>
  <c r="F335" i="76"/>
  <c r="F334" i="76"/>
  <c r="G334" i="76" s="1"/>
  <c r="F333" i="76"/>
  <c r="G333" i="76" s="1"/>
  <c r="F332" i="76"/>
  <c r="F331" i="76"/>
  <c r="G331" i="76" s="1"/>
  <c r="F330" i="76"/>
  <c r="G330" i="76" s="1"/>
  <c r="H330" i="76" s="1"/>
  <c r="F329" i="76"/>
  <c r="G329" i="76" s="1"/>
  <c r="G328" i="76" s="1"/>
  <c r="F327" i="76"/>
  <c r="G327" i="76" s="1"/>
  <c r="F326" i="76"/>
  <c r="G326" i="76" s="1"/>
  <c r="F325" i="76"/>
  <c r="G325" i="76" s="1"/>
  <c r="E324" i="76"/>
  <c r="D324" i="76"/>
  <c r="C324" i="76"/>
  <c r="F323" i="76"/>
  <c r="G323" i="76" s="1"/>
  <c r="F322" i="76"/>
  <c r="G322" i="76" s="1"/>
  <c r="H322" i="76" s="1"/>
  <c r="F321" i="76"/>
  <c r="E320" i="76"/>
  <c r="F320" i="76" s="1"/>
  <c r="E319" i="76"/>
  <c r="F319" i="76" s="1"/>
  <c r="F317" i="76"/>
  <c r="G317" i="76" s="1"/>
  <c r="H317" i="76" s="1"/>
  <c r="F316" i="76"/>
  <c r="G316" i="76" s="1"/>
  <c r="H316" i="76" s="1"/>
  <c r="F315" i="76"/>
  <c r="F314" i="76"/>
  <c r="G314" i="76" s="1"/>
  <c r="F313" i="76"/>
  <c r="G313" i="76" s="1"/>
  <c r="F312" i="76"/>
  <c r="G312" i="76" s="1"/>
  <c r="H312" i="76" s="1"/>
  <c r="F311" i="76"/>
  <c r="F310" i="76"/>
  <c r="G310" i="76" s="1"/>
  <c r="F309" i="76"/>
  <c r="G309" i="76" s="1"/>
  <c r="H309" i="76" s="1"/>
  <c r="F308" i="76"/>
  <c r="G308" i="76" s="1"/>
  <c r="H308" i="76" s="1"/>
  <c r="F307" i="76"/>
  <c r="F306" i="76"/>
  <c r="G306" i="76" s="1"/>
  <c r="F305" i="76"/>
  <c r="G305" i="76" s="1"/>
  <c r="F304" i="76"/>
  <c r="G304" i="76" s="1"/>
  <c r="H304" i="76" s="1"/>
  <c r="F303" i="76"/>
  <c r="F302" i="76"/>
  <c r="G302" i="76" s="1"/>
  <c r="F301" i="76"/>
  <c r="G301" i="76" s="1"/>
  <c r="H301" i="76" s="1"/>
  <c r="F300" i="76"/>
  <c r="G300" i="76" s="1"/>
  <c r="H300" i="76" s="1"/>
  <c r="F299" i="76"/>
  <c r="F298" i="76"/>
  <c r="F297" i="76"/>
  <c r="G297" i="76" s="1"/>
  <c r="F294" i="76"/>
  <c r="F293" i="76"/>
  <c r="G293" i="76" s="1"/>
  <c r="F292" i="76"/>
  <c r="G292" i="76" s="1"/>
  <c r="F291" i="76"/>
  <c r="F290" i="76"/>
  <c r="G290" i="76" s="1"/>
  <c r="F289" i="76"/>
  <c r="G289" i="76" s="1"/>
  <c r="H289" i="76" s="1"/>
  <c r="F288" i="76"/>
  <c r="G288" i="76" s="1"/>
  <c r="F287" i="76"/>
  <c r="F286" i="76"/>
  <c r="G286" i="76" s="1"/>
  <c r="F285" i="76"/>
  <c r="G285" i="76" s="1"/>
  <c r="F284" i="76"/>
  <c r="F283" i="76" s="1"/>
  <c r="F282" i="76"/>
  <c r="F281" i="76"/>
  <c r="G281" i="76" s="1"/>
  <c r="H281" i="76" s="1"/>
  <c r="E280" i="76"/>
  <c r="D280" i="76"/>
  <c r="C280" i="76"/>
  <c r="F279" i="76"/>
  <c r="F278" i="76"/>
  <c r="G278" i="76" s="1"/>
  <c r="H278" i="76" s="1"/>
  <c r="F277" i="76"/>
  <c r="G277" i="76" s="1"/>
  <c r="H277" i="76" s="1"/>
  <c r="F275" i="76"/>
  <c r="F274" i="76"/>
  <c r="G274" i="76" s="1"/>
  <c r="F273" i="76"/>
  <c r="G273" i="76" s="1"/>
  <c r="E272" i="76"/>
  <c r="F271" i="76"/>
  <c r="F270" i="76"/>
  <c r="G270" i="76" s="1"/>
  <c r="F269" i="76"/>
  <c r="G269" i="76" s="1"/>
  <c r="H269" i="76" s="1"/>
  <c r="E268" i="76"/>
  <c r="F268" i="76" s="1"/>
  <c r="F267" i="76"/>
  <c r="G267" i="76" s="1"/>
  <c r="F265" i="76"/>
  <c r="G265" i="76" s="1"/>
  <c r="F264" i="76"/>
  <c r="G264" i="76" s="1"/>
  <c r="F263" i="76"/>
  <c r="G263" i="76" s="1"/>
  <c r="F262" i="76"/>
  <c r="F259" i="76"/>
  <c r="G259" i="76" s="1"/>
  <c r="F258" i="76"/>
  <c r="F257" i="76"/>
  <c r="G257" i="76" s="1"/>
  <c r="F256" i="76"/>
  <c r="G256" i="76" s="1"/>
  <c r="H256" i="76" s="1"/>
  <c r="F255" i="76"/>
  <c r="F254" i="76"/>
  <c r="F253" i="76"/>
  <c r="G253" i="76" s="1"/>
  <c r="F252" i="76"/>
  <c r="G252" i="76" s="1"/>
  <c r="H252" i="76" s="1"/>
  <c r="F251" i="76"/>
  <c r="G251" i="76" s="1"/>
  <c r="F250" i="76"/>
  <c r="F249" i="76"/>
  <c r="G249" i="76" s="1"/>
  <c r="F248" i="76"/>
  <c r="G248" i="76" s="1"/>
  <c r="F246" i="76"/>
  <c r="F245" i="76"/>
  <c r="G245" i="76" s="1"/>
  <c r="F244" i="76"/>
  <c r="G244" i="76" s="1"/>
  <c r="H244" i="76" s="1"/>
  <c r="F243" i="76"/>
  <c r="G243" i="76" s="1"/>
  <c r="E242" i="76"/>
  <c r="D242" i="76"/>
  <c r="C242" i="76"/>
  <c r="F241" i="76"/>
  <c r="G241" i="76" s="1"/>
  <c r="H241" i="76" s="1"/>
  <c r="F240" i="76"/>
  <c r="G240" i="76" s="1"/>
  <c r="F239" i="76"/>
  <c r="E237" i="76"/>
  <c r="F237" i="76" s="1"/>
  <c r="G237" i="76" s="1"/>
  <c r="G236" i="76" s="1"/>
  <c r="F235" i="76"/>
  <c r="F233" i="76"/>
  <c r="G233" i="76" s="1"/>
  <c r="F232" i="76"/>
  <c r="G232" i="76" s="1"/>
  <c r="H232" i="76" s="1"/>
  <c r="F230" i="76"/>
  <c r="F229" i="76"/>
  <c r="F226" i="76"/>
  <c r="F225" i="76"/>
  <c r="G225" i="76" s="1"/>
  <c r="F224" i="76"/>
  <c r="G224" i="76" s="1"/>
  <c r="H224" i="76" s="1"/>
  <c r="F223" i="76"/>
  <c r="G223" i="76" s="1"/>
  <c r="H223" i="76" s="1"/>
  <c r="F222" i="76"/>
  <c r="F221" i="76"/>
  <c r="G221" i="76" s="1"/>
  <c r="F220" i="76"/>
  <c r="F219" i="76"/>
  <c r="G219" i="76" s="1"/>
  <c r="H219" i="76" s="1"/>
  <c r="F218" i="76"/>
  <c r="F217" i="76"/>
  <c r="F216" i="76"/>
  <c r="F214" i="76"/>
  <c r="G214" i="76" s="1"/>
  <c r="F213" i="76"/>
  <c r="E212" i="76"/>
  <c r="D212" i="76"/>
  <c r="C212" i="76"/>
  <c r="F211" i="76"/>
  <c r="F210" i="76"/>
  <c r="G210" i="76" s="1"/>
  <c r="H210" i="76" s="1"/>
  <c r="F208" i="76"/>
  <c r="G208" i="76" s="1"/>
  <c r="E207" i="76"/>
  <c r="F206" i="76"/>
  <c r="G206" i="76" s="1"/>
  <c r="F205" i="76"/>
  <c r="F203" i="76"/>
  <c r="G203" i="76" s="1"/>
  <c r="F202" i="76"/>
  <c r="G202" i="76" s="1"/>
  <c r="F201" i="76"/>
  <c r="G201" i="76" s="1"/>
  <c r="H201" i="76" s="1"/>
  <c r="F200" i="76"/>
  <c r="G200" i="76" s="1"/>
  <c r="F199" i="76"/>
  <c r="G199" i="76" s="1"/>
  <c r="E198" i="76"/>
  <c r="F198" i="76" s="1"/>
  <c r="F196" i="76"/>
  <c r="G196" i="76" s="1"/>
  <c r="F195" i="76"/>
  <c r="G195" i="76" s="1"/>
  <c r="F193" i="76"/>
  <c r="G193" i="76" s="1"/>
  <c r="F192" i="76"/>
  <c r="G192" i="76" s="1"/>
  <c r="F191" i="76"/>
  <c r="G191" i="76" s="1"/>
  <c r="H191" i="76" s="1"/>
  <c r="F190" i="76"/>
  <c r="G190" i="76" s="1"/>
  <c r="F189" i="76"/>
  <c r="G189" i="76" s="1"/>
  <c r="F188" i="76"/>
  <c r="G188" i="76" s="1"/>
  <c r="F187" i="76"/>
  <c r="G187" i="76" s="1"/>
  <c r="H187" i="76" s="1"/>
  <c r="F186" i="76"/>
  <c r="G186" i="76" s="1"/>
  <c r="F185" i="76"/>
  <c r="G185" i="76" s="1"/>
  <c r="F184" i="76"/>
  <c r="G184" i="76" s="1"/>
  <c r="F183" i="76"/>
  <c r="G183" i="76" s="1"/>
  <c r="H183" i="76" s="1"/>
  <c r="F182" i="76"/>
  <c r="G182" i="76" s="1"/>
  <c r="F181" i="76"/>
  <c r="F180" i="76"/>
  <c r="G180" i="76" s="1"/>
  <c r="H180" i="76" s="1"/>
  <c r="F179" i="76"/>
  <c r="F177" i="76"/>
  <c r="G177" i="76" s="1"/>
  <c r="F176" i="76"/>
  <c r="G176" i="76" s="1"/>
  <c r="F175" i="76"/>
  <c r="G175" i="76" s="1"/>
  <c r="F174" i="76"/>
  <c r="G174" i="76" s="1"/>
  <c r="F173" i="76"/>
  <c r="G173" i="76" s="1"/>
  <c r="F172" i="76"/>
  <c r="E171" i="76"/>
  <c r="D171" i="76"/>
  <c r="C171" i="76"/>
  <c r="F170" i="76"/>
  <c r="G170" i="76" s="1"/>
  <c r="E169" i="76"/>
  <c r="F169" i="76" s="1"/>
  <c r="G169" i="76" s="1"/>
  <c r="F168" i="76"/>
  <c r="F167" i="76" s="1"/>
  <c r="G167" i="76" s="1"/>
  <c r="F166" i="76"/>
  <c r="G166" i="76" s="1"/>
  <c r="F165" i="76"/>
  <c r="G165" i="76" s="1"/>
  <c r="F164" i="76"/>
  <c r="G164" i="76" s="1"/>
  <c r="H164" i="76" s="1"/>
  <c r="F163" i="76"/>
  <c r="F161" i="76"/>
  <c r="G161" i="76" s="1"/>
  <c r="F160" i="76"/>
  <c r="G160" i="76" s="1"/>
  <c r="F159" i="76"/>
  <c r="G159" i="76" s="1"/>
  <c r="F158" i="76"/>
  <c r="G158" i="76" s="1"/>
  <c r="F157" i="76"/>
  <c r="G157" i="76" s="1"/>
  <c r="F156" i="76"/>
  <c r="F155" i="76" s="1"/>
  <c r="G155" i="76" s="1"/>
  <c r="F154" i="76"/>
  <c r="G154" i="76" s="1"/>
  <c r="F153" i="76"/>
  <c r="G153" i="76" s="1"/>
  <c r="F152" i="76"/>
  <c r="G152" i="76" s="1"/>
  <c r="F151" i="76"/>
  <c r="G151" i="76" s="1"/>
  <c r="F150" i="76"/>
  <c r="G150" i="76" s="1"/>
  <c r="F147" i="76"/>
  <c r="G147" i="76" s="1"/>
  <c r="F146" i="76"/>
  <c r="G146" i="76" s="1"/>
  <c r="F145" i="76"/>
  <c r="G145" i="76" s="1"/>
  <c r="F144" i="76"/>
  <c r="G144" i="76" s="1"/>
  <c r="F143" i="76"/>
  <c r="G143" i="76" s="1"/>
  <c r="F142" i="76"/>
  <c r="G142" i="76" s="1"/>
  <c r="F141" i="76"/>
  <c r="G141" i="76" s="1"/>
  <c r="F140" i="76"/>
  <c r="G140" i="76" s="1"/>
  <c r="F139" i="76"/>
  <c r="G139" i="76" s="1"/>
  <c r="F138" i="76"/>
  <c r="G138" i="76" s="1"/>
  <c r="F137" i="76"/>
  <c r="H137" i="76" s="1"/>
  <c r="G136" i="76"/>
  <c r="F135" i="76"/>
  <c r="G135" i="76" s="1"/>
  <c r="F134" i="76"/>
  <c r="G134" i="76" s="1"/>
  <c r="H134" i="76" s="1"/>
  <c r="E133" i="76"/>
  <c r="F133" i="76" s="1"/>
  <c r="G133" i="76" s="1"/>
  <c r="D132" i="76"/>
  <c r="C132" i="76"/>
  <c r="F131" i="76"/>
  <c r="G131" i="76" s="1"/>
  <c r="F130" i="76"/>
  <c r="G130" i="76" s="1"/>
  <c r="F129" i="76"/>
  <c r="G129" i="76" s="1"/>
  <c r="H129" i="76" s="1"/>
  <c r="F128" i="76"/>
  <c r="G128" i="76" s="1"/>
  <c r="F127" i="76"/>
  <c r="G127" i="76" s="1"/>
  <c r="F126" i="76"/>
  <c r="G126" i="76" s="1"/>
  <c r="F125" i="76"/>
  <c r="G125" i="76" s="1"/>
  <c r="F124" i="76"/>
  <c r="G124" i="76" s="1"/>
  <c r="F123" i="76"/>
  <c r="G123" i="76" s="1"/>
  <c r="F122" i="76"/>
  <c r="G122" i="76" s="1"/>
  <c r="F121" i="76"/>
  <c r="G121" i="76" s="1"/>
  <c r="E120" i="76"/>
  <c r="F119" i="76"/>
  <c r="G119" i="76" s="1"/>
  <c r="F118" i="76"/>
  <c r="G118" i="76" s="1"/>
  <c r="H118" i="76" s="1"/>
  <c r="F117" i="76"/>
  <c r="G117" i="76" s="1"/>
  <c r="F116" i="76"/>
  <c r="G116" i="76" s="1"/>
  <c r="F115" i="76"/>
  <c r="G115" i="76" s="1"/>
  <c r="F114" i="76"/>
  <c r="F112" i="76"/>
  <c r="F111" i="76"/>
  <c r="G111" i="76" s="1"/>
  <c r="F110" i="76"/>
  <c r="G110" i="76" s="1"/>
  <c r="F109" i="76"/>
  <c r="G109" i="76" s="1"/>
  <c r="F108" i="76"/>
  <c r="G108" i="76" s="1"/>
  <c r="F107" i="76"/>
  <c r="G107" i="76" s="1"/>
  <c r="F106" i="76"/>
  <c r="G106" i="76" s="1"/>
  <c r="F105" i="76"/>
  <c r="G105" i="76" s="1"/>
  <c r="F104" i="76"/>
  <c r="F103" i="76"/>
  <c r="G103" i="76" s="1"/>
  <c r="F102" i="76"/>
  <c r="G102" i="76" s="1"/>
  <c r="F101" i="76"/>
  <c r="F99" i="76"/>
  <c r="G99" i="76" s="1"/>
  <c r="H99" i="76" s="1"/>
  <c r="F98" i="76"/>
  <c r="G98" i="76" s="1"/>
  <c r="F97" i="76"/>
  <c r="G97" i="76" s="1"/>
  <c r="F96" i="76"/>
  <c r="G96" i="76" s="1"/>
  <c r="E95" i="76"/>
  <c r="D95" i="76"/>
  <c r="C95" i="76"/>
  <c r="F94" i="76"/>
  <c r="G94" i="76" s="1"/>
  <c r="F93" i="76"/>
  <c r="G93" i="76" s="1"/>
  <c r="E92" i="76"/>
  <c r="F92" i="76" s="1"/>
  <c r="G92" i="76" s="1"/>
  <c r="F90" i="76"/>
  <c r="G90" i="76" s="1"/>
  <c r="F89" i="76"/>
  <c r="F88" i="76"/>
  <c r="G88" i="76" s="1"/>
  <c r="F87" i="76"/>
  <c r="G87" i="76" s="1"/>
  <c r="F86" i="76"/>
  <c r="G86" i="76" s="1"/>
  <c r="F85" i="76"/>
  <c r="G85" i="76" s="1"/>
  <c r="F84" i="76"/>
  <c r="G84" i="76" s="1"/>
  <c r="F83" i="76"/>
  <c r="F81" i="76"/>
  <c r="F80" i="76"/>
  <c r="F78" i="76"/>
  <c r="G78" i="76" s="1"/>
  <c r="F77" i="76"/>
  <c r="G77" i="76" s="1"/>
  <c r="F76" i="76"/>
  <c r="G76" i="76" s="1"/>
  <c r="F75" i="76"/>
  <c r="G75" i="76" s="1"/>
  <c r="F74" i="76"/>
  <c r="G74" i="76" s="1"/>
  <c r="F73" i="76"/>
  <c r="G73" i="76" s="1"/>
  <c r="F72" i="76"/>
  <c r="G72" i="76" s="1"/>
  <c r="E71" i="76"/>
  <c r="F71" i="76" s="1"/>
  <c r="G71" i="76" s="1"/>
  <c r="D70" i="76"/>
  <c r="F69" i="76"/>
  <c r="F68" i="76"/>
  <c r="G68" i="76" s="1"/>
  <c r="H68" i="76" s="1"/>
  <c r="F67" i="76"/>
  <c r="G67" i="76" s="1"/>
  <c r="H67" i="76" s="1"/>
  <c r="F66" i="76"/>
  <c r="G66" i="76" s="1"/>
  <c r="F65" i="76"/>
  <c r="F64" i="76"/>
  <c r="G64" i="76" s="1"/>
  <c r="H64" i="76" s="1"/>
  <c r="F63" i="76"/>
  <c r="G63" i="76" s="1"/>
  <c r="H63" i="76" s="1"/>
  <c r="F62" i="76"/>
  <c r="F61" i="76"/>
  <c r="F60" i="76"/>
  <c r="G60" i="76" s="1"/>
  <c r="H60" i="76" s="1"/>
  <c r="F59" i="76"/>
  <c r="G59" i="76" s="1"/>
  <c r="H59" i="76" s="1"/>
  <c r="F58" i="76"/>
  <c r="F57" i="76"/>
  <c r="F56" i="76"/>
  <c r="G56" i="76" s="1"/>
  <c r="H56" i="76" s="1"/>
  <c r="F55" i="76"/>
  <c r="G55" i="76" s="1"/>
  <c r="H55" i="76" s="1"/>
  <c r="F54" i="76"/>
  <c r="F53" i="76"/>
  <c r="F52" i="76"/>
  <c r="G52" i="76" s="1"/>
  <c r="F51" i="76"/>
  <c r="G51" i="76" s="1"/>
  <c r="H51" i="76" s="1"/>
  <c r="F48" i="76"/>
  <c r="G48" i="76" s="1"/>
  <c r="H48" i="76" s="1"/>
  <c r="F47" i="76"/>
  <c r="G47" i="76" s="1"/>
  <c r="H47" i="76" s="1"/>
  <c r="F46" i="76"/>
  <c r="F45" i="76"/>
  <c r="F44" i="76"/>
  <c r="G44" i="76" s="1"/>
  <c r="H44" i="76" s="1"/>
  <c r="F43" i="76"/>
  <c r="G43" i="76" s="1"/>
  <c r="H43" i="76" s="1"/>
  <c r="F42" i="76"/>
  <c r="F41" i="76"/>
  <c r="D39" i="76"/>
  <c r="G38" i="76"/>
  <c r="H38" i="76" s="1"/>
  <c r="G37" i="76"/>
  <c r="H37" i="76" s="1"/>
  <c r="G36" i="76"/>
  <c r="H36" i="76" s="1"/>
  <c r="G35" i="76"/>
  <c r="H35" i="76" s="1"/>
  <c r="G34" i="76"/>
  <c r="H34" i="76" s="1"/>
  <c r="G33" i="76"/>
  <c r="H33" i="76" s="1"/>
  <c r="G32" i="76"/>
  <c r="H32" i="76" s="1"/>
  <c r="G31" i="76"/>
  <c r="H31" i="76" s="1"/>
  <c r="G30" i="76"/>
  <c r="H30" i="76" s="1"/>
  <c r="G29" i="76"/>
  <c r="H29" i="76" s="1"/>
  <c r="G28" i="76"/>
  <c r="H28" i="76" s="1"/>
  <c r="G27" i="76"/>
  <c r="H27" i="76" s="1"/>
  <c r="G26" i="76"/>
  <c r="F24" i="76"/>
  <c r="D24" i="76"/>
  <c r="F23" i="76"/>
  <c r="F22" i="76"/>
  <c r="F21" i="76"/>
  <c r="G21" i="76" s="1"/>
  <c r="G20" i="76" s="1"/>
  <c r="E20" i="76"/>
  <c r="D20" i="76"/>
  <c r="F19" i="76"/>
  <c r="G19" i="76" s="1"/>
  <c r="H19" i="76" s="1"/>
  <c r="F18" i="76"/>
  <c r="G18" i="76" s="1"/>
  <c r="H18" i="76" s="1"/>
  <c r="F17" i="76"/>
  <c r="F16" i="76"/>
  <c r="F15" i="76"/>
  <c r="G15" i="76" s="1"/>
  <c r="H15" i="76" s="1"/>
  <c r="F14" i="76"/>
  <c r="G14" i="76" s="1"/>
  <c r="H14" i="76" s="1"/>
  <c r="F13" i="76"/>
  <c r="F12" i="76"/>
  <c r="F11" i="76"/>
  <c r="G11" i="76" s="1"/>
  <c r="D10" i="76"/>
  <c r="C23" i="52"/>
  <c r="C22" i="52"/>
  <c r="C21" i="52"/>
  <c r="C20" i="52"/>
  <c r="C19" i="52"/>
  <c r="C18" i="52"/>
  <c r="C17" i="52"/>
  <c r="C16" i="52"/>
  <c r="F204" i="76" l="1"/>
  <c r="G70" i="76"/>
  <c r="E197" i="76"/>
  <c r="D63" i="2"/>
  <c r="F212" i="76"/>
  <c r="G212" i="76" s="1"/>
  <c r="H212" i="76" s="1"/>
  <c r="F82" i="76"/>
  <c r="F120" i="76"/>
  <c r="G168" i="76"/>
  <c r="H168" i="76" s="1"/>
  <c r="F276" i="76"/>
  <c r="G276" i="76" s="1"/>
  <c r="H276" i="76" s="1"/>
  <c r="G284" i="76"/>
  <c r="H264" i="76"/>
  <c r="H285" i="76"/>
  <c r="G204" i="76"/>
  <c r="H204" i="76" s="1"/>
  <c r="G24" i="76"/>
  <c r="G83" i="76"/>
  <c r="H83" i="76" s="1"/>
  <c r="G113" i="76"/>
  <c r="G205" i="76"/>
  <c r="H205" i="76" s="1"/>
  <c r="F207" i="76"/>
  <c r="G207" i="76" s="1"/>
  <c r="H207" i="76" s="1"/>
  <c r="G213" i="76"/>
  <c r="H213" i="76" s="1"/>
  <c r="H323" i="76"/>
  <c r="F324" i="76"/>
  <c r="G324" i="76" s="1"/>
  <c r="H324" i="76" s="1"/>
  <c r="H326" i="76"/>
  <c r="H26" i="76"/>
  <c r="H24" i="76" s="1"/>
  <c r="F149" i="76"/>
  <c r="G149" i="76" s="1"/>
  <c r="H149" i="76" s="1"/>
  <c r="G156" i="76"/>
  <c r="H156" i="76" s="1"/>
  <c r="H200" i="76"/>
  <c r="H202" i="76"/>
  <c r="H206" i="76"/>
  <c r="H214" i="76"/>
  <c r="H305" i="76"/>
  <c r="G198" i="76"/>
  <c r="H198" i="76" s="1"/>
  <c r="F197" i="76"/>
  <c r="G197" i="76" s="1"/>
  <c r="H197" i="76" s="1"/>
  <c r="H21" i="76"/>
  <c r="H20" i="76" s="1"/>
  <c r="H52" i="76"/>
  <c r="E91" i="76"/>
  <c r="H102" i="76"/>
  <c r="G104" i="76"/>
  <c r="H104" i="76" s="1"/>
  <c r="H110" i="76"/>
  <c r="G112" i="76"/>
  <c r="H112" i="76" s="1"/>
  <c r="H116" i="76"/>
  <c r="F136" i="76"/>
  <c r="H136" i="76" s="1"/>
  <c r="H140" i="76"/>
  <c r="G172" i="76"/>
  <c r="H172" i="76" s="1"/>
  <c r="H182" i="76"/>
  <c r="H184" i="76"/>
  <c r="H186" i="76"/>
  <c r="H188" i="76"/>
  <c r="H190" i="76"/>
  <c r="H192" i="76"/>
  <c r="G229" i="76"/>
  <c r="H229" i="76" s="1"/>
  <c r="H233" i="76"/>
  <c r="G235" i="76"/>
  <c r="H235" i="76" s="1"/>
  <c r="H237" i="76"/>
  <c r="H236" i="76" s="1"/>
  <c r="H243" i="76"/>
  <c r="H257" i="76"/>
  <c r="H267" i="76"/>
  <c r="H270" i="76"/>
  <c r="F272" i="76"/>
  <c r="G272" i="76" s="1"/>
  <c r="H272" i="76" s="1"/>
  <c r="H274" i="76"/>
  <c r="G279" i="76"/>
  <c r="H279" i="76" s="1"/>
  <c r="H286" i="76"/>
  <c r="H293" i="76"/>
  <c r="H297" i="76"/>
  <c r="H310" i="76"/>
  <c r="H327" i="76"/>
  <c r="H334" i="76"/>
  <c r="H96" i="76"/>
  <c r="H142" i="76"/>
  <c r="H176" i="76"/>
  <c r="H221" i="76"/>
  <c r="H249" i="76"/>
  <c r="H288" i="76"/>
  <c r="H302" i="76"/>
  <c r="H329" i="76"/>
  <c r="H328" i="76" s="1"/>
  <c r="F95" i="76"/>
  <c r="H108" i="76"/>
  <c r="H138" i="76"/>
  <c r="H146" i="76"/>
  <c r="F171" i="76"/>
  <c r="F228" i="76"/>
  <c r="F236" i="76"/>
  <c r="H85" i="76"/>
  <c r="H93" i="76"/>
  <c r="H98" i="76"/>
  <c r="H166" i="76"/>
  <c r="H174" i="76"/>
  <c r="H245" i="76"/>
  <c r="H314" i="76"/>
  <c r="H11" i="76"/>
  <c r="G81" i="76"/>
  <c r="H81" i="76" s="1"/>
  <c r="H87" i="76"/>
  <c r="G89" i="76"/>
  <c r="H89" i="76" s="1"/>
  <c r="H97" i="76"/>
  <c r="H106" i="76"/>
  <c r="G114" i="76"/>
  <c r="H114" i="76" s="1"/>
  <c r="H135" i="76"/>
  <c r="H144" i="76"/>
  <c r="H173" i="76"/>
  <c r="H175" i="76"/>
  <c r="H177" i="76"/>
  <c r="H196" i="76"/>
  <c r="H208" i="76"/>
  <c r="G217" i="76"/>
  <c r="H217" i="76" s="1"/>
  <c r="H225" i="76"/>
  <c r="F234" i="76"/>
  <c r="G234" i="76" s="1"/>
  <c r="H234" i="76" s="1"/>
  <c r="H240" i="76"/>
  <c r="H253" i="76"/>
  <c r="G255" i="76"/>
  <c r="H255" i="76" s="1"/>
  <c r="H265" i="76"/>
  <c r="G275" i="76"/>
  <c r="H275" i="76" s="1"/>
  <c r="G282" i="76"/>
  <c r="H282" i="76" s="1"/>
  <c r="H290" i="76"/>
  <c r="G294" i="76"/>
  <c r="H294" i="76" s="1"/>
  <c r="G298" i="76"/>
  <c r="H298" i="76" s="1"/>
  <c r="H306" i="76"/>
  <c r="H313" i="76"/>
  <c r="F328" i="76"/>
  <c r="H331" i="76"/>
  <c r="G13" i="76"/>
  <c r="H13" i="76" s="1"/>
  <c r="G23" i="76"/>
  <c r="H23" i="76" s="1"/>
  <c r="G54" i="76"/>
  <c r="G62" i="76"/>
  <c r="H62" i="76" s="1"/>
  <c r="G58" i="76"/>
  <c r="H58" i="76" s="1"/>
  <c r="G42" i="76"/>
  <c r="H42" i="76" s="1"/>
  <c r="G17" i="76"/>
  <c r="H17" i="76" s="1"/>
  <c r="G46" i="76"/>
  <c r="H46" i="76" s="1"/>
  <c r="G220" i="76"/>
  <c r="H220" i="76" s="1"/>
  <c r="G321" i="76"/>
  <c r="H321" i="76" s="1"/>
  <c r="H84" i="76"/>
  <c r="H90" i="76"/>
  <c r="H165" i="76"/>
  <c r="G218" i="76"/>
  <c r="H218" i="76" s="1"/>
  <c r="G246" i="76"/>
  <c r="H246" i="76" s="1"/>
  <c r="F242" i="76"/>
  <c r="G262" i="76"/>
  <c r="H262" i="76" s="1"/>
  <c r="F261" i="76"/>
  <c r="G12" i="76"/>
  <c r="G16" i="76"/>
  <c r="H16" i="76" s="1"/>
  <c r="G22" i="76"/>
  <c r="H22" i="76" s="1"/>
  <c r="F39" i="76"/>
  <c r="G41" i="76"/>
  <c r="G45" i="76"/>
  <c r="H45" i="76" s="1"/>
  <c r="G53" i="76"/>
  <c r="H53" i="76" s="1"/>
  <c r="G57" i="76"/>
  <c r="H57" i="76" s="1"/>
  <c r="G61" i="76"/>
  <c r="H61" i="76" s="1"/>
  <c r="G65" i="76"/>
  <c r="H65" i="76" s="1"/>
  <c r="H66" i="76"/>
  <c r="G69" i="76"/>
  <c r="H69" i="76" s="1"/>
  <c r="H72" i="76"/>
  <c r="H74" i="76"/>
  <c r="H76" i="76"/>
  <c r="H78" i="76"/>
  <c r="G101" i="76"/>
  <c r="H101" i="76" s="1"/>
  <c r="F100" i="76"/>
  <c r="F113" i="76"/>
  <c r="H122" i="76"/>
  <c r="H124" i="76"/>
  <c r="H126" i="76"/>
  <c r="H128" i="76"/>
  <c r="H130" i="76"/>
  <c r="H151" i="76"/>
  <c r="H153" i="76"/>
  <c r="H155" i="76"/>
  <c r="H157" i="76"/>
  <c r="H159" i="76"/>
  <c r="H161" i="76"/>
  <c r="G179" i="76"/>
  <c r="H179" i="76" s="1"/>
  <c r="F178" i="76"/>
  <c r="G181" i="76"/>
  <c r="H181" i="76" s="1"/>
  <c r="G216" i="76"/>
  <c r="G215" i="76" s="1"/>
  <c r="F215" i="76"/>
  <c r="H248" i="76"/>
  <c r="H247" i="76" s="1"/>
  <c r="G247" i="76"/>
  <c r="G258" i="76"/>
  <c r="H258" i="76" s="1"/>
  <c r="G268" i="76"/>
  <c r="H268" i="76" s="1"/>
  <c r="F266" i="76"/>
  <c r="G271" i="76"/>
  <c r="H271" i="76" s="1"/>
  <c r="G303" i="76"/>
  <c r="H303" i="76" s="1"/>
  <c r="G319" i="76"/>
  <c r="H319" i="76" s="1"/>
  <c r="F318" i="76"/>
  <c r="G80" i="76"/>
  <c r="G163" i="76"/>
  <c r="H163" i="76" s="1"/>
  <c r="F162" i="76"/>
  <c r="H169" i="76"/>
  <c r="G211" i="76"/>
  <c r="H211" i="76" s="1"/>
  <c r="G291" i="76"/>
  <c r="H291" i="76" s="1"/>
  <c r="H86" i="76"/>
  <c r="H88" i="76"/>
  <c r="F132" i="76"/>
  <c r="H133" i="76"/>
  <c r="H167" i="76"/>
  <c r="H195" i="76"/>
  <c r="F209" i="76"/>
  <c r="G250" i="76"/>
  <c r="H250" i="76" s="1"/>
  <c r="G332" i="76"/>
  <c r="H332" i="76" s="1"/>
  <c r="F10" i="76"/>
  <c r="F20" i="76"/>
  <c r="F70" i="76"/>
  <c r="F50" i="76" s="1"/>
  <c r="H71" i="76"/>
  <c r="H73" i="76"/>
  <c r="H75" i="76"/>
  <c r="H77" i="76"/>
  <c r="F91" i="76"/>
  <c r="H92" i="76"/>
  <c r="H94" i="76"/>
  <c r="H103" i="76"/>
  <c r="H105" i="76"/>
  <c r="H107" i="76"/>
  <c r="H109" i="76"/>
  <c r="H111" i="76"/>
  <c r="H115" i="76"/>
  <c r="H117" i="76"/>
  <c r="H119" i="76"/>
  <c r="H121" i="76"/>
  <c r="H123" i="76"/>
  <c r="H125" i="76"/>
  <c r="H127" i="76"/>
  <c r="H131" i="76"/>
  <c r="E132" i="76"/>
  <c r="H139" i="76"/>
  <c r="H141" i="76"/>
  <c r="H143" i="76"/>
  <c r="H145" i="76"/>
  <c r="H147" i="76"/>
  <c r="H150" i="76"/>
  <c r="H152" i="76"/>
  <c r="H154" i="76"/>
  <c r="H158" i="76"/>
  <c r="H160" i="76"/>
  <c r="H170" i="76"/>
  <c r="G222" i="76"/>
  <c r="H222" i="76" s="1"/>
  <c r="G311" i="76"/>
  <c r="H311" i="76" s="1"/>
  <c r="H199" i="76"/>
  <c r="H203" i="76"/>
  <c r="G226" i="76"/>
  <c r="H226" i="76" s="1"/>
  <c r="G239" i="76"/>
  <c r="H239" i="76" s="1"/>
  <c r="F238" i="76"/>
  <c r="G254" i="76"/>
  <c r="H254" i="76" s="1"/>
  <c r="H259" i="76"/>
  <c r="H263" i="76"/>
  <c r="G307" i="76"/>
  <c r="H307" i="76" s="1"/>
  <c r="G320" i="76"/>
  <c r="H320" i="76" s="1"/>
  <c r="H333" i="76"/>
  <c r="G336" i="76"/>
  <c r="H336" i="76" s="1"/>
  <c r="H185" i="76"/>
  <c r="H189" i="76"/>
  <c r="H193" i="76"/>
  <c r="G230" i="76"/>
  <c r="H230" i="76" s="1"/>
  <c r="H251" i="76"/>
  <c r="H273" i="76"/>
  <c r="G287" i="76"/>
  <c r="H287" i="76" s="1"/>
  <c r="H292" i="76"/>
  <c r="G299" i="76"/>
  <c r="H299" i="76" s="1"/>
  <c r="G315" i="76"/>
  <c r="H315" i="76" s="1"/>
  <c r="H325" i="76"/>
  <c r="G335" i="76"/>
  <c r="H335" i="76" s="1"/>
  <c r="G339" i="76"/>
  <c r="H339" i="76" s="1"/>
  <c r="F231" i="76"/>
  <c r="F247" i="76"/>
  <c r="F280" i="76"/>
  <c r="F296" i="76"/>
  <c r="G82" i="76" l="1"/>
  <c r="H82" i="76"/>
  <c r="G120" i="76"/>
  <c r="H120" i="76"/>
  <c r="G283" i="76"/>
  <c r="H284" i="76"/>
  <c r="H283" i="76" s="1"/>
  <c r="F79" i="76"/>
  <c r="F194" i="76"/>
  <c r="F227" i="76"/>
  <c r="H113" i="76"/>
  <c r="H216" i="76"/>
  <c r="H215" i="76" s="1"/>
  <c r="H70" i="76"/>
  <c r="F9" i="76"/>
  <c r="F8" i="76" s="1"/>
  <c r="G95" i="76"/>
  <c r="H95" i="76" s="1"/>
  <c r="F148" i="76"/>
  <c r="G228" i="76"/>
  <c r="H228" i="76" s="1"/>
  <c r="G171" i="76"/>
  <c r="H171" i="76" s="1"/>
  <c r="G100" i="76"/>
  <c r="H100" i="76" s="1"/>
  <c r="F295" i="76"/>
  <c r="G296" i="76"/>
  <c r="H296" i="76" s="1"/>
  <c r="G39" i="76"/>
  <c r="G10" i="76"/>
  <c r="G242" i="76"/>
  <c r="H242" i="76" s="1"/>
  <c r="H41" i="76"/>
  <c r="H39" i="76" s="1"/>
  <c r="G50" i="76"/>
  <c r="G231" i="76"/>
  <c r="H231" i="76" s="1"/>
  <c r="G280" i="76"/>
  <c r="H280" i="76" s="1"/>
  <c r="G132" i="76"/>
  <c r="H132" i="76" s="1"/>
  <c r="G266" i="76"/>
  <c r="H266" i="76" s="1"/>
  <c r="G261" i="76"/>
  <c r="F260" i="76"/>
  <c r="H54" i="76"/>
  <c r="G209" i="76"/>
  <c r="G194" i="76" s="1"/>
  <c r="G178" i="76"/>
  <c r="H178" i="76" s="1"/>
  <c r="G238" i="76"/>
  <c r="H238" i="76" s="1"/>
  <c r="G91" i="76"/>
  <c r="H91" i="76" s="1"/>
  <c r="G162" i="76"/>
  <c r="H162" i="76" s="1"/>
  <c r="G318" i="76"/>
  <c r="H318" i="76" s="1"/>
  <c r="H80" i="76"/>
  <c r="H12" i="76"/>
  <c r="H10" i="76" s="1"/>
  <c r="R137" i="83"/>
  <c r="G55" i="2"/>
  <c r="G54" i="2"/>
  <c r="G53" i="2"/>
  <c r="G52" i="2"/>
  <c r="G51" i="2"/>
  <c r="G50" i="2"/>
  <c r="G49" i="2"/>
  <c r="G48" i="2"/>
  <c r="J55" i="2"/>
  <c r="J54" i="2"/>
  <c r="J53" i="2"/>
  <c r="J52" i="2"/>
  <c r="J51" i="2"/>
  <c r="J50" i="2"/>
  <c r="J49" i="2"/>
  <c r="H50" i="76" l="1"/>
  <c r="H9" i="76"/>
  <c r="H8" i="76" s="1"/>
  <c r="G148" i="76"/>
  <c r="G9" i="76"/>
  <c r="G8" i="76" s="1"/>
  <c r="H148" i="76"/>
  <c r="F49" i="76"/>
  <c r="F7" i="76" s="1"/>
  <c r="H209" i="76"/>
  <c r="H194" i="76" s="1"/>
  <c r="G260" i="76"/>
  <c r="H227" i="76"/>
  <c r="G79" i="76"/>
  <c r="G227" i="76"/>
  <c r="H261" i="76"/>
  <c r="H260" i="76" s="1"/>
  <c r="G295" i="76"/>
  <c r="H79" i="76"/>
  <c r="H295" i="76"/>
  <c r="I18" i="39"/>
  <c r="I16" i="39"/>
  <c r="H28" i="13" l="1"/>
  <c r="G28" i="13"/>
  <c r="G213" i="13"/>
  <c r="H213" i="13"/>
  <c r="N213" i="13" s="1"/>
  <c r="H136" i="13"/>
  <c r="G136" i="13"/>
  <c r="G198" i="13"/>
  <c r="H49" i="76"/>
  <c r="H7" i="76" s="1"/>
  <c r="G49" i="76"/>
  <c r="G7" i="76" s="1"/>
  <c r="F37" i="2"/>
  <c r="F36" i="2"/>
  <c r="F35" i="2"/>
  <c r="F34" i="2"/>
  <c r="F33" i="2"/>
  <c r="F32" i="2"/>
  <c r="F31" i="2"/>
  <c r="F30" i="2"/>
  <c r="D37" i="2"/>
  <c r="D36" i="2"/>
  <c r="D35" i="2"/>
  <c r="D34" i="2"/>
  <c r="D33" i="2"/>
  <c r="D32" i="2"/>
  <c r="D31" i="2"/>
  <c r="D30" i="2"/>
  <c r="I23" i="39" l="1"/>
  <c r="I22" i="39"/>
  <c r="I21" i="39"/>
  <c r="I20" i="39"/>
  <c r="I17" i="39"/>
  <c r="F150" i="69"/>
  <c r="F149" i="69"/>
  <c r="D148" i="69"/>
  <c r="F148" i="69" s="1"/>
  <c r="D147" i="69"/>
  <c r="F147" i="69" s="1"/>
  <c r="F146" i="69"/>
  <c r="F145" i="69"/>
  <c r="G145" i="69" s="1"/>
  <c r="H145" i="69" s="1"/>
  <c r="F144" i="69"/>
  <c r="G144" i="69" s="1"/>
  <c r="H144" i="69" s="1"/>
  <c r="E143" i="69"/>
  <c r="F143" i="69" s="1"/>
  <c r="E142" i="69"/>
  <c r="F142" i="69" s="1"/>
  <c r="F141" i="69"/>
  <c r="F140" i="69"/>
  <c r="G140" i="69" s="1"/>
  <c r="H140" i="69" s="1"/>
  <c r="F137" i="69"/>
  <c r="G137" i="69" s="1"/>
  <c r="H137" i="69" s="1"/>
  <c r="F136" i="69"/>
  <c r="G136" i="69" s="1"/>
  <c r="H136" i="69" s="1"/>
  <c r="D135" i="69"/>
  <c r="F135" i="69" s="1"/>
  <c r="F134" i="69"/>
  <c r="F133" i="69"/>
  <c r="F132" i="69"/>
  <c r="F131" i="69"/>
  <c r="E130" i="69"/>
  <c r="F130" i="69" s="1"/>
  <c r="E129" i="69"/>
  <c r="F129" i="69" s="1"/>
  <c r="F128" i="69"/>
  <c r="F127" i="69"/>
  <c r="G127" i="69" s="1"/>
  <c r="H127" i="69" s="1"/>
  <c r="F124" i="69"/>
  <c r="F123" i="69"/>
  <c r="H123" i="69" s="1"/>
  <c r="D122" i="69"/>
  <c r="F122" i="69" s="1"/>
  <c r="D121" i="69"/>
  <c r="F121" i="69" s="1"/>
  <c r="F120" i="69"/>
  <c r="F119" i="69"/>
  <c r="F118" i="69"/>
  <c r="E117" i="69"/>
  <c r="F117" i="69" s="1"/>
  <c r="E116" i="69"/>
  <c r="F116" i="69" s="1"/>
  <c r="F115" i="69"/>
  <c r="F114" i="69"/>
  <c r="F111" i="69"/>
  <c r="G111" i="69" s="1"/>
  <c r="F110" i="69"/>
  <c r="H110" i="69" s="1"/>
  <c r="F109" i="69"/>
  <c r="D108" i="69"/>
  <c r="F108" i="69" s="1"/>
  <c r="D107" i="69"/>
  <c r="F107" i="69" s="1"/>
  <c r="F106" i="69"/>
  <c r="G106" i="69" s="1"/>
  <c r="H106" i="69" s="1"/>
  <c r="F105" i="69"/>
  <c r="G105" i="69" s="1"/>
  <c r="H105" i="69" s="1"/>
  <c r="F104" i="69"/>
  <c r="F103" i="69"/>
  <c r="G103" i="69" s="1"/>
  <c r="H103" i="69" s="1"/>
  <c r="E102" i="69"/>
  <c r="F102" i="69" s="1"/>
  <c r="E101" i="69"/>
  <c r="F101" i="69" s="1"/>
  <c r="F100" i="69"/>
  <c r="F99" i="69"/>
  <c r="F96" i="69"/>
  <c r="G96" i="69" s="1"/>
  <c r="H96" i="69" s="1"/>
  <c r="F95" i="69"/>
  <c r="D94" i="69"/>
  <c r="F94" i="69" s="1"/>
  <c r="D93" i="69"/>
  <c r="F93" i="69" s="1"/>
  <c r="F92" i="69"/>
  <c r="F91" i="69"/>
  <c r="E90" i="69"/>
  <c r="F90" i="69" s="1"/>
  <c r="E89" i="69"/>
  <c r="F89" i="69" s="1"/>
  <c r="G89" i="69" s="1"/>
  <c r="H89" i="69" s="1"/>
  <c r="F88" i="69"/>
  <c r="G88" i="69" s="1"/>
  <c r="H88" i="69" s="1"/>
  <c r="F87" i="69"/>
  <c r="F84" i="69"/>
  <c r="G84" i="69" s="1"/>
  <c r="H84" i="69" s="1"/>
  <c r="F83" i="69"/>
  <c r="D82" i="69"/>
  <c r="F82" i="69" s="1"/>
  <c r="G82" i="69" s="1"/>
  <c r="H82" i="69" s="1"/>
  <c r="D81" i="69"/>
  <c r="F81" i="69" s="1"/>
  <c r="G81" i="69" s="1"/>
  <c r="H81" i="69" s="1"/>
  <c r="F80" i="69"/>
  <c r="F79" i="69"/>
  <c r="G79" i="69" s="1"/>
  <c r="E78" i="69"/>
  <c r="F78" i="69" s="1"/>
  <c r="E77" i="69"/>
  <c r="F77" i="69" s="1"/>
  <c r="F76" i="69"/>
  <c r="F75" i="69"/>
  <c r="F72" i="69"/>
  <c r="G72" i="69" s="1"/>
  <c r="H72" i="69" s="1"/>
  <c r="F71" i="69"/>
  <c r="F70" i="69"/>
  <c r="G70" i="69" s="1"/>
  <c r="H70" i="69" s="1"/>
  <c r="F69" i="69"/>
  <c r="F68" i="69"/>
  <c r="F67" i="69"/>
  <c r="F66" i="69"/>
  <c r="E65" i="69"/>
  <c r="F65" i="69" s="1"/>
  <c r="E64" i="69"/>
  <c r="F64" i="69" s="1"/>
  <c r="F63" i="69"/>
  <c r="F62" i="69"/>
  <c r="G62" i="69" s="1"/>
  <c r="H62" i="69" s="1"/>
  <c r="F59" i="69"/>
  <c r="G59" i="69" s="1"/>
  <c r="F58" i="69"/>
  <c r="F57" i="69"/>
  <c r="G57" i="69" s="1"/>
  <c r="F56" i="69"/>
  <c r="G56" i="69" s="1"/>
  <c r="H56" i="69" s="1"/>
  <c r="F55" i="69"/>
  <c r="G55" i="69" s="1"/>
  <c r="H55" i="69" s="1"/>
  <c r="F54" i="69"/>
  <c r="F53" i="69"/>
  <c r="F52" i="69"/>
  <c r="G52" i="69" s="1"/>
  <c r="H52" i="69" s="1"/>
  <c r="E51" i="69"/>
  <c r="F51" i="69" s="1"/>
  <c r="E50" i="69"/>
  <c r="F50" i="69" s="1"/>
  <c r="F49" i="69"/>
  <c r="G49" i="69" s="1"/>
  <c r="F48" i="69"/>
  <c r="F44" i="69"/>
  <c r="F42" i="69"/>
  <c r="G42" i="69" s="1"/>
  <c r="F41" i="69"/>
  <c r="G41" i="69" s="1"/>
  <c r="F40" i="69"/>
  <c r="G40" i="69" s="1"/>
  <c r="F39" i="69"/>
  <c r="G39" i="69" s="1"/>
  <c r="F38" i="69"/>
  <c r="G38" i="69" s="1"/>
  <c r="H38" i="69" s="1"/>
  <c r="F37" i="69"/>
  <c r="D36" i="69"/>
  <c r="F36" i="69" s="1"/>
  <c r="G33" i="69"/>
  <c r="H33" i="69" s="1"/>
  <c r="F32" i="69"/>
  <c r="F31" i="69"/>
  <c r="G31" i="69" s="1"/>
  <c r="H31" i="69" s="1"/>
  <c r="F29" i="69"/>
  <c r="G29" i="69" s="1"/>
  <c r="G28" i="69"/>
  <c r="H28" i="69" s="1"/>
  <c r="G27" i="69"/>
  <c r="H27" i="69" s="1"/>
  <c r="G26" i="69"/>
  <c r="F24" i="69"/>
  <c r="F23" i="69"/>
  <c r="G22" i="69"/>
  <c r="H22" i="69" s="1"/>
  <c r="F18" i="69"/>
  <c r="F17" i="69"/>
  <c r="F16" i="69"/>
  <c r="G16" i="69" s="1"/>
  <c r="D14" i="69"/>
  <c r="F14" i="69" s="1"/>
  <c r="F13" i="69" s="1"/>
  <c r="D12" i="69"/>
  <c r="F12" i="69" s="1"/>
  <c r="D28" i="60" l="1"/>
  <c r="G25" i="69"/>
  <c r="H16" i="69"/>
  <c r="F35" i="69"/>
  <c r="F34" i="69" s="1"/>
  <c r="F74" i="69"/>
  <c r="F73" i="69" s="1"/>
  <c r="F139" i="69"/>
  <c r="H49" i="69"/>
  <c r="G69" i="69"/>
  <c r="H69" i="69" s="1"/>
  <c r="H79" i="69"/>
  <c r="F98" i="69"/>
  <c r="F97" i="69" s="1"/>
  <c r="H29" i="69"/>
  <c r="H57" i="69"/>
  <c r="F15" i="69"/>
  <c r="G37" i="69"/>
  <c r="H37" i="69" s="1"/>
  <c r="H40" i="69"/>
  <c r="G53" i="69"/>
  <c r="H53" i="69" s="1"/>
  <c r="H59" i="69"/>
  <c r="G75" i="69"/>
  <c r="H75" i="69" s="1"/>
  <c r="G87" i="69"/>
  <c r="H87" i="69" s="1"/>
  <c r="G99" i="69"/>
  <c r="H99" i="69" s="1"/>
  <c r="H111" i="69"/>
  <c r="G51" i="69"/>
  <c r="H51" i="69" s="1"/>
  <c r="G117" i="69"/>
  <c r="H117" i="69" s="1"/>
  <c r="G147" i="69"/>
  <c r="H147" i="69" s="1"/>
  <c r="G148" i="69"/>
  <c r="H148" i="69" s="1"/>
  <c r="G93" i="69"/>
  <c r="H93" i="69" s="1"/>
  <c r="G12" i="69"/>
  <c r="G11" i="69" s="1"/>
  <c r="F11" i="69"/>
  <c r="G65" i="69"/>
  <c r="H65" i="69" s="1"/>
  <c r="G108" i="69"/>
  <c r="H108" i="69" s="1"/>
  <c r="G121" i="69"/>
  <c r="H121" i="69"/>
  <c r="F138" i="69"/>
  <c r="G122" i="69"/>
  <c r="H122" i="69"/>
  <c r="G50" i="69"/>
  <c r="H50" i="69" s="1"/>
  <c r="G90" i="69"/>
  <c r="H90" i="69" s="1"/>
  <c r="F86" i="69"/>
  <c r="F85" i="69" s="1"/>
  <c r="G94" i="69"/>
  <c r="H94" i="69" s="1"/>
  <c r="G107" i="69"/>
  <c r="H107" i="69" s="1"/>
  <c r="G116" i="69"/>
  <c r="H116" i="69" s="1"/>
  <c r="G14" i="69"/>
  <c r="G18" i="69"/>
  <c r="H18" i="69" s="1"/>
  <c r="G24" i="69"/>
  <c r="H24" i="69" s="1"/>
  <c r="G32" i="69"/>
  <c r="H32" i="69" s="1"/>
  <c r="G36" i="69"/>
  <c r="G44" i="69"/>
  <c r="H44" i="69" s="1"/>
  <c r="F47" i="69"/>
  <c r="F46" i="69" s="1"/>
  <c r="G48" i="69"/>
  <c r="H48" i="69" s="1"/>
  <c r="G54" i="69"/>
  <c r="H54" i="69" s="1"/>
  <c r="G58" i="69"/>
  <c r="H58" i="69" s="1"/>
  <c r="F61" i="69"/>
  <c r="F60" i="69" s="1"/>
  <c r="G66" i="69"/>
  <c r="H66" i="69" s="1"/>
  <c r="G68" i="69"/>
  <c r="G60" i="69" s="1"/>
  <c r="D31" i="60" s="1"/>
  <c r="G77" i="69"/>
  <c r="G74" i="69" s="1"/>
  <c r="G73" i="69" s="1"/>
  <c r="D32" i="60" s="1"/>
  <c r="G101" i="69"/>
  <c r="H101" i="69" s="1"/>
  <c r="G102" i="69"/>
  <c r="H102" i="69" s="1"/>
  <c r="G110" i="69"/>
  <c r="F113" i="69"/>
  <c r="F112" i="69" s="1"/>
  <c r="G114" i="69"/>
  <c r="H114" i="69" s="1"/>
  <c r="G118" i="69"/>
  <c r="H118" i="69" s="1"/>
  <c r="G124" i="69"/>
  <c r="H124" i="69" s="1"/>
  <c r="G129" i="69"/>
  <c r="H129" i="69" s="1"/>
  <c r="G134" i="69"/>
  <c r="H134" i="69" s="1"/>
  <c r="G135" i="69"/>
  <c r="H135" i="69" s="1"/>
  <c r="G142" i="69"/>
  <c r="H142" i="69" s="1"/>
  <c r="G143" i="69"/>
  <c r="H143" i="69" s="1"/>
  <c r="G17" i="69"/>
  <c r="H17" i="69" s="1"/>
  <c r="G23" i="69"/>
  <c r="H26" i="69"/>
  <c r="H25" i="69" s="1"/>
  <c r="F30" i="69"/>
  <c r="F43" i="69"/>
  <c r="G43" i="69" s="1"/>
  <c r="G91" i="69"/>
  <c r="H91" i="69" s="1"/>
  <c r="G109" i="69"/>
  <c r="H109" i="69" s="1"/>
  <c r="G123" i="69"/>
  <c r="F126" i="69"/>
  <c r="F125" i="69" s="1"/>
  <c r="G131" i="69"/>
  <c r="H131" i="69" s="1"/>
  <c r="G133" i="69"/>
  <c r="H133" i="69" s="1"/>
  <c r="G146" i="69"/>
  <c r="H146" i="69" s="1"/>
  <c r="G150" i="69"/>
  <c r="H150" i="69" s="1"/>
  <c r="G35" i="69" l="1"/>
  <c r="G34" i="69" s="1"/>
  <c r="G13" i="69"/>
  <c r="H14" i="69"/>
  <c r="H13" i="69" s="1"/>
  <c r="F10" i="69"/>
  <c r="H98" i="69"/>
  <c r="H97" i="69" s="1"/>
  <c r="H12" i="69"/>
  <c r="H11" i="69" s="1"/>
  <c r="G21" i="69"/>
  <c r="H15" i="69"/>
  <c r="H125" i="69"/>
  <c r="G98" i="69"/>
  <c r="G97" i="69" s="1"/>
  <c r="D34" i="60" s="1"/>
  <c r="H139" i="69"/>
  <c r="H138" i="69" s="1"/>
  <c r="H86" i="69"/>
  <c r="H85" i="69" s="1"/>
  <c r="H113" i="69"/>
  <c r="H112" i="69" s="1"/>
  <c r="H77" i="69"/>
  <c r="H74" i="69" s="1"/>
  <c r="H73" i="69" s="1"/>
  <c r="G30" i="69"/>
  <c r="H30" i="69"/>
  <c r="F20" i="69"/>
  <c r="F19" i="69" s="1"/>
  <c r="G15" i="69"/>
  <c r="G10" i="69" s="1"/>
  <c r="D26" i="60" s="1"/>
  <c r="G139" i="69"/>
  <c r="G138" i="69" s="1"/>
  <c r="D37" i="60" s="1"/>
  <c r="G86" i="69"/>
  <c r="G85" i="69" s="1"/>
  <c r="D33" i="60" s="1"/>
  <c r="H36" i="69"/>
  <c r="H35" i="69" s="1"/>
  <c r="H34" i="69" s="1"/>
  <c r="G47" i="69"/>
  <c r="G46" i="69" s="1"/>
  <c r="D30" i="60" s="1"/>
  <c r="H47" i="69"/>
  <c r="H46" i="69" s="1"/>
  <c r="G125" i="69"/>
  <c r="D36" i="60" s="1"/>
  <c r="G113" i="69"/>
  <c r="G112" i="69" s="1"/>
  <c r="D35" i="60" s="1"/>
  <c r="F45" i="69"/>
  <c r="H68" i="69"/>
  <c r="H60" i="69" s="1"/>
  <c r="H23" i="69"/>
  <c r="H21" i="69" s="1"/>
  <c r="F9" i="69" l="1"/>
  <c r="G20" i="69"/>
  <c r="G19" i="69" s="1"/>
  <c r="D27" i="60" s="1"/>
  <c r="H10" i="69"/>
  <c r="H45" i="69"/>
  <c r="G45" i="69"/>
  <c r="H20" i="69"/>
  <c r="H19" i="69" s="1"/>
  <c r="H9" i="69" l="1"/>
  <c r="G9" i="69"/>
  <c r="C37" i="46"/>
  <c r="G17" i="8"/>
  <c r="G16" i="8" s="1"/>
  <c r="G11" i="8"/>
  <c r="G10" i="8" s="1"/>
  <c r="G19" i="8"/>
  <c r="G22" i="8"/>
  <c r="G21" i="8" s="1"/>
  <c r="G24" i="8"/>
  <c r="F51" i="53" l="1"/>
  <c r="F50" i="53"/>
  <c r="G50" i="53" s="1"/>
  <c r="F49" i="53"/>
  <c r="G49" i="53" s="1"/>
  <c r="F48" i="53"/>
  <c r="G48" i="53" s="1"/>
  <c r="F46" i="53"/>
  <c r="F45" i="53"/>
  <c r="G45" i="53" s="1"/>
  <c r="F44" i="53"/>
  <c r="G44" i="53" s="1"/>
  <c r="F43" i="53"/>
  <c r="G43" i="53" s="1"/>
  <c r="F41" i="53"/>
  <c r="F40" i="53"/>
  <c r="G40" i="53" s="1"/>
  <c r="F39" i="53"/>
  <c r="G39" i="53" s="1"/>
  <c r="F38" i="53"/>
  <c r="G38" i="53" s="1"/>
  <c r="F36" i="53"/>
  <c r="F35" i="53"/>
  <c r="G35" i="53" s="1"/>
  <c r="F34" i="53"/>
  <c r="G34" i="53" s="1"/>
  <c r="F33" i="53"/>
  <c r="G33" i="53" s="1"/>
  <c r="F31" i="53"/>
  <c r="F30" i="53"/>
  <c r="G30" i="53" s="1"/>
  <c r="F29" i="53"/>
  <c r="G29" i="53" s="1"/>
  <c r="F28" i="53"/>
  <c r="G28" i="53" s="1"/>
  <c r="F26" i="53"/>
  <c r="F25" i="53"/>
  <c r="G25" i="53" s="1"/>
  <c r="F24" i="53"/>
  <c r="G24" i="53" s="1"/>
  <c r="F23" i="53"/>
  <c r="G23" i="53" s="1"/>
  <c r="F10" i="53"/>
  <c r="H10" i="53" s="1"/>
  <c r="F16" i="53"/>
  <c r="H16" i="53" s="1"/>
  <c r="F21" i="53"/>
  <c r="F20" i="53"/>
  <c r="F19" i="53"/>
  <c r="F18" i="53"/>
  <c r="G16" i="53" l="1"/>
  <c r="D9" i="53" l="1"/>
  <c r="D14" i="46" l="1"/>
  <c r="D13" i="46"/>
  <c r="D19" i="46"/>
  <c r="D15" i="46"/>
  <c r="D12" i="46"/>
  <c r="D17" i="46" l="1"/>
  <c r="D18" i="46"/>
  <c r="D16" i="46"/>
  <c r="G20" i="53" l="1"/>
  <c r="G19" i="53"/>
  <c r="G18" i="53"/>
  <c r="H9" i="53"/>
  <c r="F9" i="53"/>
  <c r="G10" i="53" l="1"/>
  <c r="G9" i="53" s="1"/>
  <c r="E20" i="48" l="1"/>
  <c r="E16" i="48"/>
  <c r="E45" i="48"/>
  <c r="E37" i="48"/>
  <c r="E25" i="48"/>
  <c r="E17" i="48"/>
  <c r="E15" i="48" l="1"/>
  <c r="D9" i="49"/>
  <c r="E10" i="48" s="1"/>
  <c r="E19" i="48"/>
  <c r="E27" i="48"/>
  <c r="E31" i="48"/>
  <c r="E43" i="48"/>
  <c r="F16" i="49"/>
  <c r="C16" i="49" s="1"/>
  <c r="F15" i="49"/>
  <c r="C15" i="49" s="1"/>
  <c r="F14" i="49"/>
  <c r="C14" i="49" s="1"/>
  <c r="F13" i="49"/>
  <c r="C13" i="49" s="1"/>
  <c r="F12" i="49"/>
  <c r="C12" i="49" s="1"/>
  <c r="F11" i="49"/>
  <c r="C11" i="49" s="1"/>
  <c r="F10" i="49"/>
  <c r="C10" i="49" s="1"/>
  <c r="C9" i="49" l="1"/>
  <c r="C8" i="49" s="1"/>
  <c r="D8" i="49"/>
  <c r="F9" i="49"/>
  <c r="F8" i="49" s="1"/>
  <c r="E39" i="48"/>
  <c r="E35" i="48"/>
  <c r="E23" i="48" l="1"/>
  <c r="A11" i="13" l="1"/>
  <c r="C45" i="48" l="1"/>
  <c r="C37" i="48"/>
  <c r="C25" i="48"/>
  <c r="C17" i="48"/>
  <c r="C16" i="48"/>
  <c r="C15" i="48"/>
  <c r="L19" i="81"/>
  <c r="L18" i="81"/>
  <c r="L17" i="81"/>
  <c r="L16" i="81"/>
  <c r="L26" i="81"/>
  <c r="L25" i="81"/>
  <c r="L24" i="81"/>
  <c r="L23" i="81"/>
  <c r="L22" i="81"/>
  <c r="L21" i="81"/>
  <c r="K20" i="81"/>
  <c r="J20" i="81"/>
  <c r="I20" i="81"/>
  <c r="H20" i="81"/>
  <c r="G20" i="81"/>
  <c r="E28" i="48" s="1"/>
  <c r="F20" i="81"/>
  <c r="D28" i="48" s="1"/>
  <c r="L33" i="81"/>
  <c r="L32" i="81"/>
  <c r="L31" i="81"/>
  <c r="L30" i="81"/>
  <c r="L29" i="81"/>
  <c r="L40" i="81"/>
  <c r="L39" i="81"/>
  <c r="L38" i="81"/>
  <c r="L37" i="81"/>
  <c r="L36" i="81"/>
  <c r="L45" i="81"/>
  <c r="L52" i="81"/>
  <c r="L51" i="81"/>
  <c r="L50" i="81"/>
  <c r="L49" i="81"/>
  <c r="G100" i="16"/>
  <c r="F100" i="16"/>
  <c r="C28" i="48" l="1"/>
  <c r="L20" i="81"/>
  <c r="G10" i="72"/>
  <c r="F21" i="73"/>
  <c r="F28" i="73"/>
  <c r="F13" i="73"/>
  <c r="G21" i="73"/>
  <c r="G13" i="73"/>
  <c r="G147" i="61" l="1"/>
  <c r="F147" i="61" s="1"/>
  <c r="G123" i="61"/>
  <c r="F123" i="61" s="1"/>
  <c r="G153" i="61"/>
  <c r="F153" i="61" s="1"/>
  <c r="F152" i="61"/>
  <c r="F151" i="61"/>
  <c r="F150" i="61"/>
  <c r="F128" i="61"/>
  <c r="F127" i="61"/>
  <c r="F126" i="61"/>
  <c r="F104" i="61"/>
  <c r="F103" i="61"/>
  <c r="F100" i="61"/>
  <c r="F78" i="61"/>
  <c r="F75" i="61"/>
  <c r="F72" i="61"/>
  <c r="F69" i="61"/>
  <c r="F66" i="61"/>
  <c r="F62" i="61"/>
  <c r="F13" i="61"/>
  <c r="G97" i="61"/>
  <c r="F97" i="61" s="1"/>
  <c r="A215" i="13"/>
  <c r="K40" i="84" l="1"/>
  <c r="K21" i="84"/>
  <c r="K20" i="84"/>
  <c r="K17" i="84"/>
  <c r="K13" i="84"/>
  <c r="L175" i="83"/>
  <c r="L173" i="83"/>
  <c r="L172" i="83"/>
  <c r="L171" i="83"/>
  <c r="K86" i="83"/>
  <c r="K85" i="83"/>
  <c r="K84" i="83"/>
  <c r="K83" i="83"/>
  <c r="K82" i="83"/>
  <c r="K81" i="83"/>
  <c r="K80" i="83"/>
  <c r="K79" i="83"/>
  <c r="L66" i="83"/>
  <c r="C23" i="46"/>
  <c r="C34" i="46"/>
  <c r="C33" i="46"/>
  <c r="C32" i="46"/>
  <c r="C31" i="46"/>
  <c r="C30" i="46"/>
  <c r="C29" i="46"/>
  <c r="C28" i="46"/>
  <c r="C27" i="46"/>
  <c r="H21" i="46"/>
  <c r="G21" i="46"/>
  <c r="F21" i="46"/>
  <c r="E21" i="46"/>
  <c r="C40" i="46"/>
  <c r="L69" i="83" s="1"/>
  <c r="D40" i="46"/>
  <c r="K69" i="83" s="1"/>
  <c r="L30" i="83"/>
  <c r="K30" i="83"/>
  <c r="L29" i="83"/>
  <c r="K29" i="83"/>
  <c r="L28" i="83"/>
  <c r="K28" i="83"/>
  <c r="K22" i="83"/>
  <c r="K21" i="83"/>
  <c r="K20" i="83"/>
  <c r="K19" i="83"/>
  <c r="K18" i="83"/>
  <c r="K17" i="83"/>
  <c r="K16" i="83"/>
  <c r="K15" i="83"/>
  <c r="K42" i="83"/>
  <c r="K41" i="83"/>
  <c r="K39" i="83"/>
  <c r="E13" i="39"/>
  <c r="H10" i="13"/>
  <c r="G10" i="13"/>
  <c r="A245" i="13"/>
  <c r="A244" i="13"/>
  <c r="A243" i="13"/>
  <c r="A242" i="13"/>
  <c r="A241" i="13"/>
  <c r="A240" i="13"/>
  <c r="A239" i="13"/>
  <c r="A238" i="13"/>
  <c r="A237" i="13"/>
  <c r="A236" i="13"/>
  <c r="A235" i="13"/>
  <c r="A234" i="13"/>
  <c r="A233" i="13"/>
  <c r="A232" i="13"/>
  <c r="A231" i="13"/>
  <c r="A230" i="13"/>
  <c r="A229" i="13"/>
  <c r="A228" i="13"/>
  <c r="A227" i="13"/>
  <c r="A226" i="13"/>
  <c r="A225" i="13"/>
  <c r="A224" i="13"/>
  <c r="A223" i="13"/>
  <c r="A222" i="13"/>
  <c r="A221" i="13"/>
  <c r="A220" i="13"/>
  <c r="A219" i="13"/>
  <c r="A218" i="13"/>
  <c r="A217" i="13"/>
  <c r="A216" i="13"/>
  <c r="A214" i="13"/>
  <c r="A200" i="13"/>
  <c r="A199" i="13"/>
  <c r="A193" i="13"/>
  <c r="A192" i="13"/>
  <c r="A191" i="13"/>
  <c r="A190" i="13"/>
  <c r="A189" i="13"/>
  <c r="A188" i="13"/>
  <c r="A187" i="13"/>
  <c r="A186" i="13"/>
  <c r="A185" i="13"/>
  <c r="A184" i="13"/>
  <c r="A183" i="13"/>
  <c r="A182" i="13"/>
  <c r="A181" i="13"/>
  <c r="A180" i="13"/>
  <c r="A179" i="13"/>
  <c r="A178" i="13"/>
  <c r="A177" i="13"/>
  <c r="A176" i="13"/>
  <c r="A175" i="13"/>
  <c r="A174" i="13"/>
  <c r="A173" i="13"/>
  <c r="A172" i="13"/>
  <c r="A171" i="13"/>
  <c r="A170" i="13"/>
  <c r="A169" i="13"/>
  <c r="A164" i="13"/>
  <c r="A163" i="13"/>
  <c r="A162" i="13"/>
  <c r="A161" i="13"/>
  <c r="A160" i="13"/>
  <c r="A159" i="13"/>
  <c r="A158" i="13"/>
  <c r="A157" i="13"/>
  <c r="A156" i="13"/>
  <c r="A155" i="13"/>
  <c r="A154" i="13"/>
  <c r="A153" i="13"/>
  <c r="A152" i="13"/>
  <c r="A151" i="13"/>
  <c r="A150" i="13"/>
  <c r="A149" i="13"/>
  <c r="A148" i="13"/>
  <c r="A147" i="13"/>
  <c r="A146" i="13"/>
  <c r="A145" i="13"/>
  <c r="A144" i="13"/>
  <c r="A143" i="13"/>
  <c r="A142" i="13"/>
  <c r="A141" i="13"/>
  <c r="A140" i="13"/>
  <c r="A139" i="13"/>
  <c r="A138" i="13"/>
  <c r="A137" i="13"/>
  <c r="A132" i="13"/>
  <c r="A131" i="13"/>
  <c r="A130" i="13"/>
  <c r="A129" i="13"/>
  <c r="A128" i="13"/>
  <c r="A127" i="13"/>
  <c r="A126" i="13"/>
  <c r="A125" i="13"/>
  <c r="A124" i="13"/>
  <c r="A123" i="13"/>
  <c r="A122" i="13"/>
  <c r="A121" i="13"/>
  <c r="A120" i="13"/>
  <c r="A119" i="13"/>
  <c r="A118" i="13"/>
  <c r="A117" i="13"/>
  <c r="A116" i="13"/>
  <c r="A115" i="13"/>
  <c r="A113" i="13"/>
  <c r="A112" i="13"/>
  <c r="A111" i="13"/>
  <c r="A110" i="13"/>
  <c r="A109" i="13"/>
  <c r="A108" i="13"/>
  <c r="A107" i="13"/>
  <c r="A106" i="13"/>
  <c r="A105" i="13"/>
  <c r="A104" i="13"/>
  <c r="A103" i="13"/>
  <c r="A102" i="13"/>
  <c r="A101" i="13"/>
  <c r="A100" i="13"/>
  <c r="A99" i="13"/>
  <c r="A98" i="13"/>
  <c r="A97" i="13"/>
  <c r="A96" i="13"/>
  <c r="A95" i="13"/>
  <c r="A94" i="13"/>
  <c r="A93" i="13"/>
  <c r="A92" i="13"/>
  <c r="A91" i="13"/>
  <c r="A90" i="13"/>
  <c r="A89" i="13"/>
  <c r="A88" i="13"/>
  <c r="A87" i="13"/>
  <c r="A86" i="13"/>
  <c r="A85" i="13"/>
  <c r="A84" i="13"/>
  <c r="A83" i="13"/>
  <c r="A82" i="13"/>
  <c r="A27" i="13"/>
  <c r="A26" i="13"/>
  <c r="A25" i="13"/>
  <c r="A22" i="13"/>
  <c r="A21" i="13"/>
  <c r="A20" i="13"/>
  <c r="A19" i="13"/>
  <c r="A18" i="13"/>
  <c r="A17" i="13"/>
  <c r="A16" i="13"/>
  <c r="A15" i="13"/>
  <c r="A14" i="13"/>
  <c r="A13" i="13"/>
  <c r="A12" i="13"/>
  <c r="D36" i="52"/>
  <c r="K113" i="83" s="1"/>
  <c r="D35" i="52"/>
  <c r="K112" i="83" s="1"/>
  <c r="D34" i="52"/>
  <c r="K111" i="83" s="1"/>
  <c r="D33" i="52"/>
  <c r="K110" i="83" s="1"/>
  <c r="D32" i="52"/>
  <c r="K109" i="83" s="1"/>
  <c r="D31" i="52"/>
  <c r="K108" i="83" s="1"/>
  <c r="D29" i="52"/>
  <c r="K106" i="83" s="1"/>
  <c r="D27" i="52"/>
  <c r="K104" i="83" s="1"/>
  <c r="J27" i="84" s="1"/>
  <c r="L99" i="83"/>
  <c r="L97" i="83"/>
  <c r="L93" i="83"/>
  <c r="D21" i="66"/>
  <c r="K146" i="83" s="1"/>
  <c r="D20" i="66"/>
  <c r="K145" i="83" s="1"/>
  <c r="D19" i="66"/>
  <c r="K144" i="83" s="1"/>
  <c r="D18" i="66"/>
  <c r="K143" i="83" s="1"/>
  <c r="D17" i="66"/>
  <c r="K142" i="83" s="1"/>
  <c r="D16" i="66"/>
  <c r="K141" i="83" s="1"/>
  <c r="D15" i="66"/>
  <c r="K140" i="83" s="1"/>
  <c r="C20" i="66"/>
  <c r="L145" i="83" s="1"/>
  <c r="F75" i="16"/>
  <c r="G75" i="16"/>
  <c r="C19" i="66" s="1"/>
  <c r="L144" i="83" s="1"/>
  <c r="G64" i="16"/>
  <c r="C18" i="66" s="1"/>
  <c r="L143" i="83" s="1"/>
  <c r="G29" i="16"/>
  <c r="C16" i="66" s="1"/>
  <c r="L141" i="83" s="1"/>
  <c r="G17" i="16"/>
  <c r="C15" i="66" s="1"/>
  <c r="L140" i="83" s="1"/>
  <c r="H67" i="21"/>
  <c r="G67" i="21"/>
  <c r="H38" i="21"/>
  <c r="C22" i="60" s="1"/>
  <c r="L177" i="83" s="1"/>
  <c r="G38" i="21"/>
  <c r="H30" i="21"/>
  <c r="C21" i="60" s="1"/>
  <c r="L176" i="83" s="1"/>
  <c r="G30" i="21"/>
  <c r="H10" i="21"/>
  <c r="C19" i="60" s="1"/>
  <c r="L174" i="83" s="1"/>
  <c r="G10" i="21"/>
  <c r="A90" i="21"/>
  <c r="A89" i="21"/>
  <c r="A87" i="21"/>
  <c r="A86" i="21"/>
  <c r="A85" i="21"/>
  <c r="A84" i="21"/>
  <c r="A83" i="21"/>
  <c r="A82" i="21"/>
  <c r="A81" i="21"/>
  <c r="A80" i="21"/>
  <c r="A79" i="21"/>
  <c r="A78" i="21"/>
  <c r="A77" i="21"/>
  <c r="A76" i="21"/>
  <c r="A75" i="21"/>
  <c r="A74" i="21"/>
  <c r="A73" i="21"/>
  <c r="A72" i="21"/>
  <c r="A71" i="21"/>
  <c r="A70" i="21"/>
  <c r="A69" i="21"/>
  <c r="A68" i="21"/>
  <c r="A66" i="21"/>
  <c r="A65" i="21"/>
  <c r="A64" i="21"/>
  <c r="A63" i="21"/>
  <c r="A62" i="21"/>
  <c r="A61" i="21"/>
  <c r="A60" i="21"/>
  <c r="A59" i="21"/>
  <c r="A58" i="21"/>
  <c r="A57" i="21"/>
  <c r="A56" i="21"/>
  <c r="A55" i="21"/>
  <c r="A54" i="21"/>
  <c r="A53" i="21"/>
  <c r="A52" i="21"/>
  <c r="A51" i="21"/>
  <c r="A50" i="21"/>
  <c r="A49" i="21"/>
  <c r="A48" i="21"/>
  <c r="A47" i="21"/>
  <c r="A46" i="21"/>
  <c r="A45" i="21"/>
  <c r="A44" i="21"/>
  <c r="A43" i="21"/>
  <c r="A42" i="21"/>
  <c r="A41" i="21"/>
  <c r="A40" i="21"/>
  <c r="A39" i="21"/>
  <c r="A37" i="21"/>
  <c r="A36" i="21"/>
  <c r="A35" i="21"/>
  <c r="A34" i="21"/>
  <c r="A33" i="21"/>
  <c r="A32" i="21"/>
  <c r="A31" i="21"/>
  <c r="A29" i="21"/>
  <c r="A28" i="21"/>
  <c r="A27" i="21"/>
  <c r="A26" i="21"/>
  <c r="A25" i="21"/>
  <c r="A24" i="21"/>
  <c r="A23" i="21"/>
  <c r="A22" i="21"/>
  <c r="A21" i="21"/>
  <c r="A20" i="21"/>
  <c r="A19" i="21"/>
  <c r="A18" i="21"/>
  <c r="A17" i="21"/>
  <c r="A16" i="21"/>
  <c r="A15" i="21"/>
  <c r="A14" i="21"/>
  <c r="A13" i="21"/>
  <c r="A12" i="21"/>
  <c r="A11" i="21"/>
  <c r="C23" i="60" l="1"/>
  <c r="L178" i="83" s="1"/>
  <c r="I40" i="46"/>
  <c r="L79" i="83"/>
  <c r="L80" i="83"/>
  <c r="L86" i="83"/>
  <c r="L84" i="83"/>
  <c r="L83" i="83"/>
  <c r="L81" i="83"/>
  <c r="D55" i="63" l="1"/>
  <c r="K238" i="83" s="1"/>
  <c r="D54" i="63"/>
  <c r="K237" i="83" s="1"/>
  <c r="D53" i="63"/>
  <c r="K236" i="83" s="1"/>
  <c r="D52" i="63"/>
  <c r="K235" i="83" s="1"/>
  <c r="D51" i="63"/>
  <c r="K234" i="83" s="1"/>
  <c r="D50" i="63"/>
  <c r="K233" i="83" s="1"/>
  <c r="D49" i="63"/>
  <c r="K232" i="83" s="1"/>
  <c r="D48" i="63"/>
  <c r="K231" i="83" s="1"/>
  <c r="D46" i="63"/>
  <c r="K229" i="83" s="1"/>
  <c r="D45" i="63"/>
  <c r="K228" i="83" s="1"/>
  <c r="D44" i="63"/>
  <c r="K227" i="83" s="1"/>
  <c r="D43" i="63"/>
  <c r="K226" i="83" s="1"/>
  <c r="D42" i="63"/>
  <c r="K225" i="83" s="1"/>
  <c r="J24" i="84" s="1"/>
  <c r="D41" i="63"/>
  <c r="K224" i="83" s="1"/>
  <c r="J23" i="84" s="1"/>
  <c r="D40" i="63"/>
  <c r="K223" i="83" s="1"/>
  <c r="D38" i="63"/>
  <c r="K221" i="83" s="1"/>
  <c r="D37" i="63"/>
  <c r="K220" i="83" s="1"/>
  <c r="D36" i="63"/>
  <c r="K219" i="83" s="1"/>
  <c r="D35" i="63"/>
  <c r="K218" i="83" s="1"/>
  <c r="D34" i="63"/>
  <c r="K217" i="83" s="1"/>
  <c r="J235" i="83" l="1"/>
  <c r="O235" i="83"/>
  <c r="O232" i="83"/>
  <c r="J232" i="83"/>
  <c r="O236" i="83"/>
  <c r="J236" i="83"/>
  <c r="J231" i="83"/>
  <c r="O231" i="83"/>
  <c r="O233" i="83"/>
  <c r="J233" i="83"/>
  <c r="O237" i="83"/>
  <c r="J237" i="83"/>
  <c r="O234" i="83"/>
  <c r="J234" i="83"/>
  <c r="O238" i="83"/>
  <c r="J238" i="83"/>
  <c r="L27" i="83"/>
  <c r="K27" i="83"/>
  <c r="K11" i="83" l="1"/>
  <c r="K24" i="83"/>
  <c r="K78" i="83"/>
  <c r="K103" i="83"/>
  <c r="K230" i="83"/>
  <c r="O230" i="83" s="1"/>
  <c r="E46" i="63"/>
  <c r="I46" i="63" s="1"/>
  <c r="E45" i="63"/>
  <c r="I45" i="63" s="1"/>
  <c r="E44" i="63"/>
  <c r="I44" i="63" s="1"/>
  <c r="E43" i="63"/>
  <c r="I43" i="63" s="1"/>
  <c r="E42" i="63"/>
  <c r="I42" i="63" s="1"/>
  <c r="E41" i="63"/>
  <c r="I41" i="63" s="1"/>
  <c r="E40" i="63"/>
  <c r="I40" i="63" s="1"/>
  <c r="E38" i="63"/>
  <c r="I38" i="63" s="1"/>
  <c r="E37" i="63"/>
  <c r="I37" i="63" s="1"/>
  <c r="E36" i="63"/>
  <c r="I36" i="63" s="1"/>
  <c r="E35" i="63"/>
  <c r="I35" i="63" s="1"/>
  <c r="E34" i="63"/>
  <c r="I34" i="63" s="1"/>
  <c r="D33" i="63"/>
  <c r="D32" i="63"/>
  <c r="F10" i="73"/>
  <c r="G10" i="73"/>
  <c r="H46" i="63"/>
  <c r="H45" i="63"/>
  <c r="H44" i="63"/>
  <c r="H42" i="63"/>
  <c r="H41" i="63"/>
  <c r="H40" i="63"/>
  <c r="H37" i="63"/>
  <c r="H36" i="63"/>
  <c r="H35" i="63"/>
  <c r="C21" i="66"/>
  <c r="L146" i="83" s="1"/>
  <c r="G39" i="16"/>
  <c r="C17" i="66" s="1"/>
  <c r="L142" i="83" s="1"/>
  <c r="E33" i="63" l="1"/>
  <c r="I33" i="63" s="1"/>
  <c r="K216" i="83"/>
  <c r="J18" i="84" s="1"/>
  <c r="E32" i="63"/>
  <c r="I32" i="63" s="1"/>
  <c r="K215" i="83"/>
  <c r="D57" i="2"/>
  <c r="L12" i="83"/>
  <c r="K12" i="84" s="1"/>
  <c r="F57" i="2"/>
  <c r="L13" i="83"/>
  <c r="K15" i="84" s="1"/>
  <c r="K14" i="83"/>
  <c r="K10" i="83" s="1"/>
  <c r="D31" i="63"/>
  <c r="I31" i="63" l="1"/>
  <c r="E31" i="63"/>
  <c r="K214" i="83"/>
  <c r="K213" i="83" s="1"/>
  <c r="E57" i="2"/>
  <c r="D12" i="66" l="1"/>
  <c r="K137" i="83" s="1"/>
  <c r="J20" i="84" l="1"/>
  <c r="K136" i="83"/>
  <c r="H26" i="73" l="1"/>
  <c r="H25" i="73" s="1"/>
  <c r="H164" i="61" s="1"/>
  <c r="H163" i="61" s="1"/>
  <c r="H159" i="61" s="1"/>
  <c r="H158" i="61" s="1"/>
  <c r="H155" i="61" s="1"/>
  <c r="H151" i="61"/>
  <c r="H147" i="61"/>
  <c r="H140" i="61" s="1"/>
  <c r="H139" i="61" s="1"/>
  <c r="H135" i="61" s="1"/>
  <c r="H134" i="61" s="1"/>
  <c r="H131" i="61" s="1"/>
  <c r="H103" i="61"/>
  <c r="F94" i="61"/>
  <c r="H89" i="61" s="1"/>
  <c r="H85" i="61" s="1"/>
  <c r="H84" i="61" s="1"/>
  <c r="H81" i="61" s="1"/>
  <c r="H75" i="61"/>
  <c r="H24" i="73"/>
  <c r="H23" i="73" s="1"/>
  <c r="H27" i="73" s="1"/>
  <c r="H22" i="73" s="1"/>
  <c r="H16" i="73" s="1"/>
  <c r="H17" i="73" s="1"/>
  <c r="H14" i="73" s="1"/>
  <c r="H18" i="73" s="1"/>
  <c r="H15" i="73" s="1"/>
  <c r="H20" i="73" s="1"/>
  <c r="H91" i="61"/>
  <c r="H167" i="61" s="1"/>
  <c r="H165" i="61" s="1"/>
  <c r="H156" i="61" s="1"/>
  <c r="H157" i="61"/>
  <c r="H160" i="61" s="1"/>
  <c r="H152" i="61"/>
  <c r="H143" i="61" s="1"/>
  <c r="H141" i="61" s="1"/>
  <c r="H133" i="61" s="1"/>
  <c r="H132" i="61" s="1"/>
  <c r="H136" i="61" s="1"/>
  <c r="H90" i="61"/>
  <c r="H82" i="61" s="1"/>
  <c r="H83" i="61"/>
  <c r="H86" i="61" s="1"/>
  <c r="H78" i="61" s="1"/>
  <c r="H62" i="61" s="1"/>
  <c r="H150" i="61" l="1"/>
  <c r="H94" i="61"/>
  <c r="D38" i="80" l="1"/>
  <c r="G38" i="80" s="1"/>
  <c r="D37" i="80"/>
  <c r="G37" i="80" s="1"/>
  <c r="D36" i="80"/>
  <c r="D34" i="80"/>
  <c r="G34" i="80" s="1"/>
  <c r="D33" i="80"/>
  <c r="D32" i="80"/>
  <c r="G32" i="80" s="1"/>
  <c r="D29" i="80"/>
  <c r="G29" i="80" s="1"/>
  <c r="D28" i="80"/>
  <c r="D26" i="80"/>
  <c r="G26" i="80" s="1"/>
  <c r="G25" i="80" s="1"/>
  <c r="D24" i="80"/>
  <c r="G24" i="80" s="1"/>
  <c r="D21" i="80"/>
  <c r="E18" i="80"/>
  <c r="G18" i="80" s="1"/>
  <c r="E17" i="80"/>
  <c r="G17" i="80" s="1"/>
  <c r="E16" i="80"/>
  <c r="D16" i="80"/>
  <c r="E14" i="80"/>
  <c r="D14" i="80"/>
  <c r="G14" i="80" s="1"/>
  <c r="E13" i="80"/>
  <c r="D13" i="80"/>
  <c r="G13" i="80" s="1"/>
  <c r="E12" i="80"/>
  <c r="D12" i="80"/>
  <c r="G12" i="80" s="1"/>
  <c r="H35" i="80"/>
  <c r="G35" i="80" s="1"/>
  <c r="G36" i="80" s="1"/>
  <c r="H15" i="80"/>
  <c r="G15" i="80" s="1"/>
  <c r="G16" i="80" s="1"/>
  <c r="G21" i="80" s="1"/>
  <c r="H20" i="80"/>
  <c r="G20" i="80" s="1"/>
  <c r="H31" i="80"/>
  <c r="G31" i="80" s="1"/>
  <c r="G33" i="80" s="1"/>
  <c r="G23" i="80" s="1"/>
  <c r="H22" i="80"/>
  <c r="G22" i="80" s="1"/>
  <c r="H27" i="80"/>
  <c r="G27" i="80" s="1"/>
  <c r="G28" i="80" s="1"/>
  <c r="H11" i="80"/>
  <c r="C39" i="48" l="1"/>
  <c r="H19" i="80"/>
  <c r="G19" i="80" s="1"/>
  <c r="H10" i="80"/>
  <c r="G11" i="80" s="1"/>
  <c r="F9" i="80"/>
  <c r="E12" i="48" s="1"/>
  <c r="C12" i="48" s="1"/>
  <c r="G23" i="48"/>
  <c r="C27" i="48"/>
  <c r="D29" i="46" l="1"/>
  <c r="I29" i="46" s="1"/>
  <c r="C23" i="48"/>
  <c r="H9" i="80"/>
  <c r="K56" i="83"/>
  <c r="C31" i="48"/>
  <c r="C19" i="48"/>
  <c r="G27" i="48"/>
  <c r="G31" i="48"/>
  <c r="G39" i="48"/>
  <c r="G43" i="48"/>
  <c r="D34" i="46" l="1"/>
  <c r="I34" i="46" s="1"/>
  <c r="C43" i="48"/>
  <c r="G19" i="48"/>
  <c r="G30" i="80" s="1"/>
  <c r="K61" i="83"/>
  <c r="G10" i="80"/>
  <c r="G9" i="80" s="1"/>
  <c r="G12" i="48" s="1"/>
  <c r="F16" i="74" l="1"/>
  <c r="F15" i="74"/>
  <c r="F19" i="74"/>
  <c r="F23" i="74"/>
  <c r="F22" i="74"/>
  <c r="F21" i="74"/>
  <c r="F25" i="74"/>
  <c r="G24" i="74"/>
  <c r="G20" i="74" s="1"/>
  <c r="G18" i="74"/>
  <c r="F18" i="74" s="1"/>
  <c r="G17" i="74"/>
  <c r="G14" i="74" l="1"/>
  <c r="G13" i="74" s="1"/>
  <c r="G12" i="74" s="1"/>
  <c r="F24" i="74"/>
  <c r="F20" i="74" s="1"/>
  <c r="F17" i="74"/>
  <c r="F14" i="74" s="1"/>
  <c r="F13" i="74" l="1"/>
  <c r="F12" i="74" s="1"/>
  <c r="H146" i="61"/>
  <c r="F146" i="61"/>
  <c r="G122" i="61"/>
  <c r="F122" i="61"/>
  <c r="G74" i="61"/>
  <c r="G99" i="61"/>
  <c r="F71" i="61"/>
  <c r="F70" i="61" s="1"/>
  <c r="G146" i="61"/>
  <c r="F68" i="61" l="1"/>
  <c r="F67" i="61" s="1"/>
  <c r="H68" i="61"/>
  <c r="G68" i="61"/>
  <c r="G67" i="61" s="1"/>
  <c r="D17" i="60" s="1"/>
  <c r="K172" i="83" s="1"/>
  <c r="F74" i="61" l="1"/>
  <c r="H74" i="61"/>
  <c r="I27" i="84" l="1"/>
  <c r="L24" i="84"/>
  <c r="I24" i="84"/>
  <c r="I23" i="84"/>
  <c r="L20" i="84"/>
  <c r="I20" i="84"/>
  <c r="I18" i="84"/>
  <c r="I15" i="84"/>
  <c r="M13" i="84"/>
  <c r="L214" i="83"/>
  <c r="L195" i="83"/>
  <c r="L180" i="83"/>
  <c r="L167" i="83"/>
  <c r="L156" i="83"/>
  <c r="L153" i="83"/>
  <c r="N149" i="83"/>
  <c r="J145" i="83"/>
  <c r="L136" i="83"/>
  <c r="N137" i="83"/>
  <c r="N136" i="83" s="1"/>
  <c r="N135" i="83" s="1"/>
  <c r="L132" i="83"/>
  <c r="L119" i="83"/>
  <c r="L115" i="83"/>
  <c r="J110" i="83"/>
  <c r="J109" i="83" s="1"/>
  <c r="J108" i="83" s="1"/>
  <c r="L103" i="83"/>
  <c r="J86" i="83"/>
  <c r="J81" i="83"/>
  <c r="N76" i="83"/>
  <c r="J61" i="83"/>
  <c r="L53" i="83"/>
  <c r="L50" i="83"/>
  <c r="J41" i="83"/>
  <c r="L38" i="83"/>
  <c r="J25" i="83"/>
  <c r="J24" i="83" s="1"/>
  <c r="L24" i="83"/>
  <c r="M11" i="83"/>
  <c r="M10" i="83" s="1"/>
  <c r="L49" i="83" l="1"/>
  <c r="L36" i="83"/>
  <c r="L152" i="83"/>
  <c r="L11" i="83"/>
  <c r="J143" i="83"/>
  <c r="J144" i="83"/>
  <c r="J111" i="83"/>
  <c r="J112" i="83"/>
  <c r="J137" i="83"/>
  <c r="J136" i="83" s="1"/>
  <c r="M15" i="84"/>
  <c r="J27" i="83"/>
  <c r="J29" i="83"/>
  <c r="J30" i="83"/>
  <c r="J69" i="83"/>
  <c r="M217" i="83"/>
  <c r="M221" i="83"/>
  <c r="M226" i="83"/>
  <c r="L23" i="84"/>
  <c r="J83" i="83"/>
  <c r="J84" i="83"/>
  <c r="J140" i="83"/>
  <c r="L27" i="84"/>
  <c r="J80" i="83"/>
  <c r="L105" i="83"/>
  <c r="L102" i="83" s="1"/>
  <c r="J146" i="83"/>
  <c r="M218" i="83"/>
  <c r="M223" i="83"/>
  <c r="M227" i="83"/>
  <c r="L18" i="84"/>
  <c r="J113" i="83"/>
  <c r="L131" i="83"/>
  <c r="J141" i="83"/>
  <c r="L170" i="83"/>
  <c r="P170" i="83" s="1"/>
  <c r="P166" i="83" s="1"/>
  <c r="M215" i="83"/>
  <c r="M219" i="83"/>
  <c r="M224" i="83"/>
  <c r="M228" i="83"/>
  <c r="L122" i="83"/>
  <c r="L118" i="83" s="1"/>
  <c r="M220" i="83"/>
  <c r="M225" i="83"/>
  <c r="M229" i="83"/>
  <c r="M12" i="84"/>
  <c r="J39" i="83"/>
  <c r="O213" i="83"/>
  <c r="N13" i="83"/>
  <c r="N90" i="83"/>
  <c r="J104" i="83"/>
  <c r="J103" i="83" s="1"/>
  <c r="M104" i="83"/>
  <c r="M103" i="83" s="1"/>
  <c r="M102" i="83" s="1"/>
  <c r="J28" i="83"/>
  <c r="N12" i="83"/>
  <c r="J79" i="83"/>
  <c r="O78" i="83"/>
  <c r="O74" i="83" s="1"/>
  <c r="O114" i="83"/>
  <c r="N35" i="83"/>
  <c r="L114" i="83"/>
  <c r="M216" i="83"/>
  <c r="L184" i="83"/>
  <c r="L179" i="83" s="1"/>
  <c r="J142" i="83"/>
  <c r="M137" i="83"/>
  <c r="M136" i="83" s="1"/>
  <c r="M135" i="83" s="1"/>
  <c r="O147" i="83"/>
  <c r="L166" i="83" l="1"/>
  <c r="L165" i="83" s="1"/>
  <c r="P147" i="83"/>
  <c r="J230" i="83"/>
  <c r="L101" i="83"/>
  <c r="M214" i="83"/>
  <c r="M213" i="83" s="1"/>
  <c r="N11" i="83"/>
  <c r="N10" i="83" s="1"/>
  <c r="N165" i="83"/>
  <c r="O14" i="83"/>
  <c r="O10" i="83" s="1"/>
  <c r="P165" i="83"/>
  <c r="D20" i="48" l="1"/>
  <c r="F14" i="81"/>
  <c r="G14" i="81"/>
  <c r="E24" i="48" s="1"/>
  <c r="H14" i="81"/>
  <c r="I14" i="81"/>
  <c r="G24" i="48" s="1"/>
  <c r="J14" i="81"/>
  <c r="K14" i="81"/>
  <c r="L15" i="81"/>
  <c r="F27" i="81"/>
  <c r="D32" i="48" s="1"/>
  <c r="G27" i="81"/>
  <c r="E32" i="48" s="1"/>
  <c r="D41" i="46" s="1"/>
  <c r="K70" i="83" s="1"/>
  <c r="H27" i="81"/>
  <c r="I27" i="81"/>
  <c r="G32" i="48" s="1"/>
  <c r="J27" i="81"/>
  <c r="K27" i="81"/>
  <c r="L28" i="81"/>
  <c r="F34" i="81"/>
  <c r="D36" i="48" s="1"/>
  <c r="G34" i="81"/>
  <c r="H34" i="81"/>
  <c r="I34" i="81"/>
  <c r="G36" i="48" s="1"/>
  <c r="J34" i="81"/>
  <c r="K34" i="81"/>
  <c r="L35" i="81"/>
  <c r="C32" i="48" l="1"/>
  <c r="E36" i="48"/>
  <c r="C36" i="48" s="1"/>
  <c r="C38" i="46"/>
  <c r="C20" i="48"/>
  <c r="L27" i="81"/>
  <c r="D38" i="46"/>
  <c r="K67" i="83" s="1"/>
  <c r="L34" i="81"/>
  <c r="C41" i="46"/>
  <c r="L14" i="81"/>
  <c r="D39" i="46"/>
  <c r="K68" i="83" s="1"/>
  <c r="L67" i="83"/>
  <c r="C42" i="46"/>
  <c r="D24" i="48"/>
  <c r="C24" i="48" s="1"/>
  <c r="G20" i="48"/>
  <c r="K43" i="83"/>
  <c r="D42" i="46" l="1"/>
  <c r="K40" i="83"/>
  <c r="J40" i="83" s="1"/>
  <c r="J67" i="83"/>
  <c r="C39" i="46"/>
  <c r="L71" i="83"/>
  <c r="I38" i="46"/>
  <c r="I41" i="46"/>
  <c r="L70" i="83"/>
  <c r="J70" i="83" s="1"/>
  <c r="K44" i="83"/>
  <c r="K71" i="83" l="1"/>
  <c r="J71" i="83" s="1"/>
  <c r="I42" i="46"/>
  <c r="I39" i="46"/>
  <c r="L68" i="83"/>
  <c r="J68" i="83" l="1"/>
  <c r="L53" i="81"/>
  <c r="L48" i="81"/>
  <c r="K47" i="81"/>
  <c r="J47" i="81"/>
  <c r="I47" i="81"/>
  <c r="G44" i="48" s="1"/>
  <c r="H47" i="81"/>
  <c r="G47" i="81"/>
  <c r="E44" i="48" s="1"/>
  <c r="D44" i="46" s="1"/>
  <c r="K73" i="83" s="1"/>
  <c r="F47" i="81"/>
  <c r="D44" i="48" s="1"/>
  <c r="L46" i="81"/>
  <c r="L44" i="81"/>
  <c r="L43" i="81"/>
  <c r="L42" i="81"/>
  <c r="K41" i="81"/>
  <c r="J41" i="81"/>
  <c r="I41" i="81"/>
  <c r="H41" i="81"/>
  <c r="G41" i="81"/>
  <c r="F41" i="81"/>
  <c r="D13" i="52"/>
  <c r="K90" i="83" s="1"/>
  <c r="F15" i="53"/>
  <c r="G15" i="53" s="1"/>
  <c r="F14" i="53"/>
  <c r="G14" i="53" s="1"/>
  <c r="E11" i="79"/>
  <c r="D10" i="79"/>
  <c r="D9" i="79" s="1"/>
  <c r="G13" i="78" s="1"/>
  <c r="G12" i="78" s="1"/>
  <c r="G11" i="78" s="1"/>
  <c r="H9" i="78" s="1"/>
  <c r="D9" i="78"/>
  <c r="F152" i="77"/>
  <c r="G152" i="77" s="1"/>
  <c r="F151" i="77"/>
  <c r="F148" i="77"/>
  <c r="F147" i="77"/>
  <c r="H146" i="77"/>
  <c r="G146" i="77"/>
  <c r="F145" i="77"/>
  <c r="F144" i="77"/>
  <c r="F143" i="77"/>
  <c r="F142" i="77"/>
  <c r="H141" i="77"/>
  <c r="G141" i="77"/>
  <c r="F140" i="77"/>
  <c r="H140" i="77" s="1"/>
  <c r="F137" i="77"/>
  <c r="G137" i="77" s="1"/>
  <c r="F136" i="77"/>
  <c r="G136" i="77" s="1"/>
  <c r="F133" i="77"/>
  <c r="F132" i="77"/>
  <c r="H131" i="77"/>
  <c r="G131" i="77"/>
  <c r="F130" i="77"/>
  <c r="F129" i="77"/>
  <c r="G129" i="77" s="1"/>
  <c r="G126" i="77" s="1"/>
  <c r="F128" i="77"/>
  <c r="F127" i="77"/>
  <c r="H126" i="77"/>
  <c r="F125" i="77"/>
  <c r="H125" i="77" s="1"/>
  <c r="F122" i="77"/>
  <c r="G122" i="77" s="1"/>
  <c r="F121" i="77"/>
  <c r="G121" i="77" s="1"/>
  <c r="F118" i="77"/>
  <c r="F117" i="77"/>
  <c r="H116" i="77"/>
  <c r="G116" i="77"/>
  <c r="F115" i="77"/>
  <c r="G115" i="77" s="1"/>
  <c r="G111" i="77" s="1"/>
  <c r="F114" i="77"/>
  <c r="F113" i="77"/>
  <c r="F112" i="77"/>
  <c r="H111" i="77"/>
  <c r="G110" i="77"/>
  <c r="F110" i="77"/>
  <c r="F107" i="77"/>
  <c r="G107" i="77" s="1"/>
  <c r="F106" i="77"/>
  <c r="G106" i="77" s="1"/>
  <c r="F103" i="77"/>
  <c r="F102" i="77"/>
  <c r="H101" i="77"/>
  <c r="G101" i="77"/>
  <c r="G100" i="77"/>
  <c r="G96" i="77" s="1"/>
  <c r="F99" i="77"/>
  <c r="F98" i="77"/>
  <c r="F97" i="77"/>
  <c r="H96" i="77"/>
  <c r="G95" i="77"/>
  <c r="F95" i="77"/>
  <c r="F92" i="77"/>
  <c r="G92" i="77" s="1"/>
  <c r="F91" i="77"/>
  <c r="F88" i="77"/>
  <c r="F87" i="77"/>
  <c r="H86" i="77"/>
  <c r="G86" i="77"/>
  <c r="G85" i="77"/>
  <c r="G81" i="77" s="1"/>
  <c r="F84" i="77"/>
  <c r="F83" i="77"/>
  <c r="F82" i="77"/>
  <c r="H81" i="77"/>
  <c r="G80" i="77"/>
  <c r="F80" i="77"/>
  <c r="F77" i="77"/>
  <c r="G77" i="77" s="1"/>
  <c r="F76" i="77"/>
  <c r="G76" i="77" s="1"/>
  <c r="F73" i="77"/>
  <c r="F72" i="77"/>
  <c r="H71" i="77"/>
  <c r="G71" i="77"/>
  <c r="G70" i="77"/>
  <c r="G66" i="77" s="1"/>
  <c r="F69" i="77"/>
  <c r="F68" i="77"/>
  <c r="F67" i="77"/>
  <c r="H66" i="77"/>
  <c r="G65" i="77"/>
  <c r="F65" i="77"/>
  <c r="F62" i="77"/>
  <c r="G62" i="77" s="1"/>
  <c r="F61" i="77"/>
  <c r="G61" i="77" s="1"/>
  <c r="F58" i="77"/>
  <c r="F57" i="77"/>
  <c r="H56" i="77"/>
  <c r="G56" i="77"/>
  <c r="F55" i="77"/>
  <c r="G54" i="77"/>
  <c r="F54" i="77" s="1"/>
  <c r="F53" i="77"/>
  <c r="F52" i="77"/>
  <c r="H51" i="77"/>
  <c r="G50" i="77"/>
  <c r="F50" i="77"/>
  <c r="F47" i="77"/>
  <c r="G47" i="77" s="1"/>
  <c r="F46" i="77"/>
  <c r="G46" i="77" s="1"/>
  <c r="F45" i="77"/>
  <c r="G45" i="77" s="1"/>
  <c r="F42" i="77"/>
  <c r="F41" i="77"/>
  <c r="G40" i="77"/>
  <c r="G39" i="77"/>
  <c r="H39" i="77" s="1"/>
  <c r="H38" i="77" s="1"/>
  <c r="H37" i="77" s="1"/>
  <c r="F35" i="77"/>
  <c r="F34" i="77"/>
  <c r="F33" i="77"/>
  <c r="H32" i="77"/>
  <c r="G32" i="77"/>
  <c r="G30" i="77"/>
  <c r="F29" i="77"/>
  <c r="G29" i="77" s="1"/>
  <c r="F28" i="77"/>
  <c r="G28" i="77" s="1"/>
  <c r="F27" i="77"/>
  <c r="G27" i="77" s="1"/>
  <c r="F26" i="77"/>
  <c r="G26" i="77" s="1"/>
  <c r="H25" i="77"/>
  <c r="D22" i="77"/>
  <c r="F22" i="77" s="1"/>
  <c r="G22" i="77" s="1"/>
  <c r="F21" i="77"/>
  <c r="G21" i="77" s="1"/>
  <c r="D19" i="77"/>
  <c r="F19" i="77" s="1"/>
  <c r="G19" i="77" s="1"/>
  <c r="F18" i="77"/>
  <c r="G18" i="77" s="1"/>
  <c r="D16" i="77"/>
  <c r="F16" i="77" s="1"/>
  <c r="G15" i="77"/>
  <c r="H13" i="77"/>
  <c r="F12" i="77"/>
  <c r="F11" i="77"/>
  <c r="F10" i="77" s="1"/>
  <c r="H10" i="77"/>
  <c r="G10" i="77"/>
  <c r="F123" i="56"/>
  <c r="F122" i="56"/>
  <c r="F121" i="56"/>
  <c r="F120" i="56"/>
  <c r="F119" i="56"/>
  <c r="F118" i="56"/>
  <c r="F117" i="56"/>
  <c r="F116" i="56"/>
  <c r="F115" i="56"/>
  <c r="F114" i="56"/>
  <c r="F109" i="56"/>
  <c r="F108" i="56"/>
  <c r="F107" i="56"/>
  <c r="F105" i="56"/>
  <c r="F104" i="56"/>
  <c r="F103" i="56"/>
  <c r="F102" i="56"/>
  <c r="F101" i="56"/>
  <c r="F100" i="56"/>
  <c r="F99" i="56"/>
  <c r="F98" i="56"/>
  <c r="F97" i="56"/>
  <c r="F96" i="56"/>
  <c r="F92" i="56"/>
  <c r="F91" i="56"/>
  <c r="F90" i="56"/>
  <c r="F89" i="56"/>
  <c r="F88" i="56"/>
  <c r="F87" i="56"/>
  <c r="F86" i="56"/>
  <c r="F84" i="56"/>
  <c r="F83" i="56"/>
  <c r="F82" i="56"/>
  <c r="F81" i="56"/>
  <c r="F80" i="56"/>
  <c r="F79" i="56"/>
  <c r="F78" i="56"/>
  <c r="F77" i="56"/>
  <c r="F76" i="56"/>
  <c r="F75" i="56"/>
  <c r="F70" i="56"/>
  <c r="F69" i="56"/>
  <c r="F68" i="56"/>
  <c r="F67" i="56"/>
  <c r="F66" i="56"/>
  <c r="F65" i="56"/>
  <c r="F64" i="56"/>
  <c r="F63" i="56"/>
  <c r="F62" i="56"/>
  <c r="F61" i="56"/>
  <c r="H59" i="56" s="1"/>
  <c r="F55" i="56"/>
  <c r="F54" i="56"/>
  <c r="F53" i="56"/>
  <c r="F47" i="56"/>
  <c r="F46" i="56"/>
  <c r="F45" i="56"/>
  <c r="F43" i="56"/>
  <c r="F42" i="56"/>
  <c r="F41" i="56"/>
  <c r="F40" i="56"/>
  <c r="F39" i="56"/>
  <c r="F38" i="56"/>
  <c r="F37" i="56"/>
  <c r="F36" i="56"/>
  <c r="F35" i="56"/>
  <c r="F34" i="56"/>
  <c r="F30" i="56"/>
  <c r="F29" i="56"/>
  <c r="F28" i="56"/>
  <c r="F27" i="56"/>
  <c r="F26" i="56"/>
  <c r="F25" i="56"/>
  <c r="F24" i="56"/>
  <c r="F22" i="56"/>
  <c r="F21" i="56"/>
  <c r="F20" i="56"/>
  <c r="F19" i="56"/>
  <c r="F18" i="56"/>
  <c r="F17" i="56"/>
  <c r="F16" i="56"/>
  <c r="F15" i="56"/>
  <c r="F14" i="56"/>
  <c r="F13" i="56"/>
  <c r="H11" i="56" s="1"/>
  <c r="C11" i="66"/>
  <c r="C44" i="48" l="1"/>
  <c r="K11" i="81"/>
  <c r="K9" i="81" s="1"/>
  <c r="H11" i="81"/>
  <c r="H9" i="81" s="1"/>
  <c r="F86" i="77"/>
  <c r="G139" i="77"/>
  <c r="F116" i="77"/>
  <c r="H24" i="77"/>
  <c r="H23" i="77" s="1"/>
  <c r="K89" i="83"/>
  <c r="M90" i="83"/>
  <c r="M89" i="83" s="1"/>
  <c r="M88" i="83" s="1"/>
  <c r="C44" i="46"/>
  <c r="E40" i="48"/>
  <c r="D43" i="46" s="1"/>
  <c r="K72" i="83" s="1"/>
  <c r="G11" i="81"/>
  <c r="G9" i="81" s="1"/>
  <c r="G40" i="48"/>
  <c r="I11" i="81"/>
  <c r="I9" i="81" s="1"/>
  <c r="G63" i="80"/>
  <c r="G56" i="80" s="1"/>
  <c r="G46" i="80" s="1"/>
  <c r="D40" i="48"/>
  <c r="F11" i="81"/>
  <c r="F9" i="81" s="1"/>
  <c r="J11" i="81"/>
  <c r="J9" i="81" s="1"/>
  <c r="F89" i="77"/>
  <c r="F101" i="77"/>
  <c r="G124" i="77"/>
  <c r="F146" i="77"/>
  <c r="F149" i="77"/>
  <c r="G51" i="77"/>
  <c r="F51" i="77" s="1"/>
  <c r="L41" i="81"/>
  <c r="L47" i="81"/>
  <c r="G57" i="80"/>
  <c r="G64" i="80"/>
  <c r="H53" i="80"/>
  <c r="H52" i="80" s="1"/>
  <c r="I53" i="80" s="1"/>
  <c r="G43" i="80"/>
  <c r="H49" i="80"/>
  <c r="H48" i="80" s="1"/>
  <c r="G45" i="80"/>
  <c r="G55" i="80"/>
  <c r="G62" i="80"/>
  <c r="G51" i="80"/>
  <c r="F42" i="80" s="1"/>
  <c r="F41" i="80" s="1"/>
  <c r="G50" i="80"/>
  <c r="F49" i="80"/>
  <c r="F48" i="80" s="1"/>
  <c r="E29" i="48" s="1"/>
  <c r="C29" i="48" s="1"/>
  <c r="H60" i="80"/>
  <c r="H59" i="80" s="1"/>
  <c r="F60" i="80" s="1"/>
  <c r="F59" i="80" s="1"/>
  <c r="H42" i="80"/>
  <c r="H41" i="80" s="1"/>
  <c r="H12" i="79"/>
  <c r="H8" i="78"/>
  <c r="F9" i="78"/>
  <c r="F8" i="78" s="1"/>
  <c r="G10" i="78"/>
  <c r="G9" i="78" s="1"/>
  <c r="F96" i="77"/>
  <c r="F94" i="77" s="1"/>
  <c r="G134" i="77"/>
  <c r="H50" i="77"/>
  <c r="H49" i="77" s="1"/>
  <c r="H48" i="77" s="1"/>
  <c r="H65" i="77"/>
  <c r="H64" i="77" s="1"/>
  <c r="H63" i="77" s="1"/>
  <c r="F66" i="77"/>
  <c r="F74" i="77"/>
  <c r="H95" i="77"/>
  <c r="H94" i="77" s="1"/>
  <c r="H93" i="77" s="1"/>
  <c r="F104" i="77"/>
  <c r="G109" i="77"/>
  <c r="H9" i="77"/>
  <c r="F32" i="77"/>
  <c r="F56" i="77"/>
  <c r="F59" i="77"/>
  <c r="F81" i="77"/>
  <c r="H124" i="77"/>
  <c r="H123" i="77" s="1"/>
  <c r="G16" i="77"/>
  <c r="G14" i="77" s="1"/>
  <c r="G13" i="77" s="1"/>
  <c r="G9" i="77" s="1"/>
  <c r="D43" i="52" s="1"/>
  <c r="K120" i="83" s="1"/>
  <c r="F14" i="77"/>
  <c r="F13" i="77" s="1"/>
  <c r="F9" i="77" s="1"/>
  <c r="G74" i="77"/>
  <c r="G94" i="77"/>
  <c r="G104" i="77"/>
  <c r="G119" i="77"/>
  <c r="G38" i="77"/>
  <c r="G64" i="77"/>
  <c r="H80" i="77"/>
  <c r="H79" i="77" s="1"/>
  <c r="H78" i="77" s="1"/>
  <c r="F71" i="77"/>
  <c r="F141" i="77"/>
  <c r="F40" i="77"/>
  <c r="F38" i="77" s="1"/>
  <c r="F37" i="77" s="1"/>
  <c r="H110" i="77"/>
  <c r="H109" i="77" s="1"/>
  <c r="H108" i="77" s="1"/>
  <c r="F111" i="77"/>
  <c r="F109" i="77" s="1"/>
  <c r="F119" i="77"/>
  <c r="F126" i="77"/>
  <c r="F131" i="77"/>
  <c r="F134" i="77"/>
  <c r="H139" i="77"/>
  <c r="H138" i="77" s="1"/>
  <c r="G43" i="77"/>
  <c r="G25" i="77"/>
  <c r="G24" i="77" s="1"/>
  <c r="G23" i="77" s="1"/>
  <c r="D44" i="52" s="1"/>
  <c r="K121" i="83" s="1"/>
  <c r="G59" i="77"/>
  <c r="G79" i="77"/>
  <c r="F25" i="77"/>
  <c r="G91" i="77"/>
  <c r="G89" i="77" s="1"/>
  <c r="G151" i="77"/>
  <c r="G149" i="77" s="1"/>
  <c r="G138" i="77" s="1"/>
  <c r="D53" i="52" s="1"/>
  <c r="K130" i="83" s="1"/>
  <c r="J130" i="83" s="1"/>
  <c r="F57" i="56"/>
  <c r="F58" i="56" s="1"/>
  <c r="F52" i="56" s="1"/>
  <c r="F51" i="56" s="1"/>
  <c r="F110" i="56"/>
  <c r="F111" i="56" s="1"/>
  <c r="F95" i="56" s="1"/>
  <c r="F124" i="56"/>
  <c r="F125" i="56" s="1"/>
  <c r="F113" i="56" s="1"/>
  <c r="F112" i="56" s="1"/>
  <c r="F31" i="56"/>
  <c r="F32" i="56" s="1"/>
  <c r="F12" i="56" s="1"/>
  <c r="F48" i="56"/>
  <c r="F49" i="56" s="1"/>
  <c r="F33" i="56" s="1"/>
  <c r="H33" i="56" s="1"/>
  <c r="F93" i="56"/>
  <c r="F94" i="56" s="1"/>
  <c r="F74" i="56" s="1"/>
  <c r="F71" i="56"/>
  <c r="F72" i="56" s="1"/>
  <c r="F60" i="56" s="1"/>
  <c r="H60" i="56" s="1"/>
  <c r="G108" i="77" l="1"/>
  <c r="D51" i="52" s="1"/>
  <c r="K128" i="83" s="1"/>
  <c r="J128" i="83" s="1"/>
  <c r="F139" i="77"/>
  <c r="F73" i="56"/>
  <c r="G49" i="77"/>
  <c r="F79" i="77"/>
  <c r="F78" i="77" s="1"/>
  <c r="C40" i="48"/>
  <c r="F64" i="77"/>
  <c r="F63" i="77" s="1"/>
  <c r="E21" i="48"/>
  <c r="C21" i="48" s="1"/>
  <c r="G48" i="77"/>
  <c r="D47" i="52" s="1"/>
  <c r="K124" i="83" s="1"/>
  <c r="E41" i="48"/>
  <c r="C41" i="48" s="1"/>
  <c r="L11" i="81"/>
  <c r="L9" i="81" s="1"/>
  <c r="H95" i="56"/>
  <c r="H113" i="56" s="1"/>
  <c r="H8" i="77"/>
  <c r="K119" i="83"/>
  <c r="M120" i="83"/>
  <c r="F49" i="77"/>
  <c r="F48" i="77" s="1"/>
  <c r="G93" i="77"/>
  <c r="D50" i="52" s="1"/>
  <c r="K127" i="83" s="1"/>
  <c r="J127" i="83" s="1"/>
  <c r="J30" i="84"/>
  <c r="J121" i="83"/>
  <c r="M121" i="83"/>
  <c r="C43" i="46"/>
  <c r="I44" i="46"/>
  <c r="L73" i="83"/>
  <c r="J73" i="83" s="1"/>
  <c r="F53" i="80"/>
  <c r="F52" i="80" s="1"/>
  <c r="D30" i="46"/>
  <c r="G123" i="77"/>
  <c r="D52" i="52" s="1"/>
  <c r="K129" i="83" s="1"/>
  <c r="J129" i="83" s="1"/>
  <c r="F24" i="77"/>
  <c r="F23" i="77" s="1"/>
  <c r="F8" i="77" s="1"/>
  <c r="G37" i="77"/>
  <c r="D46" i="52" s="1"/>
  <c r="K123" i="83" s="1"/>
  <c r="F138" i="77"/>
  <c r="H52" i="56"/>
  <c r="H74" i="56"/>
  <c r="F124" i="77"/>
  <c r="F123" i="77" s="1"/>
  <c r="G8" i="78"/>
  <c r="D39" i="52"/>
  <c r="K116" i="83" s="1"/>
  <c r="H39" i="80"/>
  <c r="G61" i="80"/>
  <c r="G60" i="80" s="1"/>
  <c r="G49" i="80"/>
  <c r="G48" i="80" s="1"/>
  <c r="G29" i="48" s="1"/>
  <c r="G54" i="80"/>
  <c r="G53" i="80" s="1"/>
  <c r="G52" i="80" s="1"/>
  <c r="G33" i="48" s="1"/>
  <c r="G44" i="80"/>
  <c r="G42" i="80" s="1"/>
  <c r="G41" i="80" s="1"/>
  <c r="G21" i="48" s="1"/>
  <c r="G18" i="79" s="1"/>
  <c r="D30" i="52" s="1"/>
  <c r="K107" i="83" s="1"/>
  <c r="F18" i="79"/>
  <c r="J9" i="78"/>
  <c r="G63" i="77"/>
  <c r="D48" i="52" s="1"/>
  <c r="K125" i="83" s="1"/>
  <c r="J125" i="83" s="1"/>
  <c r="H36" i="77"/>
  <c r="F93" i="77"/>
  <c r="G8" i="77"/>
  <c r="F108" i="77"/>
  <c r="G78" i="77"/>
  <c r="D49" i="52" s="1"/>
  <c r="K126" i="83" s="1"/>
  <c r="J126" i="83" s="1"/>
  <c r="F10" i="56"/>
  <c r="H10" i="56" s="1"/>
  <c r="H12" i="56" s="1"/>
  <c r="H112" i="56" s="1"/>
  <c r="H51" i="56" s="1"/>
  <c r="F50" i="56"/>
  <c r="H73" i="56" l="1"/>
  <c r="H7" i="77"/>
  <c r="J124" i="83"/>
  <c r="J120" i="83" s="1"/>
  <c r="J119" i="83" s="1"/>
  <c r="E33" i="48"/>
  <c r="C33" i="48" s="1"/>
  <c r="D28" i="46"/>
  <c r="D33" i="46"/>
  <c r="M119" i="83"/>
  <c r="M118" i="83" s="1"/>
  <c r="K122" i="83"/>
  <c r="O122" i="83" s="1"/>
  <c r="O118" i="83" s="1"/>
  <c r="J123" i="83"/>
  <c r="I30" i="84"/>
  <c r="L30" i="84"/>
  <c r="K105" i="83"/>
  <c r="J107" i="83"/>
  <c r="J106" i="83" s="1"/>
  <c r="J105" i="83" s="1"/>
  <c r="J102" i="83" s="1"/>
  <c r="F39" i="80"/>
  <c r="L72" i="83"/>
  <c r="I43" i="46"/>
  <c r="C36" i="46"/>
  <c r="K57" i="83"/>
  <c r="I30" i="46"/>
  <c r="K115" i="83"/>
  <c r="J116" i="83"/>
  <c r="J115" i="83" s="1"/>
  <c r="J114" i="83" s="1"/>
  <c r="M116" i="83"/>
  <c r="M115" i="83" s="1"/>
  <c r="M114" i="83" s="1"/>
  <c r="G36" i="77"/>
  <c r="G7" i="77" s="1"/>
  <c r="G59" i="80"/>
  <c r="G39" i="80" s="1"/>
  <c r="H18" i="79" s="1"/>
  <c r="G41" i="48"/>
  <c r="H8" i="80"/>
  <c r="F13" i="79"/>
  <c r="F36" i="77"/>
  <c r="F7" i="77" s="1"/>
  <c r="H50" i="56" s="1"/>
  <c r="J122" i="83" l="1"/>
  <c r="J118" i="83" s="1"/>
  <c r="K60" i="83"/>
  <c r="J60" i="83" s="1"/>
  <c r="I33" i="46"/>
  <c r="I28" i="46"/>
  <c r="K55" i="83"/>
  <c r="D31" i="46"/>
  <c r="K118" i="83"/>
  <c r="J101" i="83"/>
  <c r="K102" i="83"/>
  <c r="O105" i="83"/>
  <c r="O102" i="83" s="1"/>
  <c r="O101" i="83"/>
  <c r="J57" i="83"/>
  <c r="J56" i="83" s="1"/>
  <c r="L65" i="83"/>
  <c r="J72" i="83"/>
  <c r="K114" i="83"/>
  <c r="M101" i="83"/>
  <c r="H7" i="80"/>
  <c r="G8" i="80"/>
  <c r="G7" i="80" s="1"/>
  <c r="G13" i="79"/>
  <c r="H13" i="79" s="1"/>
  <c r="J55" i="83" l="1"/>
  <c r="K58" i="83"/>
  <c r="J58" i="83" s="1"/>
  <c r="I31" i="46"/>
  <c r="K101" i="83"/>
  <c r="N48" i="83"/>
  <c r="L63" i="83"/>
  <c r="L48" i="83" s="1"/>
  <c r="L35" i="83" s="1"/>
  <c r="P65" i="83"/>
  <c r="P63" i="83" s="1"/>
  <c r="P48" i="83"/>
  <c r="P35" i="83"/>
  <c r="F8" i="80"/>
  <c r="F7" i="80" l="1"/>
  <c r="D35" i="46" l="1"/>
  <c r="F86" i="16" l="1"/>
  <c r="K62" i="83"/>
  <c r="I35" i="46"/>
  <c r="F64" i="16" l="1"/>
  <c r="J62" i="83"/>
  <c r="F17" i="16"/>
  <c r="F29" i="16" l="1"/>
  <c r="F39" i="16"/>
  <c r="F9" i="16"/>
  <c r="O201" i="76" l="1"/>
  <c r="O200" i="76"/>
  <c r="O199" i="76"/>
  <c r="O198" i="76"/>
  <c r="O197" i="76"/>
  <c r="D14" i="66" l="1"/>
  <c r="K139" i="83" s="1"/>
  <c r="K138" i="83" l="1"/>
  <c r="K135" i="83" l="1"/>
  <c r="O138" i="83"/>
  <c r="O135" i="83" s="1"/>
  <c r="K164" i="83"/>
  <c r="K157" i="83"/>
  <c r="K159" i="83"/>
  <c r="K160" i="83"/>
  <c r="K158" i="83"/>
  <c r="K163" i="83"/>
  <c r="K155" i="83"/>
  <c r="K162" i="83"/>
  <c r="K161" i="83"/>
  <c r="J19" i="84" l="1"/>
  <c r="M155" i="83"/>
  <c r="J155" i="83"/>
  <c r="K154" i="83"/>
  <c r="K156" i="83"/>
  <c r="J157" i="83"/>
  <c r="J164" i="83"/>
  <c r="J163" i="83" s="1"/>
  <c r="J162" i="83" s="1"/>
  <c r="J161" i="83" s="1"/>
  <c r="J160" i="83" s="1"/>
  <c r="J159" i="83" s="1"/>
  <c r="J158" i="83" s="1"/>
  <c r="D13" i="66"/>
  <c r="E12" i="66"/>
  <c r="E11" i="66" s="1"/>
  <c r="D11" i="66"/>
  <c r="O156" i="83" l="1"/>
  <c r="O152" i="83" s="1"/>
  <c r="J156" i="83"/>
  <c r="J22" i="84"/>
  <c r="K153" i="83"/>
  <c r="J154" i="83"/>
  <c r="J153" i="83" s="1"/>
  <c r="M154" i="83"/>
  <c r="M153" i="83" s="1"/>
  <c r="M152" i="83" s="1"/>
  <c r="I19" i="84"/>
  <c r="L19" i="84"/>
  <c r="D10" i="66"/>
  <c r="F11" i="74"/>
  <c r="F10" i="74" s="1"/>
  <c r="G11" i="74"/>
  <c r="K152" i="83" l="1"/>
  <c r="I22" i="84"/>
  <c r="L22" i="84"/>
  <c r="J152" i="83"/>
  <c r="C28" i="63"/>
  <c r="L211" i="83" s="1"/>
  <c r="G10" i="74"/>
  <c r="K14" i="84" l="1"/>
  <c r="L210" i="83"/>
  <c r="N211" i="83"/>
  <c r="N210" i="83" s="1"/>
  <c r="N209" i="83" s="1"/>
  <c r="F27" i="63"/>
  <c r="F26" i="63" s="1"/>
  <c r="C27" i="63"/>
  <c r="C26" i="63" s="1"/>
  <c r="H36" i="73"/>
  <c r="H32" i="73" s="1"/>
  <c r="H31" i="73" s="1"/>
  <c r="D28" i="73"/>
  <c r="I9" i="73"/>
  <c r="J22" i="72"/>
  <c r="F22" i="72"/>
  <c r="G22" i="72" s="1"/>
  <c r="J21" i="72"/>
  <c r="F21" i="72"/>
  <c r="F17" i="72" s="1"/>
  <c r="K17" i="72" s="1"/>
  <c r="J20" i="72"/>
  <c r="G20" i="72"/>
  <c r="J19" i="72"/>
  <c r="G19" i="72"/>
  <c r="J18" i="72"/>
  <c r="G18" i="72"/>
  <c r="I17" i="72"/>
  <c r="J17" i="72" s="1"/>
  <c r="J16" i="72"/>
  <c r="F16" i="72"/>
  <c r="G16" i="72" s="1"/>
  <c r="J15" i="72"/>
  <c r="G15" i="72"/>
  <c r="J14" i="72"/>
  <c r="G14" i="72"/>
  <c r="J13" i="72"/>
  <c r="G13" i="72"/>
  <c r="J12" i="72"/>
  <c r="G12" i="72"/>
  <c r="I11" i="72"/>
  <c r="J11" i="72" s="1"/>
  <c r="H11" i="72"/>
  <c r="H9" i="72"/>
  <c r="H8" i="72" s="1"/>
  <c r="F472" i="71"/>
  <c r="G472" i="71" s="1"/>
  <c r="F470" i="71"/>
  <c r="G470" i="71" s="1"/>
  <c r="F469" i="71"/>
  <c r="F468" i="71"/>
  <c r="F467" i="71"/>
  <c r="F465" i="71"/>
  <c r="F464" i="71"/>
  <c r="F463" i="71"/>
  <c r="F462" i="71"/>
  <c r="G462" i="71" s="1"/>
  <c r="F461" i="71"/>
  <c r="F460" i="71"/>
  <c r="F459" i="71"/>
  <c r="F458" i="71"/>
  <c r="F457" i="71"/>
  <c r="E456" i="71"/>
  <c r="F456" i="71" s="1"/>
  <c r="F455" i="71"/>
  <c r="F454" i="71"/>
  <c r="F453" i="71"/>
  <c r="G453" i="71" s="1"/>
  <c r="F450" i="71"/>
  <c r="G450" i="71" s="1"/>
  <c r="F449" i="71"/>
  <c r="F448" i="71"/>
  <c r="F447" i="71"/>
  <c r="F446" i="71"/>
  <c r="G446" i="71" s="1"/>
  <c r="F445" i="71"/>
  <c r="G445" i="71" s="1"/>
  <c r="F444" i="71"/>
  <c r="G444" i="71" s="1"/>
  <c r="F443" i="71"/>
  <c r="G439" i="71" s="1"/>
  <c r="F434" i="71"/>
  <c r="F433" i="71"/>
  <c r="G433" i="71" s="1"/>
  <c r="F432" i="71"/>
  <c r="F431" i="71"/>
  <c r="F428" i="71"/>
  <c r="F427" i="71"/>
  <c r="G427" i="71" s="1"/>
  <c r="F426" i="71"/>
  <c r="F425" i="71"/>
  <c r="F424" i="71"/>
  <c r="F423" i="71"/>
  <c r="G423" i="71" s="1"/>
  <c r="F421" i="71"/>
  <c r="F420" i="71"/>
  <c r="F419" i="71"/>
  <c r="F418" i="71"/>
  <c r="F417" i="71"/>
  <c r="E416" i="71"/>
  <c r="F416" i="71" s="1"/>
  <c r="F415" i="71"/>
  <c r="F413" i="71"/>
  <c r="E412" i="71"/>
  <c r="F412" i="71" s="1"/>
  <c r="F411" i="71"/>
  <c r="F410" i="71"/>
  <c r="F409" i="71"/>
  <c r="F406" i="71"/>
  <c r="F405" i="71"/>
  <c r="G405" i="71" s="1"/>
  <c r="F404" i="71"/>
  <c r="F403" i="71"/>
  <c r="F402" i="71"/>
  <c r="F401" i="71"/>
  <c r="G401" i="71" s="1"/>
  <c r="F400" i="71"/>
  <c r="F399" i="71"/>
  <c r="F397" i="71"/>
  <c r="F396" i="71"/>
  <c r="F395" i="71"/>
  <c r="F394" i="71"/>
  <c r="F389" i="71"/>
  <c r="F388" i="71"/>
  <c r="F387" i="71"/>
  <c r="F384" i="71"/>
  <c r="F383" i="71"/>
  <c r="F382" i="71"/>
  <c r="F381" i="71"/>
  <c r="F380" i="71"/>
  <c r="F379" i="71"/>
  <c r="F377" i="71"/>
  <c r="G377" i="71" s="1"/>
  <c r="F376" i="71"/>
  <c r="F375" i="71"/>
  <c r="F374" i="71"/>
  <c r="F373" i="71"/>
  <c r="F372" i="71"/>
  <c r="F371" i="71"/>
  <c r="F369" i="71"/>
  <c r="G369" i="71" s="1"/>
  <c r="E368" i="71"/>
  <c r="F368" i="71" s="1"/>
  <c r="F367" i="71"/>
  <c r="F366" i="71"/>
  <c r="F365" i="71"/>
  <c r="G365" i="71" s="1"/>
  <c r="F362" i="71"/>
  <c r="F361" i="71"/>
  <c r="G361" i="71" s="1"/>
  <c r="F360" i="71"/>
  <c r="G360" i="71" s="1"/>
  <c r="F359" i="71"/>
  <c r="F358" i="71"/>
  <c r="F357" i="71"/>
  <c r="G357" i="71" s="1"/>
  <c r="F356" i="71"/>
  <c r="G356" i="71" s="1"/>
  <c r="F355" i="71"/>
  <c r="F352" i="71"/>
  <c r="F351" i="71"/>
  <c r="F350" i="71"/>
  <c r="F345" i="71"/>
  <c r="G345" i="71" s="1"/>
  <c r="F344" i="71"/>
  <c r="F343" i="71"/>
  <c r="F340" i="71"/>
  <c r="F339" i="71"/>
  <c r="F338" i="71"/>
  <c r="F337" i="71"/>
  <c r="F336" i="71"/>
  <c r="F335" i="71"/>
  <c r="F333" i="71"/>
  <c r="G333" i="71" s="1"/>
  <c r="F332" i="71"/>
  <c r="F331" i="71"/>
  <c r="F330" i="71"/>
  <c r="F329" i="71"/>
  <c r="G329" i="71" s="1"/>
  <c r="F328" i="71"/>
  <c r="F327" i="71"/>
  <c r="F326" i="71"/>
  <c r="F325" i="71"/>
  <c r="G325" i="71" s="1"/>
  <c r="E324" i="71"/>
  <c r="F323" i="71"/>
  <c r="F322" i="71"/>
  <c r="G322" i="71" s="1"/>
  <c r="F321" i="71"/>
  <c r="F318" i="71"/>
  <c r="F317" i="71"/>
  <c r="F316" i="71"/>
  <c r="F315" i="71"/>
  <c r="F314" i="71"/>
  <c r="F313" i="71"/>
  <c r="F312" i="71"/>
  <c r="G312" i="71" s="1"/>
  <c r="F311" i="71"/>
  <c r="G311" i="71" s="1"/>
  <c r="F309" i="71"/>
  <c r="F308" i="71"/>
  <c r="G308" i="71" s="1"/>
  <c r="F307" i="71"/>
  <c r="G307" i="71" s="1"/>
  <c r="F306" i="71"/>
  <c r="G304" i="71" s="1"/>
  <c r="F301" i="71"/>
  <c r="F300" i="71"/>
  <c r="F299" i="71"/>
  <c r="F296" i="71"/>
  <c r="G296" i="71" s="1"/>
  <c r="F295" i="71"/>
  <c r="F294" i="71"/>
  <c r="F293" i="71"/>
  <c r="F292" i="71"/>
  <c r="G292" i="71" s="1"/>
  <c r="F291" i="71"/>
  <c r="G291" i="71" s="1"/>
  <c r="F289" i="71"/>
  <c r="F288" i="71"/>
  <c r="F287" i="71"/>
  <c r="G287" i="71" s="1"/>
  <c r="F286" i="71"/>
  <c r="F285" i="71"/>
  <c r="F284" i="71"/>
  <c r="G284" i="71" s="1"/>
  <c r="F283" i="71"/>
  <c r="G283" i="71" s="1"/>
  <c r="F282" i="71"/>
  <c r="F281" i="71"/>
  <c r="E280" i="71"/>
  <c r="F279" i="71"/>
  <c r="G279" i="71" s="1"/>
  <c r="F278" i="71"/>
  <c r="G278" i="71" s="1"/>
  <c r="F274" i="71"/>
  <c r="G274" i="71" s="1"/>
  <c r="F273" i="71"/>
  <c r="F272" i="71"/>
  <c r="F271" i="71"/>
  <c r="G271" i="71" s="1"/>
  <c r="F270" i="71"/>
  <c r="G270" i="71" s="1"/>
  <c r="F269" i="71"/>
  <c r="F268" i="71"/>
  <c r="F267" i="71"/>
  <c r="G267" i="71" s="1"/>
  <c r="F265" i="71"/>
  <c r="F264" i="71"/>
  <c r="F263" i="71"/>
  <c r="G263" i="71" s="1"/>
  <c r="F262" i="71"/>
  <c r="G262" i="71" s="1"/>
  <c r="G259" i="71" s="1"/>
  <c r="F257" i="71"/>
  <c r="F256" i="71"/>
  <c r="F255" i="71"/>
  <c r="G255" i="71" s="1"/>
  <c r="F254" i="71"/>
  <c r="F251" i="71"/>
  <c r="G251" i="71" s="1"/>
  <c r="F250" i="71"/>
  <c r="H245" i="71" s="1"/>
  <c r="F249" i="71"/>
  <c r="F248" i="71"/>
  <c r="F247" i="71"/>
  <c r="G247" i="71" s="1"/>
  <c r="F246" i="71"/>
  <c r="G246" i="71" s="1"/>
  <c r="F244" i="71"/>
  <c r="F243" i="71"/>
  <c r="G243" i="71" s="1"/>
  <c r="F242" i="71"/>
  <c r="G242" i="71" s="1"/>
  <c r="F241" i="71"/>
  <c r="F240" i="71"/>
  <c r="F239" i="71"/>
  <c r="G239" i="71" s="1"/>
  <c r="F238" i="71"/>
  <c r="G238" i="71" s="1"/>
  <c r="F237" i="71"/>
  <c r="F236" i="71"/>
  <c r="E235" i="71"/>
  <c r="F235" i="71" s="1"/>
  <c r="F234" i="71"/>
  <c r="G234" i="71" s="1"/>
  <c r="F233" i="71"/>
  <c r="G233" i="71" s="1"/>
  <c r="F232" i="71"/>
  <c r="F229" i="71"/>
  <c r="G229" i="71" s="1"/>
  <c r="F228" i="71"/>
  <c r="F227" i="71"/>
  <c r="F226" i="71"/>
  <c r="G226" i="71" s="1"/>
  <c r="F225" i="71"/>
  <c r="G225" i="71" s="1"/>
  <c r="F224" i="71"/>
  <c r="F223" i="71"/>
  <c r="F222" i="71"/>
  <c r="D218" i="71"/>
  <c r="F220" i="71" s="1"/>
  <c r="F217" i="71"/>
  <c r="F212" i="71"/>
  <c r="F211" i="71"/>
  <c r="G211" i="71" s="1"/>
  <c r="F210" i="71"/>
  <c r="F207" i="71"/>
  <c r="F206" i="71"/>
  <c r="F205" i="71"/>
  <c r="F204" i="71"/>
  <c r="F203" i="71"/>
  <c r="F202" i="71"/>
  <c r="F200" i="71"/>
  <c r="F199" i="71"/>
  <c r="F198" i="71"/>
  <c r="F197" i="71"/>
  <c r="F196" i="71"/>
  <c r="F195" i="71"/>
  <c r="F194" i="71"/>
  <c r="H193" i="71" s="1"/>
  <c r="F192" i="71"/>
  <c r="E191" i="71"/>
  <c r="F190" i="71"/>
  <c r="F189" i="71"/>
  <c r="F188" i="71"/>
  <c r="G188" i="71" s="1"/>
  <c r="J188" i="71" s="1"/>
  <c r="F185" i="71"/>
  <c r="G185" i="71" s="1"/>
  <c r="F184" i="71"/>
  <c r="F183" i="71"/>
  <c r="F182" i="71"/>
  <c r="F181" i="71"/>
  <c r="G181" i="71" s="1"/>
  <c r="F180" i="71"/>
  <c r="F179" i="71"/>
  <c r="G179" i="71" s="1"/>
  <c r="F178" i="71"/>
  <c r="F176" i="71"/>
  <c r="F175" i="71"/>
  <c r="F174" i="71"/>
  <c r="F173" i="71"/>
  <c r="F167" i="71"/>
  <c r="F166" i="71"/>
  <c r="F165" i="71"/>
  <c r="G162" i="71" s="1"/>
  <c r="F161" i="71"/>
  <c r="F160" i="71"/>
  <c r="F159" i="71"/>
  <c r="G159" i="71" s="1"/>
  <c r="F158" i="71"/>
  <c r="F157" i="71"/>
  <c r="F155" i="71"/>
  <c r="F154" i="71"/>
  <c r="F153" i="71"/>
  <c r="F152" i="71"/>
  <c r="F151" i="71"/>
  <c r="G151" i="71" s="1"/>
  <c r="F150" i="71"/>
  <c r="F149" i="71"/>
  <c r="F148" i="71"/>
  <c r="F147" i="71"/>
  <c r="G147" i="71" s="1"/>
  <c r="E146" i="71"/>
  <c r="F146" i="71" s="1"/>
  <c r="F145" i="71"/>
  <c r="F144" i="71"/>
  <c r="G143" i="71" s="1"/>
  <c r="F140" i="71"/>
  <c r="G140" i="71" s="1"/>
  <c r="F139" i="71"/>
  <c r="F138" i="71"/>
  <c r="F137" i="71"/>
  <c r="F136" i="71"/>
  <c r="G136" i="71" s="1"/>
  <c r="F135" i="71"/>
  <c r="F134" i="71"/>
  <c r="F133" i="71"/>
  <c r="D129" i="71"/>
  <c r="F131" i="71" s="1"/>
  <c r="F128" i="71"/>
  <c r="G126" i="71" s="1"/>
  <c r="G125" i="71"/>
  <c r="F123" i="71"/>
  <c r="F122" i="71"/>
  <c r="F121" i="71"/>
  <c r="F113" i="71"/>
  <c r="H113" i="71" s="1"/>
  <c r="E105" i="71"/>
  <c r="E104" i="71" s="1"/>
  <c r="E92" i="71"/>
  <c r="E89" i="71" s="1"/>
  <c r="D16" i="63" s="1"/>
  <c r="K199" i="83" s="1"/>
  <c r="D58" i="71"/>
  <c r="D57" i="71"/>
  <c r="G56" i="71" s="1"/>
  <c r="F55" i="71"/>
  <c r="F51" i="71"/>
  <c r="F49" i="71"/>
  <c r="F47" i="71"/>
  <c r="H47" i="71" s="1"/>
  <c r="F46" i="71"/>
  <c r="F45" i="71"/>
  <c r="H45" i="71" s="1"/>
  <c r="F43" i="71"/>
  <c r="H43" i="71" s="1"/>
  <c r="F42" i="71"/>
  <c r="F38" i="71"/>
  <c r="H37" i="71" s="1"/>
  <c r="E34" i="71"/>
  <c r="F32" i="71"/>
  <c r="H32" i="71" s="1"/>
  <c r="E30" i="71"/>
  <c r="F30" i="71" s="1"/>
  <c r="H26" i="71" s="1"/>
  <c r="H25" i="71" s="1"/>
  <c r="H24" i="71" s="1"/>
  <c r="H23" i="71"/>
  <c r="H20" i="71" s="1"/>
  <c r="H19" i="71" s="1"/>
  <c r="F17" i="71"/>
  <c r="H16" i="71" s="1"/>
  <c r="F13" i="71"/>
  <c r="G54" i="71" l="1"/>
  <c r="F11" i="72"/>
  <c r="K11" i="72" s="1"/>
  <c r="K12" i="72"/>
  <c r="D56" i="71"/>
  <c r="F56" i="71" s="1"/>
  <c r="F54" i="71" s="1"/>
  <c r="G149" i="71" s="1"/>
  <c r="H156" i="71" s="1"/>
  <c r="I10" i="72"/>
  <c r="I9" i="72" s="1"/>
  <c r="I8" i="72" s="1"/>
  <c r="N193" i="83"/>
  <c r="L209" i="83"/>
  <c r="M14" i="84"/>
  <c r="J28" i="84"/>
  <c r="M199" i="83"/>
  <c r="J199" i="83"/>
  <c r="G459" i="71"/>
  <c r="F41" i="71"/>
  <c r="H40" i="71" s="1"/>
  <c r="H39" i="71" s="1"/>
  <c r="F177" i="71"/>
  <c r="F245" i="71"/>
  <c r="G463" i="71"/>
  <c r="G158" i="71"/>
  <c r="G155" i="71"/>
  <c r="G350" i="71"/>
  <c r="G397" i="71"/>
  <c r="F142" i="71"/>
  <c r="K19" i="72"/>
  <c r="K20" i="72"/>
  <c r="G28" i="63"/>
  <c r="G27" i="63" s="1"/>
  <c r="G26" i="63" s="1"/>
  <c r="K13" i="72"/>
  <c r="K15" i="72"/>
  <c r="K14" i="72"/>
  <c r="K18" i="72"/>
  <c r="G288" i="71"/>
  <c r="G316" i="71"/>
  <c r="F44" i="71"/>
  <c r="G300" i="71"/>
  <c r="G454" i="71"/>
  <c r="F172" i="71"/>
  <c r="H35" i="73"/>
  <c r="H30" i="73"/>
  <c r="H34" i="73"/>
  <c r="G468" i="71"/>
  <c r="F408" i="71"/>
  <c r="G182" i="71" s="1"/>
  <c r="J182" i="71" s="1"/>
  <c r="G139" i="71"/>
  <c r="F129" i="71"/>
  <c r="G129" i="71" s="1"/>
  <c r="H36" i="71"/>
  <c r="F50" i="71"/>
  <c r="F48" i="71" s="1"/>
  <c r="G138" i="71" s="1"/>
  <c r="G176" i="71" s="1"/>
  <c r="J176" i="71" s="1"/>
  <c r="G220" i="71" s="1"/>
  <c r="H51" i="71"/>
  <c r="G51" i="71" s="1"/>
  <c r="F14" i="71"/>
  <c r="F33" i="71"/>
  <c r="H42" i="71"/>
  <c r="H41" i="71" s="1"/>
  <c r="H104" i="71" s="1"/>
  <c r="G29" i="71" s="1"/>
  <c r="F29" i="71"/>
  <c r="G146" i="71"/>
  <c r="H354" i="71"/>
  <c r="H58" i="71"/>
  <c r="G16" i="63" s="1"/>
  <c r="F124" i="71"/>
  <c r="G135" i="71"/>
  <c r="G154" i="71"/>
  <c r="G184" i="71"/>
  <c r="J184" i="71" s="1"/>
  <c r="G191" i="71" s="1"/>
  <c r="J191" i="71" s="1"/>
  <c r="F193" i="71"/>
  <c r="G303" i="71"/>
  <c r="G302" i="71" s="1"/>
  <c r="G330" i="71"/>
  <c r="G337" i="71"/>
  <c r="G353" i="71"/>
  <c r="G373" i="71"/>
  <c r="G381" i="71"/>
  <c r="G431" i="71"/>
  <c r="G458" i="71"/>
  <c r="G236" i="71"/>
  <c r="G244" i="71"/>
  <c r="G309" i="71"/>
  <c r="G150" i="71"/>
  <c r="H180" i="71" s="1"/>
  <c r="H177" i="71" s="1"/>
  <c r="F201" i="71"/>
  <c r="G202" i="71" s="1"/>
  <c r="J202" i="71" s="1"/>
  <c r="H201" i="71" s="1"/>
  <c r="G215" i="71"/>
  <c r="G223" i="71" s="1"/>
  <c r="G240" i="71"/>
  <c r="G258" i="71"/>
  <c r="G260" i="71" s="1"/>
  <c r="G289" i="71" s="1"/>
  <c r="G301" i="71" s="1"/>
  <c r="G315" i="71"/>
  <c r="G317" i="71" s="1"/>
  <c r="G351" i="71" s="1"/>
  <c r="G389" i="71"/>
  <c r="G409" i="71" s="1"/>
  <c r="G419" i="71"/>
  <c r="G424" i="71" s="1"/>
  <c r="G432" i="71"/>
  <c r="G471" i="71"/>
  <c r="G194" i="71"/>
  <c r="G198" i="71"/>
  <c r="J198" i="71" s="1"/>
  <c r="G268" i="71"/>
  <c r="G281" i="71"/>
  <c r="H302" i="71"/>
  <c r="G321" i="71"/>
  <c r="F132" i="71"/>
  <c r="J181" i="71"/>
  <c r="G183" i="71" s="1"/>
  <c r="J183" i="71" s="1"/>
  <c r="J185" i="71"/>
  <c r="G195" i="71" s="1"/>
  <c r="J195" i="71" s="1"/>
  <c r="G199" i="71" s="1"/>
  <c r="J199" i="71" s="1"/>
  <c r="G203" i="71"/>
  <c r="J203" i="71" s="1"/>
  <c r="G207" i="71"/>
  <c r="J207" i="71" s="1"/>
  <c r="F213" i="71"/>
  <c r="G213" i="71" s="1"/>
  <c r="G224" i="71" s="1"/>
  <c r="G227" i="71"/>
  <c r="G248" i="71"/>
  <c r="G250" i="71"/>
  <c r="G245" i="71" s="1"/>
  <c r="G254" i="71"/>
  <c r="G256" i="71" s="1"/>
  <c r="F261" i="71"/>
  <c r="G261" i="71" s="1"/>
  <c r="G264" i="71"/>
  <c r="G272" i="71"/>
  <c r="G285" i="71"/>
  <c r="F290" i="71"/>
  <c r="G290" i="71" s="1"/>
  <c r="G293" i="71"/>
  <c r="G295" i="71"/>
  <c r="F302" i="71"/>
  <c r="G313" i="71" s="1"/>
  <c r="G338" i="71" s="1"/>
  <c r="G410" i="71"/>
  <c r="G449" i="71"/>
  <c r="G467" i="71"/>
  <c r="F9" i="73"/>
  <c r="H12" i="73"/>
  <c r="H33" i="73"/>
  <c r="J10" i="72"/>
  <c r="J9" i="72" s="1"/>
  <c r="J8" i="72" s="1"/>
  <c r="F10" i="72"/>
  <c r="F9" i="72" s="1"/>
  <c r="K16" i="72"/>
  <c r="K22" i="72"/>
  <c r="G9" i="72"/>
  <c r="G8" i="72" s="1"/>
  <c r="G21" i="72"/>
  <c r="K21" i="72" s="1"/>
  <c r="F88" i="71"/>
  <c r="H49" i="71"/>
  <c r="G49" i="71" s="1"/>
  <c r="G237" i="71"/>
  <c r="G273" i="71" s="1"/>
  <c r="G286" i="71" s="1"/>
  <c r="H18" i="71"/>
  <c r="H46" i="71" s="1"/>
  <c r="H55" i="71"/>
  <c r="H57" i="71"/>
  <c r="H56" i="71" s="1"/>
  <c r="G128" i="71" s="1"/>
  <c r="H142" i="71"/>
  <c r="G153" i="71" s="1"/>
  <c r="G173" i="71" s="1"/>
  <c r="J173" i="71" s="1"/>
  <c r="F221" i="71"/>
  <c r="G235" i="71" s="1"/>
  <c r="G299" i="71"/>
  <c r="G41" i="71"/>
  <c r="G161" i="71"/>
  <c r="G156" i="71" s="1"/>
  <c r="F156" i="71"/>
  <c r="G170" i="71"/>
  <c r="J170" i="71" s="1"/>
  <c r="F168" i="71"/>
  <c r="G178" i="71"/>
  <c r="G177" i="71" s="1"/>
  <c r="H11" i="71" s="1"/>
  <c r="G33" i="71" s="1"/>
  <c r="H53" i="71" s="1"/>
  <c r="G174" i="71" s="1"/>
  <c r="J174" i="71" s="1"/>
  <c r="F276" i="71"/>
  <c r="G318" i="71" s="1"/>
  <c r="H12" i="71"/>
  <c r="H21" i="71" s="1"/>
  <c r="H35" i="71"/>
  <c r="G157" i="71" s="1"/>
  <c r="H171" i="71" s="1"/>
  <c r="J171" i="71" s="1"/>
  <c r="G175" i="71" s="1"/>
  <c r="J175" i="71" s="1"/>
  <c r="J179" i="71"/>
  <c r="H187" i="71" s="1"/>
  <c r="F187" i="71"/>
  <c r="F219" i="71" s="1"/>
  <c r="F218" i="71"/>
  <c r="G133" i="71"/>
  <c r="H132" i="71"/>
  <c r="H434" i="71"/>
  <c r="G435" i="71"/>
  <c r="G222" i="71"/>
  <c r="G249" i="71" s="1"/>
  <c r="G257" i="71" s="1"/>
  <c r="F266" i="71"/>
  <c r="G269" i="71" s="1"/>
  <c r="G282" i="71"/>
  <c r="G314" i="71" s="1"/>
  <c r="G413" i="71" s="1"/>
  <c r="H52" i="71" s="1"/>
  <c r="G121" i="71"/>
  <c r="G123" i="71"/>
  <c r="G134" i="71"/>
  <c r="G137" i="71"/>
  <c r="G144" i="71"/>
  <c r="G148" i="71"/>
  <c r="G152" i="71"/>
  <c r="G160" i="71"/>
  <c r="G165" i="71"/>
  <c r="G166" i="71"/>
  <c r="J166" i="71" s="1"/>
  <c r="G167" i="71"/>
  <c r="J167" i="71" s="1"/>
  <c r="G169" i="71"/>
  <c r="G197" i="71"/>
  <c r="J197" i="71" s="1"/>
  <c r="G205" i="71"/>
  <c r="J205" i="71" s="1"/>
  <c r="G210" i="71"/>
  <c r="G212" i="71"/>
  <c r="G214" i="71"/>
  <c r="G280" i="71" s="1"/>
  <c r="G294" i="71" s="1"/>
  <c r="F310" i="71"/>
  <c r="H320" i="71"/>
  <c r="G348" i="71" s="1"/>
  <c r="G368" i="71" s="1"/>
  <c r="G426" i="71" s="1"/>
  <c r="F422" i="71"/>
  <c r="F130" i="71" s="1"/>
  <c r="G192" i="71"/>
  <c r="J192" i="71" s="1"/>
  <c r="G196" i="71"/>
  <c r="J196" i="71" s="1"/>
  <c r="G200" i="71"/>
  <c r="J200" i="71" s="1"/>
  <c r="G204" i="71"/>
  <c r="J204" i="71" s="1"/>
  <c r="G217" i="71" s="1"/>
  <c r="G228" i="71" s="1"/>
  <c r="G232" i="71" s="1"/>
  <c r="F231" i="71"/>
  <c r="G241" i="71" s="1"/>
  <c r="G265" i="71" s="1"/>
  <c r="G306" i="71" s="1"/>
  <c r="F305" i="71"/>
  <c r="G332" i="71" s="1"/>
  <c r="G392" i="71" s="1"/>
  <c r="G438" i="71"/>
  <c r="F437" i="71"/>
  <c r="G441" i="71" s="1"/>
  <c r="G461" i="71"/>
  <c r="F334" i="71"/>
  <c r="G336" i="71"/>
  <c r="G376" i="71" s="1"/>
  <c r="G396" i="71" s="1"/>
  <c r="G456" i="71" s="1"/>
  <c r="H466" i="71" s="1"/>
  <c r="F320" i="71"/>
  <c r="G323" i="71"/>
  <c r="F349" i="71"/>
  <c r="G352" i="71" s="1"/>
  <c r="F364" i="71"/>
  <c r="G367" i="71"/>
  <c r="H370" i="71" s="1"/>
  <c r="G374" i="71"/>
  <c r="G384" i="71" s="1"/>
  <c r="G388" i="71" s="1"/>
  <c r="G394" i="71"/>
  <c r="G404" i="71" s="1"/>
  <c r="G406" i="71"/>
  <c r="G415" i="71"/>
  <c r="G436" i="71"/>
  <c r="G443" i="71"/>
  <c r="G442" i="71" s="1"/>
  <c r="G448" i="71" s="1"/>
  <c r="G457" i="71" s="1"/>
  <c r="G465" i="71" s="1"/>
  <c r="G326" i="71"/>
  <c r="G340" i="71" s="1"/>
  <c r="G344" i="71" s="1"/>
  <c r="G359" i="71" s="1"/>
  <c r="H378" i="71" s="1"/>
  <c r="G382" i="71"/>
  <c r="G400" i="71" s="1"/>
  <c r="G402" i="71"/>
  <c r="G412" i="71" s="1"/>
  <c r="G418" i="71" s="1"/>
  <c r="G420" i="71"/>
  <c r="G428" i="71"/>
  <c r="H442" i="71"/>
  <c r="F452" i="71"/>
  <c r="G327" i="71"/>
  <c r="G331" i="71"/>
  <c r="G335" i="71"/>
  <c r="G339" i="71"/>
  <c r="G343" i="71"/>
  <c r="F346" i="71"/>
  <c r="G347" i="71"/>
  <c r="F354" i="71"/>
  <c r="G355" i="71"/>
  <c r="G358" i="71"/>
  <c r="G362" i="71"/>
  <c r="G366" i="71"/>
  <c r="F370" i="71"/>
  <c r="G371" i="71"/>
  <c r="G375" i="71"/>
  <c r="F378" i="71"/>
  <c r="G379" i="71"/>
  <c r="G383" i="71"/>
  <c r="G387" i="71"/>
  <c r="F390" i="71"/>
  <c r="G391" i="71"/>
  <c r="G395" i="71"/>
  <c r="F398" i="71"/>
  <c r="G399" i="71"/>
  <c r="G403" i="71"/>
  <c r="G411" i="71"/>
  <c r="G417" i="71"/>
  <c r="G421" i="71"/>
  <c r="G425" i="71"/>
  <c r="G440" i="71"/>
  <c r="G447" i="71"/>
  <c r="G455" i="71"/>
  <c r="G460" i="71"/>
  <c r="G464" i="71"/>
  <c r="F393" i="71"/>
  <c r="F414" i="71"/>
  <c r="F442" i="71"/>
  <c r="F466" i="71"/>
  <c r="F141" i="71" l="1"/>
  <c r="H168" i="71" s="1"/>
  <c r="H164" i="71" s="1"/>
  <c r="H163" i="71" s="1"/>
  <c r="G142" i="71"/>
  <c r="G141" i="71" s="1"/>
  <c r="F127" i="71"/>
  <c r="F120" i="71" s="1"/>
  <c r="F119" i="71" s="1"/>
  <c r="G14" i="71"/>
  <c r="H22" i="71" s="1"/>
  <c r="F10" i="71"/>
  <c r="G193" i="71"/>
  <c r="J194" i="71"/>
  <c r="F8" i="73"/>
  <c r="I8" i="73" s="1"/>
  <c r="H186" i="71"/>
  <c r="I28" i="84"/>
  <c r="L28" i="84"/>
  <c r="G172" i="71"/>
  <c r="J172" i="71" s="1"/>
  <c r="G324" i="71" s="1"/>
  <c r="G416" i="71" s="1"/>
  <c r="G414" i="71" s="1"/>
  <c r="F407" i="71"/>
  <c r="G168" i="71"/>
  <c r="H50" i="71"/>
  <c r="H117" i="71" s="1"/>
  <c r="G124" i="71"/>
  <c r="F386" i="71"/>
  <c r="H28" i="63"/>
  <c r="H27" i="63" s="1"/>
  <c r="H26" i="63" s="1"/>
  <c r="H11" i="73" s="1"/>
  <c r="G32" i="63" s="1"/>
  <c r="H32" i="63" s="1"/>
  <c r="G131" i="71"/>
  <c r="H89" i="71" s="1"/>
  <c r="F8" i="72"/>
  <c r="D28" i="63"/>
  <c r="K211" i="83" s="1"/>
  <c r="J180" i="71"/>
  <c r="H54" i="71"/>
  <c r="H21" i="73"/>
  <c r="H13" i="73" s="1"/>
  <c r="G33" i="63"/>
  <c r="H33" i="63" s="1"/>
  <c r="F319" i="71"/>
  <c r="G354" i="71"/>
  <c r="F342" i="71"/>
  <c r="F216" i="71"/>
  <c r="F209" i="71" s="1"/>
  <c r="G398" i="71" s="1"/>
  <c r="J177" i="71"/>
  <c r="G28" i="71"/>
  <c r="F253" i="71"/>
  <c r="H34" i="71"/>
  <c r="H33" i="71" s="1"/>
  <c r="J193" i="71"/>
  <c r="G422" i="71"/>
  <c r="H276" i="71"/>
  <c r="H275" i="71" s="1"/>
  <c r="H310" i="71"/>
  <c r="H30" i="71"/>
  <c r="H29" i="71" s="1"/>
  <c r="F28" i="71"/>
  <c r="F27" i="71" s="1"/>
  <c r="G310" i="71"/>
  <c r="G132" i="71"/>
  <c r="G408" i="71"/>
  <c r="G469" i="71"/>
  <c r="G466" i="71" s="1"/>
  <c r="F430" i="71"/>
  <c r="G189" i="71"/>
  <c r="J189" i="71" s="1"/>
  <c r="F275" i="71"/>
  <c r="G206" i="71"/>
  <c r="H15" i="71"/>
  <c r="H14" i="71" s="1"/>
  <c r="G28" i="73"/>
  <c r="H29" i="73"/>
  <c r="H28" i="73" s="1"/>
  <c r="G9" i="73"/>
  <c r="K10" i="72"/>
  <c r="K9" i="72" s="1"/>
  <c r="K8" i="72" s="1"/>
  <c r="H408" i="71"/>
  <c r="H141" i="71"/>
  <c r="H38" i="71"/>
  <c r="F451" i="71"/>
  <c r="H422" i="71"/>
  <c r="H414" i="71"/>
  <c r="G380" i="71"/>
  <c r="G378" i="71" s="1"/>
  <c r="G349" i="71" s="1"/>
  <c r="G334" i="71" s="1"/>
  <c r="H437" i="71"/>
  <c r="H430" i="71" s="1"/>
  <c r="H390" i="71"/>
  <c r="H253" i="71" s="1"/>
  <c r="G434" i="71"/>
  <c r="H120" i="71"/>
  <c r="G50" i="71"/>
  <c r="G48" i="71" s="1"/>
  <c r="G17" i="71"/>
  <c r="G10" i="71" s="1"/>
  <c r="D13" i="63" s="1"/>
  <c r="K196" i="83" s="1"/>
  <c r="J178" i="71"/>
  <c r="J169" i="71"/>
  <c r="H17" i="71"/>
  <c r="F298" i="71"/>
  <c r="G130" i="71"/>
  <c r="G390" i="71"/>
  <c r="H342" i="71" s="1"/>
  <c r="G372" i="71"/>
  <c r="G370" i="71" s="1"/>
  <c r="H363" i="71" s="1"/>
  <c r="F363" i="71"/>
  <c r="H230" i="71" s="1"/>
  <c r="F230" i="71"/>
  <c r="J165" i="71"/>
  <c r="H221" i="71"/>
  <c r="F186" i="71"/>
  <c r="G277" i="71"/>
  <c r="G276" i="71" s="1"/>
  <c r="G275" i="71" s="1"/>
  <c r="F164" i="71"/>
  <c r="G221" i="71"/>
  <c r="G218" i="71" s="1"/>
  <c r="G437" i="71"/>
  <c r="G219" i="71" s="1"/>
  <c r="G88" i="71"/>
  <c r="F9" i="71" l="1"/>
  <c r="G190" i="71"/>
  <c r="J190" i="71" s="1"/>
  <c r="G164" i="71"/>
  <c r="G8" i="73"/>
  <c r="F297" i="71"/>
  <c r="K210" i="83"/>
  <c r="K209" i="83" s="1"/>
  <c r="M211" i="83"/>
  <c r="M210" i="83" s="1"/>
  <c r="M209" i="83" s="1"/>
  <c r="J211" i="83"/>
  <c r="J210" i="83" s="1"/>
  <c r="J209" i="83" s="1"/>
  <c r="H10" i="73"/>
  <c r="H9" i="73" s="1"/>
  <c r="H8" i="73" s="1"/>
  <c r="G127" i="71"/>
  <c r="G120" i="71" s="1"/>
  <c r="G119" i="71" s="1"/>
  <c r="D18" i="63" s="1"/>
  <c r="K201" i="83" s="1"/>
  <c r="D15" i="63"/>
  <c r="K198" i="83" s="1"/>
  <c r="J14" i="84" s="1"/>
  <c r="M196" i="83"/>
  <c r="G320" i="71"/>
  <c r="G328" i="71" s="1"/>
  <c r="F385" i="71"/>
  <c r="G393" i="71" s="1"/>
  <c r="G386" i="71" s="1"/>
  <c r="H88" i="71"/>
  <c r="H298" i="71"/>
  <c r="H48" i="71"/>
  <c r="G15" i="63" s="1"/>
  <c r="J168" i="71"/>
  <c r="G407" i="71"/>
  <c r="G187" i="71"/>
  <c r="J187" i="71" s="1"/>
  <c r="H28" i="71"/>
  <c r="H451" i="71" s="1"/>
  <c r="H429" i="71" s="1"/>
  <c r="D27" i="63"/>
  <c r="D26" i="63" s="1"/>
  <c r="E28" i="63"/>
  <c r="F429" i="71"/>
  <c r="G31" i="63"/>
  <c r="F341" i="71"/>
  <c r="G266" i="71"/>
  <c r="G253" i="71" s="1"/>
  <c r="G252" i="71" s="1"/>
  <c r="D21" i="63" s="1"/>
  <c r="K204" i="83" s="1"/>
  <c r="H119" i="71"/>
  <c r="H209" i="71"/>
  <c r="H208" i="71" s="1"/>
  <c r="H319" i="71"/>
  <c r="H10" i="71"/>
  <c r="G13" i="63" s="1"/>
  <c r="H386" i="71"/>
  <c r="G27" i="71"/>
  <c r="G9" i="71" s="1"/>
  <c r="E15" i="63"/>
  <c r="I15" i="63" s="1"/>
  <c r="F252" i="71"/>
  <c r="G231" i="71"/>
  <c r="G230" i="71" s="1"/>
  <c r="G430" i="71"/>
  <c r="G452" i="71"/>
  <c r="G451" i="71" s="1"/>
  <c r="G201" i="71"/>
  <c r="J201" i="71" s="1"/>
  <c r="J206" i="71"/>
  <c r="D14" i="63"/>
  <c r="H341" i="71"/>
  <c r="J8" i="73"/>
  <c r="F163" i="71"/>
  <c r="J164" i="71"/>
  <c r="G346" i="71"/>
  <c r="G342" i="71" s="1"/>
  <c r="G216" i="71"/>
  <c r="G209" i="71" s="1"/>
  <c r="H407" i="71"/>
  <c r="H385" i="71" s="1"/>
  <c r="G364" i="71"/>
  <c r="G363" i="71" s="1"/>
  <c r="G305" i="71"/>
  <c r="G298" i="71" s="1"/>
  <c r="F208" i="71"/>
  <c r="H252" i="71"/>
  <c r="G319" i="71" l="1"/>
  <c r="G297" i="71" s="1"/>
  <c r="D22" i="63" s="1"/>
  <c r="K205" i="83" s="1"/>
  <c r="J205" i="83" s="1"/>
  <c r="H297" i="71"/>
  <c r="H27" i="71"/>
  <c r="H9" i="71" s="1"/>
  <c r="G385" i="71"/>
  <c r="D24" i="63" s="1"/>
  <c r="K207" i="83" s="1"/>
  <c r="J207" i="83" s="1"/>
  <c r="E14" i="63"/>
  <c r="I14" i="63" s="1"/>
  <c r="K197" i="83"/>
  <c r="J201" i="83"/>
  <c r="J204" i="83"/>
  <c r="M198" i="83"/>
  <c r="J198" i="83"/>
  <c r="J196" i="83" s="1"/>
  <c r="G14" i="63"/>
  <c r="F118" i="71"/>
  <c r="F8" i="71" s="1"/>
  <c r="G208" i="71"/>
  <c r="D20" i="63" s="1"/>
  <c r="K203" i="83" s="1"/>
  <c r="I28" i="63"/>
  <c r="I27" i="63" s="1"/>
  <c r="I26" i="63" s="1"/>
  <c r="E27" i="63"/>
  <c r="E26" i="63" s="1"/>
  <c r="G186" i="71"/>
  <c r="G429" i="71"/>
  <c r="D25" i="63" s="1"/>
  <c r="K208" i="83" s="1"/>
  <c r="G341" i="71"/>
  <c r="D23" i="63" s="1"/>
  <c r="K206" i="83" s="1"/>
  <c r="H118" i="71"/>
  <c r="H8" i="71" l="1"/>
  <c r="J203" i="83"/>
  <c r="L14" i="84"/>
  <c r="I14" i="84"/>
  <c r="J206" i="83"/>
  <c r="L200" i="83" s="1"/>
  <c r="M197" i="83"/>
  <c r="M195" i="83" s="1"/>
  <c r="M194" i="83" s="1"/>
  <c r="J197" i="83"/>
  <c r="J195" i="83" s="1"/>
  <c r="K195" i="83"/>
  <c r="J208" i="83"/>
  <c r="J186" i="71"/>
  <c r="G163" i="71"/>
  <c r="D19" i="63" s="1"/>
  <c r="K202" i="83" s="1"/>
  <c r="K6" i="71"/>
  <c r="L194" i="83" l="1"/>
  <c r="J202" i="83"/>
  <c r="J200" i="83" s="1"/>
  <c r="J194" i="83" s="1"/>
  <c r="K200" i="83"/>
  <c r="K194" i="83" s="1"/>
  <c r="K193" i="83" s="1"/>
  <c r="M193" i="83"/>
  <c r="G118" i="71"/>
  <c r="G8" i="71" s="1"/>
  <c r="K8" i="71" s="1"/>
  <c r="J163" i="71"/>
  <c r="F120" i="61"/>
  <c r="F144" i="61"/>
  <c r="F168" i="61"/>
  <c r="O200" i="83" l="1"/>
  <c r="O194" i="83" s="1"/>
  <c r="O193" i="83"/>
  <c r="G129" i="61"/>
  <c r="F129" i="61" s="1"/>
  <c r="H144" i="61"/>
  <c r="G79" i="61" l="1"/>
  <c r="F79" i="61" s="1"/>
  <c r="G105" i="61"/>
  <c r="F105" i="61" s="1"/>
  <c r="H120" i="61"/>
  <c r="H129" i="61"/>
  <c r="H168" i="61"/>
  <c r="H153" i="61" l="1"/>
  <c r="F148" i="61" l="1"/>
  <c r="F145" i="61" s="1"/>
  <c r="G148" i="61" l="1"/>
  <c r="G145" i="61" l="1"/>
  <c r="D23" i="60" s="1"/>
  <c r="K178" i="83" s="1"/>
  <c r="K147" i="61"/>
  <c r="H148" i="61"/>
  <c r="H145" i="61" s="1"/>
  <c r="J178" i="83" l="1"/>
  <c r="F65" i="61"/>
  <c r="F64" i="61" s="1"/>
  <c r="G65" i="61" l="1"/>
  <c r="G64" i="61" s="1"/>
  <c r="D16" i="60" s="1"/>
  <c r="K171" i="83" s="1"/>
  <c r="H65" i="61"/>
  <c r="H64" i="61" s="1"/>
  <c r="J171" i="83" l="1"/>
  <c r="G71" i="61"/>
  <c r="G70" i="61" s="1"/>
  <c r="D18" i="60" s="1"/>
  <c r="K173" i="83" s="1"/>
  <c r="J173" i="83" l="1"/>
  <c r="J172" i="83" s="1"/>
  <c r="H71" i="61"/>
  <c r="H70" i="61" s="1"/>
  <c r="H67" i="61" l="1"/>
  <c r="G76" i="61" l="1"/>
  <c r="F76" i="61" s="1"/>
  <c r="G73" i="61" l="1"/>
  <c r="D19" i="60" s="1"/>
  <c r="K174" i="83" s="1"/>
  <c r="K75" i="61"/>
  <c r="H76" i="61"/>
  <c r="J174" i="83" l="1"/>
  <c r="G96" i="61"/>
  <c r="G95" i="61" s="1"/>
  <c r="D20" i="60" s="1"/>
  <c r="K175" i="83" s="1"/>
  <c r="J175" i="83" l="1"/>
  <c r="F101" i="61" l="1"/>
  <c r="G101" i="61" l="1"/>
  <c r="G98" i="61" l="1"/>
  <c r="D21" i="60" s="1"/>
  <c r="K176" i="83" s="1"/>
  <c r="K99" i="61"/>
  <c r="J176" i="83" l="1"/>
  <c r="D127" i="61"/>
  <c r="H127" i="61" s="1"/>
  <c r="D128" i="61"/>
  <c r="H128" i="61" s="1"/>
  <c r="H117" i="61" s="1"/>
  <c r="H109" i="61" s="1"/>
  <c r="H108" i="61" s="1"/>
  <c r="H112" i="61" s="1"/>
  <c r="H104" i="61" s="1"/>
  <c r="D126" i="61"/>
  <c r="H126" i="61" l="1"/>
  <c r="H119" i="61"/>
  <c r="H116" i="61" s="1"/>
  <c r="H115" i="61" s="1"/>
  <c r="H111" i="61" s="1"/>
  <c r="H110" i="61" s="1"/>
  <c r="H107" i="61" s="1"/>
  <c r="H105" i="61" s="1"/>
  <c r="H122" i="61"/>
  <c r="H93" i="61"/>
  <c r="H79" i="61" s="1"/>
  <c r="H73" i="61" s="1"/>
  <c r="H101" i="61"/>
  <c r="F124" i="61"/>
  <c r="F121" i="61" s="1"/>
  <c r="G124" i="61" l="1"/>
  <c r="G121" i="61" l="1"/>
  <c r="D22" i="60" s="1"/>
  <c r="K177" i="83" s="1"/>
  <c r="K123" i="61"/>
  <c r="H124" i="61"/>
  <c r="H121" i="61" s="1"/>
  <c r="F73" i="61"/>
  <c r="J177" i="83" l="1"/>
  <c r="J170" i="83" s="1"/>
  <c r="K170" i="83"/>
  <c r="G63" i="61"/>
  <c r="K63" i="61" s="1"/>
  <c r="K64" i="61" s="1"/>
  <c r="O170" i="83" l="1"/>
  <c r="O166" i="83" s="1"/>
  <c r="D38" i="52" l="1"/>
  <c r="D37" i="52" s="1"/>
  <c r="E39" i="52"/>
  <c r="I39" i="52" s="1"/>
  <c r="I38" i="52" s="1"/>
  <c r="I37" i="52" s="1"/>
  <c r="L95" i="83"/>
  <c r="L96" i="83"/>
  <c r="E38" i="52" l="1"/>
  <c r="E37" i="52" s="1"/>
  <c r="H74" i="70" l="1"/>
  <c r="H73" i="70" s="1"/>
  <c r="H70" i="70" s="1"/>
  <c r="H69" i="70" s="1"/>
  <c r="H66" i="70" s="1"/>
  <c r="H65" i="70" s="1"/>
  <c r="H62" i="70" s="1"/>
  <c r="H61" i="70" s="1"/>
  <c r="H58" i="70" s="1"/>
  <c r="H57" i="70" s="1"/>
  <c r="H54" i="70" s="1"/>
  <c r="H53" i="70" s="1"/>
  <c r="H50" i="70" s="1"/>
  <c r="H49" i="70" s="1"/>
  <c r="H45" i="70" s="1"/>
  <c r="H37" i="70" s="1"/>
  <c r="H26" i="70" s="1"/>
  <c r="H25" i="70" s="1"/>
  <c r="H21" i="70" s="1"/>
  <c r="F15" i="70" s="1"/>
  <c r="H14" i="70" s="1"/>
  <c r="H13" i="70" s="1"/>
  <c r="C14" i="52"/>
  <c r="L91" i="83" s="1"/>
  <c r="H42" i="70"/>
  <c r="H34" i="70"/>
  <c r="H18" i="70"/>
  <c r="H17" i="70" s="1"/>
  <c r="G17" i="70"/>
  <c r="H30" i="70"/>
  <c r="H20" i="70" s="1"/>
  <c r="F23" i="70"/>
  <c r="H28" i="70" s="1"/>
  <c r="H32" i="70" s="1"/>
  <c r="H36" i="70" s="1"/>
  <c r="H40" i="70" s="1"/>
  <c r="H44" i="70" s="1"/>
  <c r="F47" i="70"/>
  <c r="H52" i="70" s="1"/>
  <c r="H56" i="70" s="1"/>
  <c r="F59" i="70"/>
  <c r="G59" i="70" s="1"/>
  <c r="F63" i="70"/>
  <c r="H68" i="70" s="1"/>
  <c r="H72" i="70" s="1"/>
  <c r="H12" i="70" s="1"/>
  <c r="G15" i="70" s="1"/>
  <c r="H11" i="70" s="1"/>
  <c r="H19" i="70" s="1"/>
  <c r="H27" i="70" s="1"/>
  <c r="H31" i="70" s="1"/>
  <c r="F38" i="70"/>
  <c r="H39" i="70" s="1"/>
  <c r="F10" i="70"/>
  <c r="F17" i="70"/>
  <c r="F29" i="70"/>
  <c r="F33" i="70"/>
  <c r="F41" i="70"/>
  <c r="H38" i="70" l="1"/>
  <c r="H43" i="70" s="1"/>
  <c r="J91" i="83"/>
  <c r="J90" i="83" s="1"/>
  <c r="J89" i="83" s="1"/>
  <c r="N91" i="83"/>
  <c r="N89" i="83" s="1"/>
  <c r="N88" i="83" s="1"/>
  <c r="L89" i="83"/>
  <c r="J74" i="70"/>
  <c r="E14" i="52"/>
  <c r="I14" i="52" s="1"/>
  <c r="C12" i="52"/>
  <c r="G33" i="70"/>
  <c r="G29" i="70"/>
  <c r="G23" i="70"/>
  <c r="H29" i="70"/>
  <c r="G63" i="70"/>
  <c r="F9" i="70"/>
  <c r="H16" i="70"/>
  <c r="H15" i="70" s="1"/>
  <c r="G10" i="70"/>
  <c r="G9" i="70" s="1"/>
  <c r="G47" i="70"/>
  <c r="F22" i="70"/>
  <c r="H24" i="70"/>
  <c r="H23" i="70" s="1"/>
  <c r="H64" i="70"/>
  <c r="H48" i="70"/>
  <c r="G38" i="70"/>
  <c r="F46" i="70"/>
  <c r="H35" i="70"/>
  <c r="H33" i="70" s="1"/>
  <c r="H60" i="70"/>
  <c r="H59" i="70" s="1"/>
  <c r="H10" i="70"/>
  <c r="H9" i="70" s="1"/>
  <c r="G41" i="70"/>
  <c r="H51" i="70" l="1"/>
  <c r="H55" i="70" s="1"/>
  <c r="H67" i="70" s="1"/>
  <c r="H41" i="70"/>
  <c r="H22" i="70" s="1"/>
  <c r="G46" i="70"/>
  <c r="H47" i="70"/>
  <c r="N87" i="83"/>
  <c r="G22" i="70"/>
  <c r="G7" i="70" s="1"/>
  <c r="F7" i="70"/>
  <c r="F8" i="70"/>
  <c r="J4" i="70"/>
  <c r="H63" i="70" l="1"/>
  <c r="H46" i="70" s="1"/>
  <c r="H71" i="70"/>
  <c r="G8" i="70"/>
  <c r="F12" i="67" s="1"/>
  <c r="K149" i="83" s="1"/>
  <c r="K148" i="83" s="1"/>
  <c r="K147" i="83" s="1"/>
  <c r="H7" i="70" l="1"/>
  <c r="H8" i="70"/>
  <c r="M149" i="83"/>
  <c r="M148" i="83" s="1"/>
  <c r="M147" i="83" s="1"/>
  <c r="J149" i="83"/>
  <c r="E15" i="67"/>
  <c r="E13" i="67"/>
  <c r="H61" i="61"/>
  <c r="G61" i="61"/>
  <c r="E20" i="60"/>
  <c r="I20" i="60" s="1"/>
  <c r="E18" i="60"/>
  <c r="I18" i="60" s="1"/>
  <c r="E17" i="60"/>
  <c r="I17" i="60" s="1"/>
  <c r="E16" i="60"/>
  <c r="I16" i="60" s="1"/>
  <c r="F29" i="60"/>
  <c r="E11" i="67" l="1"/>
  <c r="D14" i="67"/>
  <c r="E14" i="67"/>
  <c r="G13" i="67"/>
  <c r="L150" i="83" s="1"/>
  <c r="E10" i="67"/>
  <c r="D14" i="60"/>
  <c r="K169" i="83" s="1"/>
  <c r="E22" i="60"/>
  <c r="I22" i="60" s="1"/>
  <c r="E23" i="60"/>
  <c r="I23" i="60" s="1"/>
  <c r="E21" i="60"/>
  <c r="I21" i="60" s="1"/>
  <c r="E19" i="60"/>
  <c r="I19" i="60" s="1"/>
  <c r="N14" i="67" l="1"/>
  <c r="N11" i="67" s="1"/>
  <c r="N9" i="67" s="1"/>
  <c r="M14" i="67"/>
  <c r="M11" i="67" s="1"/>
  <c r="M9" i="67" s="1"/>
  <c r="E14" i="60"/>
  <c r="I14" i="60" s="1"/>
  <c r="L148" i="83"/>
  <c r="L147" i="83" s="1"/>
  <c r="J150" i="83"/>
  <c r="J148" i="83" s="1"/>
  <c r="J147" i="83" s="1"/>
  <c r="N150" i="83"/>
  <c r="N148" i="83" s="1"/>
  <c r="N147" i="83" s="1"/>
  <c r="J29" i="84"/>
  <c r="M169" i="83"/>
  <c r="J169" i="83"/>
  <c r="K181" i="83"/>
  <c r="K188" i="83"/>
  <c r="J188" i="83" s="1"/>
  <c r="J67" i="69"/>
  <c r="J77" i="69"/>
  <c r="J56" i="69"/>
  <c r="M181" i="83" l="1"/>
  <c r="I29" i="84"/>
  <c r="L29" i="84"/>
  <c r="K190" i="83"/>
  <c r="K191" i="83"/>
  <c r="J191" i="83" s="1"/>
  <c r="E26" i="60"/>
  <c r="K192" i="83"/>
  <c r="J192" i="83" s="1"/>
  <c r="K186" i="83"/>
  <c r="J186" i="83" s="1"/>
  <c r="J45" i="69"/>
  <c r="K189" i="83"/>
  <c r="J189" i="83" s="1"/>
  <c r="K187" i="83"/>
  <c r="J187" i="83" s="1"/>
  <c r="K185" i="83"/>
  <c r="J185" i="83" l="1"/>
  <c r="K184" i="83"/>
  <c r="J190" i="83"/>
  <c r="K183" i="83"/>
  <c r="F8" i="69"/>
  <c r="I26" i="60"/>
  <c r="J184" i="83" l="1"/>
  <c r="M183" i="83"/>
  <c r="J13" i="84"/>
  <c r="J183" i="83"/>
  <c r="J181" i="83" s="1"/>
  <c r="O184" i="83"/>
  <c r="O179" i="83" s="1"/>
  <c r="O165" i="83"/>
  <c r="H8" i="69"/>
  <c r="K182" i="83"/>
  <c r="E28" i="60"/>
  <c r="D29" i="60"/>
  <c r="F61" i="61"/>
  <c r="F60" i="61"/>
  <c r="F59" i="61"/>
  <c r="F58" i="61"/>
  <c r="F56" i="61"/>
  <c r="F55" i="61"/>
  <c r="F54" i="61"/>
  <c r="F53" i="61"/>
  <c r="F52" i="61"/>
  <c r="F50" i="61"/>
  <c r="F49" i="61"/>
  <c r="F48" i="61"/>
  <c r="F46" i="61"/>
  <c r="F45" i="61"/>
  <c r="F44" i="61"/>
  <c r="F43" i="61"/>
  <c r="F42" i="61"/>
  <c r="F41" i="61"/>
  <c r="F40" i="61"/>
  <c r="F39" i="61"/>
  <c r="F38" i="61"/>
  <c r="F37" i="61"/>
  <c r="F35" i="61"/>
  <c r="F34" i="61"/>
  <c r="F33" i="61"/>
  <c r="F32" i="61"/>
  <c r="F28" i="61"/>
  <c r="F27" i="61"/>
  <c r="F26" i="61"/>
  <c r="D25" i="60" l="1"/>
  <c r="L13" i="84"/>
  <c r="I13" i="84"/>
  <c r="M182" i="83"/>
  <c r="M180" i="83" s="1"/>
  <c r="M179" i="83" s="1"/>
  <c r="J182" i="83"/>
  <c r="J180" i="83" s="1"/>
  <c r="J179" i="83" s="1"/>
  <c r="J25" i="84"/>
  <c r="K180" i="83"/>
  <c r="K179" i="83" s="1"/>
  <c r="E27" i="60"/>
  <c r="I27" i="60" s="1"/>
  <c r="G8" i="69"/>
  <c r="I28" i="60"/>
  <c r="F25" i="61"/>
  <c r="F21" i="61" s="1"/>
  <c r="F31" i="61"/>
  <c r="F57" i="61"/>
  <c r="F51" i="61" s="1"/>
  <c r="E23" i="61" s="1"/>
  <c r="F23" i="61" s="1"/>
  <c r="F47" i="61"/>
  <c r="F36" i="61"/>
  <c r="L25" i="84" l="1"/>
  <c r="I25" i="84"/>
  <c r="E25" i="60"/>
  <c r="I25" i="60"/>
  <c r="F30" i="61"/>
  <c r="F29" i="61" s="1"/>
  <c r="E22" i="61" s="1"/>
  <c r="F22" i="61" s="1"/>
  <c r="F20" i="61" s="1"/>
  <c r="F10" i="61" s="1"/>
  <c r="F9" i="61" s="1"/>
  <c r="F12" i="61" l="1"/>
  <c r="F11" i="61" s="1"/>
  <c r="G10" i="61" s="1"/>
  <c r="G9" i="61" l="1"/>
  <c r="G8" i="61" s="1"/>
  <c r="K8" i="61" s="1"/>
  <c r="D13" i="60"/>
  <c r="K168" i="83" s="1"/>
  <c r="H20" i="61"/>
  <c r="H10" i="61" s="1"/>
  <c r="H9" i="61" s="1"/>
  <c r="D12" i="60" l="1"/>
  <c r="K167" i="83"/>
  <c r="M168" i="83"/>
  <c r="M167" i="83" s="1"/>
  <c r="M166" i="83" s="1"/>
  <c r="J168" i="83"/>
  <c r="J167" i="83" s="1"/>
  <c r="J166" i="83" s="1"/>
  <c r="J165" i="83" s="1"/>
  <c r="H13" i="61"/>
  <c r="H12" i="61" s="1"/>
  <c r="H11" i="61" s="1"/>
  <c r="M165" i="83" l="1"/>
  <c r="K166" i="83"/>
  <c r="K165" i="83" s="1"/>
  <c r="K47" i="68"/>
  <c r="I47" i="68"/>
  <c r="K46" i="68"/>
  <c r="K45" i="68" s="1"/>
  <c r="I45" i="68"/>
  <c r="K41" i="68"/>
  <c r="K40" i="68" s="1"/>
  <c r="I40" i="68"/>
  <c r="K39" i="68"/>
  <c r="K38" i="68" s="1"/>
  <c r="I38" i="68"/>
  <c r="K37" i="68"/>
  <c r="K36" i="68" s="1"/>
  <c r="I36" i="68"/>
  <c r="K35" i="68"/>
  <c r="K34" i="68" s="1"/>
  <c r="I34" i="68"/>
  <c r="K33" i="68"/>
  <c r="K32" i="68" s="1"/>
  <c r="I32" i="68"/>
  <c r="I29" i="68"/>
  <c r="K27" i="68"/>
  <c r="I27" i="68"/>
  <c r="G7" i="68"/>
  <c r="K21" i="68"/>
  <c r="I21" i="68"/>
  <c r="K17" i="68"/>
  <c r="I17" i="68"/>
  <c r="I15" i="68"/>
  <c r="I12" i="68"/>
  <c r="K8" i="68"/>
  <c r="K7" i="68" s="1"/>
  <c r="E8" i="68"/>
  <c r="E7" i="68" s="1"/>
  <c r="D7" i="68"/>
  <c r="I26" i="68" l="1"/>
  <c r="L85" i="83"/>
  <c r="J85" i="83" s="1"/>
  <c r="I11" i="68"/>
  <c r="I31" i="68"/>
  <c r="I10" i="68" l="1"/>
  <c r="I9" i="68" s="1"/>
  <c r="I8" i="68" s="1"/>
  <c r="I7" i="68" s="1"/>
  <c r="J14" i="39"/>
  <c r="K76" i="83" s="1"/>
  <c r="J15" i="39"/>
  <c r="J12" i="39" l="1"/>
  <c r="J11" i="39" s="1"/>
  <c r="J21" i="84"/>
  <c r="K75" i="83"/>
  <c r="K74" i="83" s="1"/>
  <c r="M76" i="83"/>
  <c r="M75" i="83" s="1"/>
  <c r="M74" i="83" s="1"/>
  <c r="J76" i="83"/>
  <c r="H14" i="39"/>
  <c r="G14" i="39" s="1"/>
  <c r="I21" i="84" l="1"/>
  <c r="L21" i="84"/>
  <c r="I13" i="39"/>
  <c r="L77" i="83" s="1"/>
  <c r="G261" i="13"/>
  <c r="F24" i="17"/>
  <c r="K16" i="84" l="1"/>
  <c r="J77" i="83"/>
  <c r="J75" i="83" s="1"/>
  <c r="L75" i="83"/>
  <c r="N77" i="83"/>
  <c r="N75" i="83" s="1"/>
  <c r="N74" i="83" s="1"/>
  <c r="I12" i="39"/>
  <c r="H13" i="39"/>
  <c r="H114" i="13"/>
  <c r="G114" i="13"/>
  <c r="I19" i="39" l="1"/>
  <c r="N9" i="83"/>
  <c r="A135" i="13"/>
  <c r="M16" i="84"/>
  <c r="I16" i="84"/>
  <c r="K11" i="84"/>
  <c r="H12" i="39"/>
  <c r="G13" i="39"/>
  <c r="G18" i="32"/>
  <c r="G19" i="32"/>
  <c r="G20" i="32"/>
  <c r="J32" i="32"/>
  <c r="J31" i="32"/>
  <c r="J30" i="32"/>
  <c r="J29" i="32"/>
  <c r="J27" i="32"/>
  <c r="J26" i="32"/>
  <c r="J25" i="32"/>
  <c r="J24" i="32"/>
  <c r="J21" i="32"/>
  <c r="J14" i="32"/>
  <c r="J13" i="32"/>
  <c r="J12" i="32"/>
  <c r="J11" i="32"/>
  <c r="J10" i="32"/>
  <c r="J9" i="32"/>
  <c r="J8" i="32"/>
  <c r="J33" i="32"/>
  <c r="I6" i="32"/>
  <c r="M29" i="32"/>
  <c r="M11" i="84" l="1"/>
  <c r="M10" i="84" s="1"/>
  <c r="L82" i="83"/>
  <c r="G12" i="39"/>
  <c r="L78" i="83" l="1"/>
  <c r="J82" i="83"/>
  <c r="J78" i="83" s="1"/>
  <c r="J74" i="83" s="1"/>
  <c r="P68" i="2"/>
  <c r="Q68" i="2" s="1"/>
  <c r="P78" i="83" l="1"/>
  <c r="P74" i="83" s="1"/>
  <c r="L74" i="83"/>
  <c r="H23" i="60"/>
  <c r="H22" i="60"/>
  <c r="H21" i="60"/>
  <c r="I23" i="67"/>
  <c r="J23" i="67" s="1"/>
  <c r="I22" i="67"/>
  <c r="J22" i="67" s="1"/>
  <c r="I21" i="67"/>
  <c r="J21" i="67" s="1"/>
  <c r="I20" i="67"/>
  <c r="J20" i="67" s="1"/>
  <c r="I19" i="67"/>
  <c r="J19" i="67" s="1"/>
  <c r="I18" i="67"/>
  <c r="J18" i="67" s="1"/>
  <c r="I17" i="67"/>
  <c r="J17" i="67" s="1"/>
  <c r="I16" i="67"/>
  <c r="J16" i="67" s="1"/>
  <c r="K10" i="67"/>
  <c r="J10" i="67"/>
  <c r="I10" i="67"/>
  <c r="H10" i="67"/>
  <c r="G21" i="66"/>
  <c r="H21" i="66" s="1"/>
  <c r="G20" i="66"/>
  <c r="H20" i="66" s="1"/>
  <c r="G19" i="66"/>
  <c r="H19" i="66" s="1"/>
  <c r="G18" i="66"/>
  <c r="H18" i="66" s="1"/>
  <c r="G17" i="66"/>
  <c r="H17" i="66" s="1"/>
  <c r="G16" i="66"/>
  <c r="H16" i="66" s="1"/>
  <c r="G15" i="66"/>
  <c r="H15" i="66" s="1"/>
  <c r="G14" i="66"/>
  <c r="H14" i="66" s="1"/>
  <c r="E26" i="46"/>
  <c r="G55" i="63"/>
  <c r="H55" i="63" s="1"/>
  <c r="E55" i="63"/>
  <c r="I55" i="63" s="1"/>
  <c r="G54" i="63"/>
  <c r="H54" i="63" s="1"/>
  <c r="E54" i="63"/>
  <c r="I54" i="63" s="1"/>
  <c r="G53" i="63"/>
  <c r="H53" i="63" s="1"/>
  <c r="E53" i="63"/>
  <c r="I53" i="63" s="1"/>
  <c r="G52" i="63"/>
  <c r="H52" i="63" s="1"/>
  <c r="E52" i="63"/>
  <c r="I52" i="63" s="1"/>
  <c r="G51" i="63"/>
  <c r="H51" i="63" s="1"/>
  <c r="E51" i="63"/>
  <c r="I51" i="63" s="1"/>
  <c r="G50" i="63"/>
  <c r="H50" i="63" s="1"/>
  <c r="E50" i="63"/>
  <c r="I50" i="63" s="1"/>
  <c r="G49" i="63"/>
  <c r="H49" i="63" s="1"/>
  <c r="E49" i="63"/>
  <c r="I49" i="63" s="1"/>
  <c r="H48" i="63"/>
  <c r="F47" i="63"/>
  <c r="F31" i="63"/>
  <c r="C30" i="63"/>
  <c r="H25" i="63"/>
  <c r="E25" i="63"/>
  <c r="I25" i="63" s="1"/>
  <c r="H24" i="63"/>
  <c r="E24" i="63"/>
  <c r="I24" i="63" s="1"/>
  <c r="H23" i="63"/>
  <c r="E23" i="63"/>
  <c r="I23" i="63" s="1"/>
  <c r="H22" i="63"/>
  <c r="E22" i="63"/>
  <c r="I22" i="63" s="1"/>
  <c r="H21" i="63"/>
  <c r="H20" i="63"/>
  <c r="E20" i="63"/>
  <c r="I20" i="63" s="1"/>
  <c r="E19" i="63"/>
  <c r="I19" i="63" s="1"/>
  <c r="H18" i="63"/>
  <c r="E18" i="63"/>
  <c r="I18" i="63" s="1"/>
  <c r="F17" i="63"/>
  <c r="H16" i="63"/>
  <c r="E16" i="63"/>
  <c r="I16" i="63" s="1"/>
  <c r="H15" i="63"/>
  <c r="H14" i="63"/>
  <c r="H13" i="63"/>
  <c r="E13" i="63"/>
  <c r="I13" i="63" s="1"/>
  <c r="H43" i="63" s="1"/>
  <c r="H38" i="63" s="1"/>
  <c r="H34" i="63" s="1"/>
  <c r="H31" i="63" s="1"/>
  <c r="F12" i="63"/>
  <c r="C11" i="63"/>
  <c r="M60" i="61"/>
  <c r="M59" i="61"/>
  <c r="M58" i="61"/>
  <c r="M57" i="61"/>
  <c r="M56" i="61"/>
  <c r="M55" i="61"/>
  <c r="M54" i="61"/>
  <c r="M53" i="61"/>
  <c r="M52" i="61"/>
  <c r="M51" i="61"/>
  <c r="M50" i="61"/>
  <c r="M49" i="61"/>
  <c r="M48" i="61"/>
  <c r="M47" i="61"/>
  <c r="M46" i="61"/>
  <c r="M45" i="61"/>
  <c r="M44" i="61"/>
  <c r="M43" i="61"/>
  <c r="M42" i="61"/>
  <c r="M41" i="61"/>
  <c r="M40" i="61"/>
  <c r="M39" i="61"/>
  <c r="M38" i="61"/>
  <c r="M37" i="61"/>
  <c r="M36" i="61"/>
  <c r="M35" i="61"/>
  <c r="M34" i="61"/>
  <c r="M33" i="61"/>
  <c r="M32" i="61"/>
  <c r="M31" i="61"/>
  <c r="M30" i="61"/>
  <c r="M29" i="61"/>
  <c r="M28" i="61"/>
  <c r="M27" i="61"/>
  <c r="M26" i="61"/>
  <c r="H35" i="60"/>
  <c r="E35" i="60"/>
  <c r="I35" i="60" s="1"/>
  <c r="E34" i="60"/>
  <c r="H32" i="60"/>
  <c r="E32" i="60"/>
  <c r="I32" i="60" s="1"/>
  <c r="E31" i="60"/>
  <c r="I31" i="60" s="1"/>
  <c r="H30" i="60"/>
  <c r="E30" i="60"/>
  <c r="G26" i="60"/>
  <c r="F25" i="60"/>
  <c r="F24" i="60" s="1"/>
  <c r="F15" i="60"/>
  <c r="G13" i="60"/>
  <c r="G12" i="60" s="1"/>
  <c r="E13" i="60"/>
  <c r="E12" i="60" s="1"/>
  <c r="F12" i="60"/>
  <c r="F13" i="53"/>
  <c r="G13" i="53" s="1"/>
  <c r="H8" i="53"/>
  <c r="D12" i="52"/>
  <c r="G65" i="52"/>
  <c r="H65" i="52" s="1"/>
  <c r="D65" i="52"/>
  <c r="E65" i="52" s="1"/>
  <c r="G64" i="52"/>
  <c r="H64" i="52" s="1"/>
  <c r="D64" i="52"/>
  <c r="E64" i="52" s="1"/>
  <c r="G63" i="52"/>
  <c r="H63" i="52" s="1"/>
  <c r="D63" i="52"/>
  <c r="E63" i="52" s="1"/>
  <c r="G62" i="52"/>
  <c r="H62" i="52" s="1"/>
  <c r="D62" i="52"/>
  <c r="E62" i="52" s="1"/>
  <c r="G61" i="52"/>
  <c r="H61" i="52" s="1"/>
  <c r="D61" i="52"/>
  <c r="E61" i="52" s="1"/>
  <c r="G60" i="52"/>
  <c r="H60" i="52" s="1"/>
  <c r="D60" i="52"/>
  <c r="E60" i="52" s="1"/>
  <c r="G59" i="52"/>
  <c r="H59" i="52" s="1"/>
  <c r="D59" i="52"/>
  <c r="E59" i="52" s="1"/>
  <c r="G58" i="52"/>
  <c r="H58" i="52" s="1"/>
  <c r="D58" i="52"/>
  <c r="G56" i="52"/>
  <c r="H56" i="52" s="1"/>
  <c r="H55" i="52" s="1"/>
  <c r="F55" i="52"/>
  <c r="F54" i="52"/>
  <c r="C54" i="52"/>
  <c r="G53" i="52"/>
  <c r="H53" i="52" s="1"/>
  <c r="E53" i="52"/>
  <c r="I53" i="52" s="1"/>
  <c r="G52" i="52"/>
  <c r="H52" i="52" s="1"/>
  <c r="E52" i="52"/>
  <c r="I52" i="52" s="1"/>
  <c r="G51" i="52"/>
  <c r="H51" i="52" s="1"/>
  <c r="E51" i="52"/>
  <c r="I51" i="52" s="1"/>
  <c r="G50" i="52"/>
  <c r="H50" i="52" s="1"/>
  <c r="E50" i="52"/>
  <c r="I50" i="52" s="1"/>
  <c r="G49" i="52"/>
  <c r="H49" i="52" s="1"/>
  <c r="E49" i="52"/>
  <c r="I49" i="52" s="1"/>
  <c r="G48" i="52"/>
  <c r="H48" i="52" s="1"/>
  <c r="E48" i="52"/>
  <c r="I48" i="52" s="1"/>
  <c r="G47" i="52"/>
  <c r="H47" i="52" s="1"/>
  <c r="E47" i="52"/>
  <c r="I47" i="52" s="1"/>
  <c r="G46" i="52"/>
  <c r="H46" i="52" s="1"/>
  <c r="F45" i="52"/>
  <c r="G44" i="52"/>
  <c r="H44" i="52" s="1"/>
  <c r="E44" i="52"/>
  <c r="I44" i="52" s="1"/>
  <c r="G43" i="52"/>
  <c r="F42" i="52"/>
  <c r="C41" i="52"/>
  <c r="G36" i="52"/>
  <c r="H36" i="52" s="1"/>
  <c r="E36" i="52"/>
  <c r="I36" i="52" s="1"/>
  <c r="G35" i="52"/>
  <c r="H35" i="52" s="1"/>
  <c r="E35" i="52"/>
  <c r="I35" i="52" s="1"/>
  <c r="G34" i="52"/>
  <c r="H34" i="52" s="1"/>
  <c r="E34" i="52"/>
  <c r="I34" i="52" s="1"/>
  <c r="G33" i="52"/>
  <c r="H33" i="52" s="1"/>
  <c r="E33" i="52"/>
  <c r="I33" i="52" s="1"/>
  <c r="G32" i="52"/>
  <c r="H32" i="52" s="1"/>
  <c r="E32" i="52"/>
  <c r="I32" i="52" s="1"/>
  <c r="G31" i="52"/>
  <c r="H31" i="52" s="1"/>
  <c r="E31" i="52"/>
  <c r="I31" i="52" s="1"/>
  <c r="G30" i="52"/>
  <c r="H30" i="52" s="1"/>
  <c r="G29" i="52"/>
  <c r="H29" i="52" s="1"/>
  <c r="E29" i="52"/>
  <c r="I29" i="52" s="1"/>
  <c r="F28" i="52"/>
  <c r="G27" i="52"/>
  <c r="G26" i="52" s="1"/>
  <c r="D26" i="52"/>
  <c r="F26" i="52"/>
  <c r="C24" i="52"/>
  <c r="G23" i="52"/>
  <c r="H23" i="52" s="1"/>
  <c r="G22" i="52"/>
  <c r="H22" i="52" s="1"/>
  <c r="G21" i="52"/>
  <c r="H21" i="52" s="1"/>
  <c r="G20" i="52"/>
  <c r="H20" i="52" s="1"/>
  <c r="G19" i="52"/>
  <c r="H19" i="52" s="1"/>
  <c r="G18" i="52"/>
  <c r="H18" i="52" s="1"/>
  <c r="G17" i="52"/>
  <c r="H17" i="52" s="1"/>
  <c r="G16" i="52"/>
  <c r="F15" i="52"/>
  <c r="G13" i="52"/>
  <c r="H13" i="52" s="1"/>
  <c r="F12" i="52"/>
  <c r="J10" i="39"/>
  <c r="E12" i="49"/>
  <c r="E9" i="49" s="1"/>
  <c r="E8" i="49" s="1"/>
  <c r="G7" i="49"/>
  <c r="I42" i="48"/>
  <c r="H42" i="48"/>
  <c r="F42" i="48"/>
  <c r="I38" i="48"/>
  <c r="H38" i="48"/>
  <c r="F38" i="48"/>
  <c r="I34" i="48"/>
  <c r="H34" i="48"/>
  <c r="F34" i="48"/>
  <c r="D34" i="48"/>
  <c r="I30" i="48"/>
  <c r="H30" i="48"/>
  <c r="F30" i="48"/>
  <c r="D30" i="48"/>
  <c r="I26" i="48"/>
  <c r="H26" i="48"/>
  <c r="F26" i="48"/>
  <c r="D26" i="48"/>
  <c r="I22" i="48"/>
  <c r="H22" i="48"/>
  <c r="F22" i="48"/>
  <c r="D22" i="48"/>
  <c r="I18" i="48"/>
  <c r="H18" i="48"/>
  <c r="F18" i="48"/>
  <c r="D18" i="48"/>
  <c r="G16" i="48"/>
  <c r="G15" i="48"/>
  <c r="D27" i="46"/>
  <c r="I14" i="48"/>
  <c r="H14" i="48"/>
  <c r="F14" i="48"/>
  <c r="D14" i="48"/>
  <c r="G11" i="48"/>
  <c r="F11" i="48"/>
  <c r="D11" i="48"/>
  <c r="I9" i="48"/>
  <c r="I8" i="48" s="1"/>
  <c r="H9" i="48"/>
  <c r="H8" i="48" s="1"/>
  <c r="F9" i="48"/>
  <c r="D9" i="48"/>
  <c r="F34" i="46"/>
  <c r="F33" i="46"/>
  <c r="F32" i="46"/>
  <c r="F31" i="46"/>
  <c r="F30" i="46"/>
  <c r="F29" i="46"/>
  <c r="F28" i="46"/>
  <c r="F27" i="46"/>
  <c r="H26" i="46"/>
  <c r="G26" i="46"/>
  <c r="F25" i="46"/>
  <c r="F24" i="46"/>
  <c r="H23" i="46"/>
  <c r="G23" i="46"/>
  <c r="E23" i="46"/>
  <c r="F19" i="46"/>
  <c r="F18" i="46"/>
  <c r="F17" i="46"/>
  <c r="F16" i="46"/>
  <c r="F15" i="46"/>
  <c r="F14" i="46"/>
  <c r="F13" i="46"/>
  <c r="F12" i="46"/>
  <c r="H11" i="46"/>
  <c r="G11" i="46"/>
  <c r="E11" i="46"/>
  <c r="C11" i="46"/>
  <c r="G15" i="8"/>
  <c r="G14" i="8" s="1"/>
  <c r="G13" i="8"/>
  <c r="G12" i="8" s="1"/>
  <c r="G20" i="8"/>
  <c r="G18" i="8" s="1"/>
  <c r="G25" i="8"/>
  <c r="G23" i="8" s="1"/>
  <c r="G27" i="8"/>
  <c r="G28" i="8"/>
  <c r="E55" i="2"/>
  <c r="D55" i="2" s="1"/>
  <c r="E54" i="2"/>
  <c r="D54" i="2" s="1"/>
  <c r="E53" i="2"/>
  <c r="D53" i="2" s="1"/>
  <c r="E52" i="2"/>
  <c r="D52" i="2" s="1"/>
  <c r="E51" i="2"/>
  <c r="D51" i="2" s="1"/>
  <c r="E50" i="2"/>
  <c r="D50" i="2" s="1"/>
  <c r="E49" i="2"/>
  <c r="D49" i="2" s="1"/>
  <c r="E48" i="2"/>
  <c r="D48" i="2" s="1"/>
  <c r="E46" i="2"/>
  <c r="E45" i="2"/>
  <c r="E44" i="2"/>
  <c r="E43" i="2"/>
  <c r="E42" i="2"/>
  <c r="E41" i="2"/>
  <c r="E40" i="2"/>
  <c r="E39" i="2"/>
  <c r="E30" i="2"/>
  <c r="D38" i="2"/>
  <c r="G38" i="2"/>
  <c r="G47" i="2"/>
  <c r="E47" i="2" s="1"/>
  <c r="C47" i="2"/>
  <c r="C38" i="2"/>
  <c r="I7" i="48" l="1"/>
  <c r="G26" i="8"/>
  <c r="H15" i="60"/>
  <c r="D47" i="2"/>
  <c r="I13" i="48"/>
  <c r="H7" i="48"/>
  <c r="K54" i="83"/>
  <c r="I27" i="46"/>
  <c r="H13" i="48"/>
  <c r="D37" i="46"/>
  <c r="I37" i="46" s="1"/>
  <c r="I36" i="46" s="1"/>
  <c r="F11" i="63"/>
  <c r="H10" i="46"/>
  <c r="F11" i="60"/>
  <c r="F10" i="60" s="1"/>
  <c r="F11" i="52"/>
  <c r="F13" i="48"/>
  <c r="G30" i="48"/>
  <c r="C30" i="48"/>
  <c r="E7" i="49"/>
  <c r="G10" i="46"/>
  <c r="F32" i="53"/>
  <c r="H36" i="53" s="1"/>
  <c r="F27" i="53"/>
  <c r="H31" i="53" s="1"/>
  <c r="E13" i="52"/>
  <c r="E12" i="52" s="1"/>
  <c r="G8" i="53"/>
  <c r="F8" i="53"/>
  <c r="F30" i="63"/>
  <c r="C11" i="48"/>
  <c r="F24" i="52"/>
  <c r="F25" i="52"/>
  <c r="H27" i="52"/>
  <c r="H26" i="52" s="1"/>
  <c r="I34" i="60"/>
  <c r="G34" i="60" s="1"/>
  <c r="E33" i="60"/>
  <c r="I33" i="60" s="1"/>
  <c r="G33" i="60" s="1"/>
  <c r="H33" i="60" s="1"/>
  <c r="I13" i="60"/>
  <c r="I12" i="60" s="1"/>
  <c r="I30" i="60"/>
  <c r="G31" i="60"/>
  <c r="H31" i="60" s="1"/>
  <c r="D42" i="48"/>
  <c r="D38" i="48"/>
  <c r="K31" i="83"/>
  <c r="K33" i="83"/>
  <c r="K34" i="83"/>
  <c r="G38" i="48"/>
  <c r="G12" i="52"/>
  <c r="F23" i="46"/>
  <c r="F26" i="46"/>
  <c r="D8" i="48"/>
  <c r="G28" i="52"/>
  <c r="G24" i="52" s="1"/>
  <c r="D28" i="52"/>
  <c r="D25" i="52" s="1"/>
  <c r="D24" i="52" s="1"/>
  <c r="G42" i="52"/>
  <c r="G12" i="63"/>
  <c r="C38" i="48"/>
  <c r="I65" i="52"/>
  <c r="E14" i="48"/>
  <c r="G15" i="52"/>
  <c r="F41" i="52"/>
  <c r="H47" i="63"/>
  <c r="D17" i="63"/>
  <c r="F8" i="48"/>
  <c r="C18" i="48"/>
  <c r="G26" i="48"/>
  <c r="G42" i="48"/>
  <c r="D42" i="52"/>
  <c r="G17" i="63"/>
  <c r="D47" i="63"/>
  <c r="D30" i="63" s="1"/>
  <c r="I61" i="52"/>
  <c r="G18" i="48"/>
  <c r="C26" i="48"/>
  <c r="C42" i="48"/>
  <c r="H43" i="52"/>
  <c r="H42" i="52" s="1"/>
  <c r="D45" i="52"/>
  <c r="G55" i="52"/>
  <c r="D54" i="52"/>
  <c r="I60" i="52"/>
  <c r="I62" i="52"/>
  <c r="I64" i="52"/>
  <c r="G47" i="63"/>
  <c r="G30" i="63" s="1"/>
  <c r="F10" i="66"/>
  <c r="E10" i="46"/>
  <c r="E12" i="63"/>
  <c r="D12" i="63"/>
  <c r="H12" i="63"/>
  <c r="H19" i="63"/>
  <c r="E21" i="63"/>
  <c r="E48" i="63"/>
  <c r="I48" i="63" s="1"/>
  <c r="H26" i="60"/>
  <c r="H25" i="60" s="1"/>
  <c r="G25" i="60"/>
  <c r="H13" i="60"/>
  <c r="D24" i="60"/>
  <c r="E36" i="60"/>
  <c r="I36" i="60" s="1"/>
  <c r="G36" i="60" s="1"/>
  <c r="H36" i="60" s="1"/>
  <c r="E37" i="60"/>
  <c r="I37" i="60" s="1"/>
  <c r="G37" i="60" s="1"/>
  <c r="H37" i="60" s="1"/>
  <c r="F22" i="53"/>
  <c r="H26" i="53" s="1"/>
  <c r="G26" i="53" s="1"/>
  <c r="F17" i="53"/>
  <c r="H21" i="53" s="1"/>
  <c r="G21" i="53" s="1"/>
  <c r="F37" i="53"/>
  <c r="H41" i="53" s="1"/>
  <c r="F42" i="53"/>
  <c r="F47" i="53"/>
  <c r="H51" i="53" s="1"/>
  <c r="H54" i="52"/>
  <c r="I63" i="52"/>
  <c r="H28" i="52"/>
  <c r="H45" i="52"/>
  <c r="H12" i="52"/>
  <c r="H16" i="52"/>
  <c r="E27" i="52"/>
  <c r="I27" i="52" s="1"/>
  <c r="E30" i="52"/>
  <c r="I30" i="52" s="1"/>
  <c r="G54" i="52"/>
  <c r="E58" i="52"/>
  <c r="I59" i="52"/>
  <c r="E43" i="52"/>
  <c r="I43" i="52" s="1"/>
  <c r="G45" i="52"/>
  <c r="E46" i="52"/>
  <c r="I46" i="52" s="1"/>
  <c r="C10" i="48"/>
  <c r="G14" i="48"/>
  <c r="E11" i="48"/>
  <c r="D25" i="46" s="1"/>
  <c r="E18" i="48"/>
  <c r="E26" i="48"/>
  <c r="E30" i="48"/>
  <c r="E38" i="48"/>
  <c r="E42" i="48"/>
  <c r="F11" i="46"/>
  <c r="G10" i="2"/>
  <c r="E38" i="2"/>
  <c r="F7" i="48" l="1"/>
  <c r="H24" i="52"/>
  <c r="F10" i="63"/>
  <c r="G51" i="53"/>
  <c r="G47" i="53" s="1"/>
  <c r="D23" i="52" s="1"/>
  <c r="K100" i="83" s="1"/>
  <c r="H46" i="53"/>
  <c r="G46" i="53" s="1"/>
  <c r="G42" i="53" s="1"/>
  <c r="D22" i="52" s="1"/>
  <c r="K99" i="83" s="1"/>
  <c r="J99" i="83" s="1"/>
  <c r="G41" i="53"/>
  <c r="G37" i="53" s="1"/>
  <c r="D21" i="52" s="1"/>
  <c r="K98" i="83" s="1"/>
  <c r="G36" i="53"/>
  <c r="G32" i="53" s="1"/>
  <c r="D20" i="52" s="1"/>
  <c r="K97" i="83" s="1"/>
  <c r="G31" i="53"/>
  <c r="G27" i="53" s="1"/>
  <c r="D19" i="52" s="1"/>
  <c r="K96" i="83" s="1"/>
  <c r="D32" i="46"/>
  <c r="C35" i="48"/>
  <c r="F10" i="52"/>
  <c r="E34" i="48"/>
  <c r="C34" i="48" s="1"/>
  <c r="E9" i="48"/>
  <c r="E8" i="48" s="1"/>
  <c r="D24" i="46"/>
  <c r="C14" i="48"/>
  <c r="K52" i="83"/>
  <c r="I25" i="46"/>
  <c r="D36" i="46"/>
  <c r="K66" i="83"/>
  <c r="J54" i="83"/>
  <c r="K32" i="83"/>
  <c r="H30" i="63"/>
  <c r="I13" i="52"/>
  <c r="I12" i="52" s="1"/>
  <c r="E17" i="63"/>
  <c r="E11" i="63" s="1"/>
  <c r="I21" i="63"/>
  <c r="I17" i="63" s="1"/>
  <c r="G11" i="63"/>
  <c r="G10" i="63" s="1"/>
  <c r="D11" i="63"/>
  <c r="D10" i="63" s="1"/>
  <c r="H41" i="52"/>
  <c r="G25" i="52"/>
  <c r="G11" i="52"/>
  <c r="H25" i="52"/>
  <c r="G41" i="52"/>
  <c r="D41" i="52"/>
  <c r="E29" i="60"/>
  <c r="E24" i="60" s="1"/>
  <c r="I29" i="60"/>
  <c r="I24" i="60" s="1"/>
  <c r="H34" i="60"/>
  <c r="H29" i="60" s="1"/>
  <c r="H24" i="60" s="1"/>
  <c r="G29" i="60"/>
  <c r="G24" i="60" s="1"/>
  <c r="D13" i="48"/>
  <c r="D7" i="48" s="1"/>
  <c r="C26" i="46"/>
  <c r="C22" i="46" s="1"/>
  <c r="C21" i="46" s="1"/>
  <c r="C10" i="46" s="1"/>
  <c r="I9" i="8"/>
  <c r="F10" i="46"/>
  <c r="I12" i="63"/>
  <c r="H10" i="66"/>
  <c r="G10" i="66"/>
  <c r="H17" i="63"/>
  <c r="H11" i="63" s="1"/>
  <c r="E47" i="63"/>
  <c r="E30" i="63" s="1"/>
  <c r="I47" i="63"/>
  <c r="I30" i="63" s="1"/>
  <c r="H12" i="60"/>
  <c r="H11" i="60" s="1"/>
  <c r="G18" i="67"/>
  <c r="G23" i="67"/>
  <c r="I28" i="52"/>
  <c r="E28" i="52"/>
  <c r="E54" i="52"/>
  <c r="I58" i="52"/>
  <c r="I54" i="52" s="1"/>
  <c r="K54" i="52" s="1"/>
  <c r="I42" i="52"/>
  <c r="E42" i="52"/>
  <c r="I45" i="52"/>
  <c r="E45" i="52"/>
  <c r="H15" i="52"/>
  <c r="H11" i="52" s="1"/>
  <c r="E26" i="52"/>
  <c r="I26" i="52"/>
  <c r="G35" i="48"/>
  <c r="G34" i="48" s="1"/>
  <c r="D7" i="49"/>
  <c r="D26" i="46" l="1"/>
  <c r="K59" i="83"/>
  <c r="I32" i="46"/>
  <c r="I26" i="46" s="1"/>
  <c r="H10" i="52"/>
  <c r="J97" i="83"/>
  <c r="J36" i="84"/>
  <c r="N36" i="84" s="1"/>
  <c r="H32" i="53"/>
  <c r="J96" i="83"/>
  <c r="J35" i="84"/>
  <c r="N35" i="84" s="1"/>
  <c r="J53" i="83"/>
  <c r="K53" i="83"/>
  <c r="O53" i="83" s="1"/>
  <c r="O49" i="83" s="1"/>
  <c r="K65" i="83"/>
  <c r="J66" i="83"/>
  <c r="J65" i="83" s="1"/>
  <c r="J63" i="83" s="1"/>
  <c r="J26" i="84"/>
  <c r="J52" i="83"/>
  <c r="M52" i="83"/>
  <c r="K51" i="83"/>
  <c r="D23" i="46"/>
  <c r="D22" i="46" s="1"/>
  <c r="D21" i="46" s="1"/>
  <c r="I24" i="46"/>
  <c r="I23" i="46" s="1"/>
  <c r="K26" i="83"/>
  <c r="H10" i="63"/>
  <c r="K30" i="63"/>
  <c r="I11" i="63"/>
  <c r="E10" i="63"/>
  <c r="G10" i="52"/>
  <c r="I25" i="52"/>
  <c r="I24" i="52" s="1"/>
  <c r="E25" i="52"/>
  <c r="E24" i="52" s="1"/>
  <c r="H10" i="60"/>
  <c r="I10" i="66"/>
  <c r="G20" i="67"/>
  <c r="G22" i="67"/>
  <c r="G17" i="67"/>
  <c r="G21" i="67"/>
  <c r="F9" i="56"/>
  <c r="F8" i="56" s="1"/>
  <c r="H22" i="53"/>
  <c r="H47" i="53"/>
  <c r="H17" i="53"/>
  <c r="H42" i="53"/>
  <c r="H37" i="53"/>
  <c r="E41" i="52"/>
  <c r="I41" i="52"/>
  <c r="K41" i="52" s="1"/>
  <c r="I22" i="46" l="1"/>
  <c r="I21" i="46" s="1"/>
  <c r="J59" i="83"/>
  <c r="J37" i="84"/>
  <c r="N37" i="84" s="1"/>
  <c r="O65" i="83"/>
  <c r="O63" i="83" s="1"/>
  <c r="K63" i="83"/>
  <c r="I26" i="84"/>
  <c r="L26" i="84"/>
  <c r="J12" i="84"/>
  <c r="K50" i="83"/>
  <c r="J51" i="83"/>
  <c r="J50" i="83" s="1"/>
  <c r="J49" i="83" s="1"/>
  <c r="J48" i="83" s="1"/>
  <c r="M51" i="83"/>
  <c r="M50" i="83" s="1"/>
  <c r="M49" i="83" s="1"/>
  <c r="O48" i="83"/>
  <c r="K23" i="83"/>
  <c r="O23" i="83" s="1"/>
  <c r="O26" i="83"/>
  <c r="I10" i="63"/>
  <c r="K11" i="63"/>
  <c r="G19" i="67"/>
  <c r="F11" i="67"/>
  <c r="G12" i="67"/>
  <c r="G11" i="67" s="1"/>
  <c r="G16" i="67"/>
  <c r="F15" i="67"/>
  <c r="F7" i="56"/>
  <c r="G9" i="56"/>
  <c r="D56" i="52" s="1"/>
  <c r="K133" i="83" s="1"/>
  <c r="H9" i="56"/>
  <c r="H8" i="56" s="1"/>
  <c r="H7" i="56" s="1"/>
  <c r="G17" i="53"/>
  <c r="D17" i="52" s="1"/>
  <c r="K94" i="83" s="1"/>
  <c r="G22" i="53"/>
  <c r="D18" i="52" s="1"/>
  <c r="K95" i="83" s="1"/>
  <c r="H27" i="53"/>
  <c r="G15" i="67" l="1"/>
  <c r="G10" i="67" s="1"/>
  <c r="J33" i="84"/>
  <c r="N33" i="84" s="1"/>
  <c r="J95" i="83"/>
  <c r="J34" i="84"/>
  <c r="N34" i="84" s="1"/>
  <c r="I12" i="84"/>
  <c r="L12" i="84"/>
  <c r="K49" i="83"/>
  <c r="K48" i="83" s="1"/>
  <c r="M48" i="83"/>
  <c r="M35" i="83"/>
  <c r="K132" i="83"/>
  <c r="M133" i="83"/>
  <c r="M132" i="83" s="1"/>
  <c r="M131" i="83" s="1"/>
  <c r="J133" i="83"/>
  <c r="J132" i="83" s="1"/>
  <c r="J131" i="83" s="1"/>
  <c r="J17" i="84"/>
  <c r="G8" i="56"/>
  <c r="G7" i="56" s="1"/>
  <c r="F10" i="67"/>
  <c r="A12" i="84" l="1"/>
  <c r="L230" i="83"/>
  <c r="A13" i="84"/>
  <c r="L17" i="84"/>
  <c r="I17" i="84"/>
  <c r="A26" i="84" s="1"/>
  <c r="J11" i="84"/>
  <c r="K131" i="83"/>
  <c r="M87" i="83"/>
  <c r="M9" i="83"/>
  <c r="E56" i="52"/>
  <c r="D55" i="52"/>
  <c r="L213" i="83" l="1"/>
  <c r="P193" i="83"/>
  <c r="I11" i="84"/>
  <c r="A17" i="84"/>
  <c r="A21" i="84"/>
  <c r="A30" i="84"/>
  <c r="A27" i="84"/>
  <c r="A25" i="84"/>
  <c r="A28" i="84"/>
  <c r="A20" i="84"/>
  <c r="A23" i="84"/>
  <c r="A22" i="84"/>
  <c r="A24" i="84"/>
  <c r="A29" i="84"/>
  <c r="A19" i="84"/>
  <c r="A18" i="84"/>
  <c r="O131" i="83"/>
  <c r="L11" i="84"/>
  <c r="L10" i="84" s="1"/>
  <c r="I56" i="52"/>
  <c r="I55" i="52" s="1"/>
  <c r="E55" i="52"/>
  <c r="J229" i="83" l="1"/>
  <c r="J228" i="83" s="1"/>
  <c r="J227" i="83" s="1"/>
  <c r="J226" i="83" s="1"/>
  <c r="J225" i="83" s="1"/>
  <c r="J224" i="83" s="1"/>
  <c r="J223" i="83" s="1"/>
  <c r="J221" i="83" s="1"/>
  <c r="J220" i="83" s="1"/>
  <c r="J219" i="83" s="1"/>
  <c r="J218" i="83" s="1"/>
  <c r="J217" i="83" s="1"/>
  <c r="J216" i="83" s="1"/>
  <c r="L193" i="83"/>
  <c r="E20" i="66"/>
  <c r="H21" i="17"/>
  <c r="H19" i="17"/>
  <c r="H17" i="17"/>
  <c r="H15" i="17"/>
  <c r="H13" i="17"/>
  <c r="H11" i="17"/>
  <c r="H9" i="17"/>
  <c r="G9" i="17"/>
  <c r="H29" i="30"/>
  <c r="H24" i="30"/>
  <c r="H21" i="30"/>
  <c r="H18" i="30"/>
  <c r="H15" i="30"/>
  <c r="H12" i="30"/>
  <c r="H9" i="30"/>
  <c r="H27" i="30"/>
  <c r="H8" i="30" l="1"/>
  <c r="H8" i="17"/>
  <c r="C10" i="63" l="1"/>
  <c r="C29" i="2" l="1"/>
  <c r="C20" i="2"/>
  <c r="C11" i="2"/>
  <c r="E31" i="2"/>
  <c r="D22" i="2"/>
  <c r="F22" i="2" s="1"/>
  <c r="D13" i="2"/>
  <c r="F13" i="2" s="1"/>
  <c r="E19" i="52"/>
  <c r="I19" i="52" s="1"/>
  <c r="E36" i="2"/>
  <c r="F27" i="2"/>
  <c r="D27" i="2"/>
  <c r="F18" i="2"/>
  <c r="D18" i="2"/>
  <c r="E22" i="2" l="1"/>
  <c r="E15" i="66"/>
  <c r="E13" i="2"/>
  <c r="E20" i="52"/>
  <c r="I20" i="52" s="1"/>
  <c r="E18" i="52"/>
  <c r="I18" i="52" s="1"/>
  <c r="E18" i="2"/>
  <c r="E27" i="2"/>
  <c r="E32" i="2"/>
  <c r="D23" i="2"/>
  <c r="D14" i="2"/>
  <c r="F14" i="2" s="1"/>
  <c r="F23" i="2" l="1"/>
  <c r="E14" i="2"/>
  <c r="E23" i="2" l="1"/>
  <c r="E37" i="2"/>
  <c r="F28" i="2"/>
  <c r="D28" i="2"/>
  <c r="F19" i="2"/>
  <c r="D19" i="2"/>
  <c r="E28" i="2" l="1"/>
  <c r="E19" i="2"/>
  <c r="F17" i="41"/>
  <c r="E34" i="2"/>
  <c r="F25" i="2"/>
  <c r="D25" i="2"/>
  <c r="F16" i="2"/>
  <c r="D16" i="2"/>
  <c r="E25" i="2" l="1"/>
  <c r="E16" i="2"/>
  <c r="E33" i="2"/>
  <c r="D24" i="2"/>
  <c r="D15" i="2"/>
  <c r="F15" i="2" s="1"/>
  <c r="F24" i="2" l="1"/>
  <c r="E15" i="2"/>
  <c r="E19" i="66"/>
  <c r="E24" i="2" l="1"/>
  <c r="F26" i="2"/>
  <c r="D26" i="2"/>
  <c r="D21" i="2"/>
  <c r="F17" i="2"/>
  <c r="F11" i="2" s="1"/>
  <c r="D17" i="2"/>
  <c r="E12" i="2"/>
  <c r="D12" i="2"/>
  <c r="E17" i="2" l="1"/>
  <c r="E21" i="2"/>
  <c r="E26" i="2"/>
  <c r="F29" i="2"/>
  <c r="E29" i="2" s="1"/>
  <c r="E35" i="2"/>
  <c r="D20" i="2"/>
  <c r="D11" i="2"/>
  <c r="F20" i="2"/>
  <c r="E20" i="2" s="1"/>
  <c r="E11" i="2"/>
  <c r="D6" i="42" l="1"/>
  <c r="D6" i="41"/>
  <c r="D6" i="37"/>
  <c r="F27" i="30" l="1"/>
  <c r="G33" i="42" l="1"/>
  <c r="G32" i="42"/>
  <c r="G31" i="42"/>
  <c r="G30" i="42"/>
  <c r="G29" i="42"/>
  <c r="G35" i="42"/>
  <c r="G34" i="42" s="1"/>
  <c r="G8" i="42"/>
  <c r="G30" i="41"/>
  <c r="G23" i="41"/>
  <c r="G8" i="41"/>
  <c r="G28" i="42" l="1"/>
  <c r="F6" i="41"/>
  <c r="G6" i="41"/>
  <c r="G6" i="42"/>
  <c r="F6" i="42"/>
  <c r="F22" i="37"/>
  <c r="F21" i="37"/>
  <c r="F19" i="37"/>
  <c r="F18" i="37"/>
  <c r="F17" i="37"/>
  <c r="F16" i="37"/>
  <c r="F23" i="32"/>
  <c r="J23" i="32" s="1"/>
  <c r="F20" i="32"/>
  <c r="J20" i="32" s="1"/>
  <c r="F17" i="32"/>
  <c r="J17" i="32" s="1"/>
  <c r="F16" i="32"/>
  <c r="J16" i="32" s="1"/>
  <c r="F18" i="32"/>
  <c r="J18" i="32" s="1"/>
  <c r="F19" i="32"/>
  <c r="J19" i="32" s="1"/>
  <c r="F22" i="32"/>
  <c r="J22" i="32" s="1"/>
  <c r="G9" i="8" l="1"/>
  <c r="G21" i="17"/>
  <c r="G19" i="17"/>
  <c r="G17" i="17"/>
  <c r="G15" i="17"/>
  <c r="G13" i="17"/>
  <c r="G11" i="17"/>
  <c r="G9" i="16"/>
  <c r="J15" i="32"/>
  <c r="C15" i="60"/>
  <c r="C11" i="60" s="1"/>
  <c r="C10" i="60" s="1"/>
  <c r="C14" i="66" l="1"/>
  <c r="L139" i="83" s="1"/>
  <c r="L138" i="83" s="1"/>
  <c r="G8" i="16"/>
  <c r="G23" i="13"/>
  <c r="G9" i="13" s="1"/>
  <c r="E22" i="52"/>
  <c r="I22" i="52" s="1"/>
  <c r="L98" i="83"/>
  <c r="J98" i="83" s="1"/>
  <c r="L100" i="83"/>
  <c r="J100" i="83" s="1"/>
  <c r="C13" i="66" l="1"/>
  <c r="C10" i="66" s="1"/>
  <c r="J139" i="83"/>
  <c r="J138" i="83" s="1"/>
  <c r="J135" i="83" s="1"/>
  <c r="E14" i="66"/>
  <c r="P138" i="83"/>
  <c r="P135" i="83" s="1"/>
  <c r="L135" i="83"/>
  <c r="C15" i="52"/>
  <c r="C11" i="52" s="1"/>
  <c r="C10" i="52" s="1"/>
  <c r="L94" i="83"/>
  <c r="E17" i="52"/>
  <c r="I17" i="52" s="1"/>
  <c r="H23" i="13" s="1"/>
  <c r="E23" i="52"/>
  <c r="I23" i="52" s="1"/>
  <c r="L20" i="83"/>
  <c r="J20" i="83" s="1"/>
  <c r="E66" i="2"/>
  <c r="H9" i="21"/>
  <c r="G9" i="21"/>
  <c r="D10" i="8"/>
  <c r="D12" i="8"/>
  <c r="D16" i="8"/>
  <c r="D14" i="8"/>
  <c r="H9" i="13" l="1"/>
  <c r="L92" i="83"/>
  <c r="J94" i="83"/>
  <c r="D28" i="32"/>
  <c r="J28" i="32" s="1"/>
  <c r="D6" i="32" l="1"/>
  <c r="P87" i="83"/>
  <c r="P92" i="83"/>
  <c r="P88" i="83" s="1"/>
  <c r="L88" i="83"/>
  <c r="L87" i="83" s="1"/>
  <c r="L19" i="83"/>
  <c r="C10" i="2"/>
  <c r="E65" i="2"/>
  <c r="G8" i="17"/>
  <c r="F8" i="17"/>
  <c r="F8" i="16"/>
  <c r="H16" i="39"/>
  <c r="G16" i="39" s="1"/>
  <c r="D9" i="8" l="1"/>
  <c r="J19" i="83"/>
  <c r="E16" i="40"/>
  <c r="H23" i="39"/>
  <c r="G23" i="39" s="1"/>
  <c r="L18" i="83" l="1"/>
  <c r="K35" i="84" s="1"/>
  <c r="E64" i="2"/>
  <c r="E13" i="40"/>
  <c r="H20" i="39"/>
  <c r="G20" i="39" s="1"/>
  <c r="E12" i="40"/>
  <c r="H19" i="39"/>
  <c r="G19" i="39" s="1"/>
  <c r="E15" i="40"/>
  <c r="H22" i="39"/>
  <c r="G22" i="39" s="1"/>
  <c r="E11" i="40"/>
  <c r="H18" i="39"/>
  <c r="G18" i="39" s="1"/>
  <c r="J18" i="83" l="1"/>
  <c r="O35" i="84"/>
  <c r="I35" i="84"/>
  <c r="D29" i="2"/>
  <c r="G23" i="37"/>
  <c r="G8" i="37"/>
  <c r="F6" i="37"/>
  <c r="G29" i="30"/>
  <c r="F29" i="30"/>
  <c r="G27" i="30"/>
  <c r="G24" i="30"/>
  <c r="F24" i="30"/>
  <c r="G21" i="30"/>
  <c r="F21" i="30"/>
  <c r="G18" i="30"/>
  <c r="D12" i="40" s="1"/>
  <c r="F18" i="30"/>
  <c r="C12" i="40" s="1"/>
  <c r="G15" i="30"/>
  <c r="F15" i="30"/>
  <c r="C11" i="40" s="1"/>
  <c r="G12" i="30"/>
  <c r="F12" i="30"/>
  <c r="G9" i="30"/>
  <c r="F9" i="30"/>
  <c r="C16" i="40"/>
  <c r="L21" i="83"/>
  <c r="L16" i="83" l="1"/>
  <c r="K33" i="84" s="1"/>
  <c r="J21" i="83"/>
  <c r="E62" i="2"/>
  <c r="E67" i="2"/>
  <c r="C13" i="40"/>
  <c r="F8" i="30"/>
  <c r="G6" i="37"/>
  <c r="G8" i="30"/>
  <c r="L32" i="83"/>
  <c r="L34" i="83"/>
  <c r="J34" i="83" s="1"/>
  <c r="G6" i="32"/>
  <c r="J6" i="32" s="1"/>
  <c r="F6" i="32"/>
  <c r="C15" i="40"/>
  <c r="J32" i="83" l="1"/>
  <c r="K37" i="84"/>
  <c r="D15" i="40"/>
  <c r="L33" i="83"/>
  <c r="D13" i="40"/>
  <c r="L31" i="83"/>
  <c r="O33" i="84"/>
  <c r="I33" i="84"/>
  <c r="J16" i="83"/>
  <c r="I15" i="39"/>
  <c r="I11" i="39" s="1"/>
  <c r="I10" i="39" s="1"/>
  <c r="E10" i="40"/>
  <c r="H17" i="39"/>
  <c r="G17" i="39" s="1"/>
  <c r="E14" i="40"/>
  <c r="H21" i="39"/>
  <c r="G21" i="39" s="1"/>
  <c r="C14" i="40" s="1"/>
  <c r="D14" i="40"/>
  <c r="D10" i="40"/>
  <c r="H9" i="8"/>
  <c r="F9" i="8"/>
  <c r="G15" i="39" l="1"/>
  <c r="G11" i="39" s="1"/>
  <c r="G10" i="39" s="1"/>
  <c r="C10" i="40"/>
  <c r="J33" i="83"/>
  <c r="K38" i="84"/>
  <c r="L26" i="83"/>
  <c r="J31" i="83"/>
  <c r="K36" i="84"/>
  <c r="O37" i="84"/>
  <c r="I37" i="84"/>
  <c r="C9" i="40"/>
  <c r="C8" i="40" s="1"/>
  <c r="D60" i="2"/>
  <c r="D56" i="2" s="1"/>
  <c r="D10" i="2" s="1"/>
  <c r="L15" i="83"/>
  <c r="K32" i="84" s="1"/>
  <c r="H15" i="39"/>
  <c r="H11" i="39" s="1"/>
  <c r="H10" i="39" s="1"/>
  <c r="J26" i="83" l="1"/>
  <c r="J23" i="83" s="1"/>
  <c r="P26" i="83"/>
  <c r="L23" i="83"/>
  <c r="P23" i="83" s="1"/>
  <c r="O38" i="84"/>
  <c r="I36" i="84"/>
  <c r="O36" i="84"/>
  <c r="O32" i="84"/>
  <c r="D9" i="40"/>
  <c r="E18" i="66"/>
  <c r="E17" i="66" s="1"/>
  <c r="E21" i="66" s="1"/>
  <c r="E16" i="66" s="1"/>
  <c r="E61" i="2"/>
  <c r="J15" i="83" l="1"/>
  <c r="E21" i="52"/>
  <c r="I21" i="52" s="1"/>
  <c r="E13" i="66"/>
  <c r="E10" i="66" s="1"/>
  <c r="G15" i="60"/>
  <c r="G11" i="60" s="1"/>
  <c r="G10" i="60" s="1"/>
  <c r="D15" i="60"/>
  <c r="D11" i="60" s="1"/>
  <c r="D10" i="60" l="1"/>
  <c r="E15" i="60"/>
  <c r="E11" i="60" s="1"/>
  <c r="I15" i="60"/>
  <c r="I11" i="60" s="1"/>
  <c r="I10" i="60" l="1"/>
  <c r="E10" i="60"/>
  <c r="L17" i="83"/>
  <c r="K34" i="84" s="1"/>
  <c r="O34" i="84" l="1"/>
  <c r="I34" i="84"/>
  <c r="D11" i="40"/>
  <c r="E63" i="2"/>
  <c r="L22" i="83"/>
  <c r="K39" i="84" s="1"/>
  <c r="F60" i="2" l="1"/>
  <c r="F56" i="2" s="1"/>
  <c r="F10" i="2" s="1"/>
  <c r="O39" i="84"/>
  <c r="K31" i="84"/>
  <c r="K10" i="84" s="1"/>
  <c r="J17" i="83"/>
  <c r="J22" i="83"/>
  <c r="E68" i="2"/>
  <c r="E60" i="2" s="1"/>
  <c r="E56" i="2" s="1"/>
  <c r="D16" i="40"/>
  <c r="D8" i="40" s="1"/>
  <c r="G8" i="40" s="1"/>
  <c r="O31" i="84" l="1"/>
  <c r="O10" i="84" s="1"/>
  <c r="L14" i="83"/>
  <c r="J13" i="83"/>
  <c r="J12" i="83" s="1"/>
  <c r="J11" i="83" s="1"/>
  <c r="J14" i="83"/>
  <c r="E9" i="40"/>
  <c r="E10" i="2"/>
  <c r="J10" i="83" l="1"/>
  <c r="P14" i="83"/>
  <c r="P10" i="83" s="1"/>
  <c r="L10" i="83"/>
  <c r="L9" i="83" s="1"/>
  <c r="P9" i="83"/>
  <c r="E8" i="40"/>
  <c r="G9" i="40" s="1"/>
  <c r="F12" i="53" l="1"/>
  <c r="G12" i="53" l="1"/>
  <c r="H12" i="53"/>
  <c r="H11" i="53" s="1"/>
  <c r="H7" i="53" s="1"/>
  <c r="F11" i="53"/>
  <c r="G11" i="53" l="1"/>
  <c r="G7" i="53" s="1"/>
  <c r="D16" i="52"/>
  <c r="F7" i="53"/>
  <c r="K93" i="83" l="1"/>
  <c r="E16" i="52"/>
  <c r="D15" i="52"/>
  <c r="D11" i="52" s="1"/>
  <c r="D10" i="52" s="1"/>
  <c r="C7" i="49"/>
  <c r="I16" i="52" l="1"/>
  <c r="I15" i="52" s="1"/>
  <c r="I11" i="52" s="1"/>
  <c r="I10" i="52" s="1"/>
  <c r="E15" i="52"/>
  <c r="E11" i="52" s="1"/>
  <c r="E10" i="52" s="1"/>
  <c r="J93" i="83"/>
  <c r="J92" i="83" s="1"/>
  <c r="J88" i="83" s="1"/>
  <c r="J87" i="83" s="1"/>
  <c r="J32" i="84"/>
  <c r="K92" i="83"/>
  <c r="F7" i="49"/>
  <c r="G10" i="48"/>
  <c r="I7" i="49"/>
  <c r="I32" i="84" l="1"/>
  <c r="N32" i="84"/>
  <c r="K88" i="83"/>
  <c r="K87" i="83" s="1"/>
  <c r="O87" i="83"/>
  <c r="O92" i="83"/>
  <c r="O88" i="83" s="1"/>
  <c r="G9" i="48"/>
  <c r="G8" i="48" s="1"/>
  <c r="C9" i="48"/>
  <c r="C8" i="48" s="1"/>
  <c r="H7" i="49"/>
  <c r="E22" i="48"/>
  <c r="E13" i="48" s="1"/>
  <c r="E7" i="48" s="1"/>
  <c r="G22" i="48"/>
  <c r="G13" i="48" s="1"/>
  <c r="C22" i="48"/>
  <c r="C13" i="48" s="1"/>
  <c r="A32" i="84" l="1"/>
  <c r="A35" i="84"/>
  <c r="A36" i="84"/>
  <c r="A33" i="84"/>
  <c r="A34" i="84"/>
  <c r="A37" i="84"/>
  <c r="G7" i="48"/>
  <c r="C7" i="48"/>
  <c r="J215" i="83" l="1"/>
  <c r="J214" i="83" s="1"/>
  <c r="J213" i="83" s="1"/>
  <c r="J193" i="83" s="1"/>
  <c r="G12" i="61" l="1"/>
  <c r="G11" i="61" s="1"/>
  <c r="H99" i="61"/>
  <c r="H98" i="61" s="1"/>
  <c r="F99" i="61"/>
  <c r="F98" i="61" s="1"/>
  <c r="H96" i="61"/>
  <c r="H95" i="61" s="1"/>
  <c r="F96" i="61"/>
  <c r="F95" i="61" s="1"/>
  <c r="H63" i="61" l="1"/>
  <c r="H8" i="61" s="1"/>
  <c r="F63" i="61" l="1"/>
  <c r="F8" i="61" s="1"/>
  <c r="I12" i="46"/>
  <c r="J44" i="83"/>
  <c r="J43" i="83"/>
  <c r="J42" i="83"/>
  <c r="I17" i="46"/>
  <c r="I16" i="46"/>
  <c r="I15" i="46"/>
  <c r="I14" i="46"/>
  <c r="I13" i="46"/>
  <c r="I18" i="46" l="1"/>
  <c r="K45" i="83"/>
  <c r="J38" i="84" l="1"/>
  <c r="J45" i="83"/>
  <c r="K46" i="83" l="1"/>
  <c r="I19" i="46"/>
  <c r="N38" i="84"/>
  <c r="I38" i="84"/>
  <c r="A38" i="84" l="1"/>
  <c r="J46" i="83"/>
  <c r="J38" i="83" s="1"/>
  <c r="J39" i="84"/>
  <c r="K38" i="83"/>
  <c r="O38" i="83" l="1"/>
  <c r="O36" i="83" s="1"/>
  <c r="O35" i="83"/>
  <c r="O9" i="83"/>
  <c r="N39" i="84"/>
  <c r="I39" i="84"/>
  <c r="J31" i="84"/>
  <c r="N31" i="84" l="1"/>
  <c r="N10" i="84" s="1"/>
  <c r="A39" i="84"/>
  <c r="I31" i="84"/>
  <c r="D20" i="46"/>
  <c r="D11" i="46" s="1"/>
  <c r="D10" i="46" s="1"/>
  <c r="K47" i="83" l="1"/>
  <c r="I20" i="46"/>
  <c r="I11" i="46" s="1"/>
  <c r="I10" i="46" s="1"/>
  <c r="K36" i="83" l="1"/>
  <c r="K35" i="83" s="1"/>
  <c r="K9" i="83" s="1"/>
  <c r="J40" i="84"/>
  <c r="J47" i="83"/>
  <c r="J36" i="83" s="1"/>
  <c r="J35" i="83" s="1"/>
  <c r="J9" i="83" s="1"/>
  <c r="J10" i="84" l="1"/>
  <c r="N40" i="84"/>
  <c r="I40" i="84"/>
  <c r="I10" i="84" s="1"/>
</calcChain>
</file>

<file path=xl/comments1.xml><?xml version="1.0" encoding="utf-8"?>
<comments xmlns="http://schemas.openxmlformats.org/spreadsheetml/2006/main">
  <authors>
    <author>SHARP</author>
  </authors>
  <commentList>
    <comment ref="C6" authorId="0">
      <text>
        <r>
          <rPr>
            <b/>
            <sz val="9"/>
            <color indexed="81"/>
            <rFont val="Tahoma"/>
            <family val="2"/>
          </rPr>
          <t>SHARP:</t>
        </r>
        <r>
          <rPr>
            <sz val="9"/>
            <color indexed="81"/>
            <rFont val="Tahoma"/>
            <family val="2"/>
          </rPr>
          <t xml:space="preserve">
</t>
        </r>
      </text>
    </comment>
  </commentList>
</comments>
</file>

<file path=xl/comments2.xml><?xml version="1.0" encoding="utf-8"?>
<comments xmlns="http://schemas.openxmlformats.org/spreadsheetml/2006/main">
  <authors>
    <author>Author</author>
  </authors>
  <commentList>
    <comment ref="B16" authorId="0">
      <text>
        <r>
          <rPr>
            <b/>
            <sz val="9"/>
            <color indexed="81"/>
            <rFont val="Tahoma"/>
            <family val="2"/>
          </rPr>
          <t xml:space="preserve">Author:
</t>
        </r>
      </text>
    </comment>
  </commentList>
</comments>
</file>

<file path=xl/sharedStrings.xml><?xml version="1.0" encoding="utf-8"?>
<sst xmlns="http://schemas.openxmlformats.org/spreadsheetml/2006/main" count="14894" uniqueCount="3943">
  <si>
    <t>Biểu 1</t>
  </si>
  <si>
    <t>BIỂU TỔNG HỢP KINH PHÍ DỰ ÁN 1</t>
  </si>
  <si>
    <t xml:space="preserve">GIẢI QUYẾT TÌNH TRẠNG THIẾU ĐẤT Ở, NHÀ Ở, ĐẤT SẢN XUẤT, NƯỚC SINH HOẠT </t>
  </si>
  <si>
    <t>Đơn vị tính: Triệu đồng</t>
  </si>
  <si>
    <t>STT</t>
  </si>
  <si>
    <t>Nội dung thực hiện</t>
  </si>
  <si>
    <t>Tổng cộng</t>
  </si>
  <si>
    <t>TỔNG CỘNG</t>
  </si>
  <si>
    <t>I</t>
  </si>
  <si>
    <t>Nội dung 1: Hỗ trợ đất ở</t>
  </si>
  <si>
    <t>1</t>
  </si>
  <si>
    <t>Huyện Mường Tè</t>
  </si>
  <si>
    <t>2</t>
  </si>
  <si>
    <t>Huyện Nậm Nhùn</t>
  </si>
  <si>
    <t>3</t>
  </si>
  <si>
    <t>Huyện Sìn Hồ</t>
  </si>
  <si>
    <t>4</t>
  </si>
  <si>
    <t>Huyện Phong Thổ</t>
  </si>
  <si>
    <t>5</t>
  </si>
  <si>
    <t>Huyện Tam Đường</t>
  </si>
  <si>
    <t>6</t>
  </si>
  <si>
    <t>Huyện Tân Uyên</t>
  </si>
  <si>
    <t>7</t>
  </si>
  <si>
    <t>Huyện Than Uyên</t>
  </si>
  <si>
    <t>8</t>
  </si>
  <si>
    <t>Thành phố Lai Châu</t>
  </si>
  <si>
    <t>II</t>
  </si>
  <si>
    <t>Nội dung 2: Hỗ trợ nhà ở</t>
  </si>
  <si>
    <t>III</t>
  </si>
  <si>
    <t>IV</t>
  </si>
  <si>
    <t>V</t>
  </si>
  <si>
    <t>VI</t>
  </si>
  <si>
    <t>Quy mô</t>
  </si>
  <si>
    <t>Ghi chú</t>
  </si>
  <si>
    <t>Địa điểm đầu tư</t>
  </si>
  <si>
    <t>Thời gian thực hiện</t>
  </si>
  <si>
    <t>Dự kiến TMĐT</t>
  </si>
  <si>
    <t>A</t>
  </si>
  <si>
    <t>B</t>
  </si>
  <si>
    <t>Biểu 3</t>
  </si>
  <si>
    <t>Ghi chú:</t>
  </si>
  <si>
    <t>Biểu 4</t>
  </si>
  <si>
    <t>BIỂU TỔNG HỢP KINH PHÍ DỰ ÁN 4</t>
  </si>
  <si>
    <t>BIỂU TỔNG HỢP KINH PHÍ DỰ ÁN 5</t>
  </si>
  <si>
    <t>PHÁT TRIỂN GIÁO DỤC ĐÀO TẠO NÂNG CAO CHẤT LƯỢNG NGUỒN NHÂN LỰC</t>
  </si>
  <si>
    <t>Biểu 8</t>
  </si>
  <si>
    <t>DỰ ÁN 8: THỰC HIỆN BÌNH ĐẲNG GIỚI VÀ GIẢI QUYẾT NHỮNG VẤN ĐỀ CẤP THIẾT ĐỐI VỚI PHỤ NỮ VÀ TRẺ EM</t>
  </si>
  <si>
    <t>BIỂU TỔNG HỢP KINH PHÍ DỰ ÁN 10</t>
  </si>
  <si>
    <t>Diện tích 1 phòng học trường DTBT</t>
  </si>
  <si>
    <t>40-45m2</t>
  </si>
  <si>
    <t>Diện tích 1 phòng học trường DTNT</t>
  </si>
  <si>
    <t>55-60m2</t>
  </si>
  <si>
    <t>Diện tích 1 phòng ở (NT và BT)</t>
  </si>
  <si>
    <t>20m2/8 học sinh</t>
  </si>
  <si>
    <t>NỘI DUNG 4: HỖ TRỢ NƯỚC SINH HOẠT TẬP TRUNG</t>
  </si>
  <si>
    <t>Địa điểm xây dựng</t>
  </si>
  <si>
    <t>DỰ ÁN CHI TIẾT QUY HOẠCH, SẮP XẾP, BỐ TRÍ, ỔN ĐỊNH DÂN CƯ Ở NHỮNG NƠI CẦN THIẾT</t>
  </si>
  <si>
    <t>TIỂU DỰ ÁN 2: HỖ TRỢ PHÁT TRIỂN SẢN XUẤT THEO CHUỖI GIÁ TRỊ, VÙNG TRỒNG DƯỢC LIỆU QUÝ, THÚC ĐẨY KHỞI SỰ KINH DOANH, KHỞI NGIỆP VÀ THU HÚT ĐẦU TƯ VÙNG ĐỒNG BÀO DTTS&amp;MN</t>
  </si>
  <si>
    <t>NỘI DUNG 2: ĐẦU TƯ, HỖ TRỢ VÙNG TRỒNG DƯỢC LIỆU QUÝ</t>
  </si>
  <si>
    <t>2. Đối tượng của Nội dung 1 được quy định theo Quyết định số 1719/QĐ-TTg ngày 14/10/2021 của Thủ tướng Chính phủ như sau:</t>
  </si>
  <si>
    <t>- Thôn, xã, huyện, tỉnh nơi triển khai dự án</t>
  </si>
  <si>
    <t>- Các dự án phát triển sâm và dược liệu quý có hoạt động ở các địa bàn đặc biệt khó khăn vùng đồng bào dân tộc thiểu số và miền núi, sử dụng tối thiểu 50% lao động là người dân tộc thiểu số (ưu tiên các dự án sử dụng trên 50% lao động là nữ), do các tổ chức kinh tế và cá nhân, hộ gia đình người dân tộc thiêu số, hộ nghèo sinh sống trong vùng có điều kiện tự nhiên phù hợp cùng tham gia thực hiện và cam kết hỗ trợ thu mua, sản xuất, tiêu thụ dược liệu trong vùng.</t>
  </si>
  <si>
    <t>3. Nội dung thực hiện của Nội dung 2 được quy định tại Quyết định số 1719/QĐ-TTg ngày 14/10/2021 của Thủ tướng Chính phủ</t>
  </si>
  <si>
    <t>1. Đối với vốn tín dụng chính sách và vốn huy động khác tùy tình hình nhu cầu thực tế của dự án để triển khai thực hiện (không phân bổ chi tiết theo địa bàn các huyện, thành phố)</t>
  </si>
  <si>
    <t>Tiểu dự án 1: Đầu tư cơ sở hạ tầng thiết yếu, phục vụ sản xuất, đời sống trong vùng đồng bào DTTS&amp;MN</t>
  </si>
  <si>
    <t>TRUYỀN THÔNG, TUYÊN TRUYỀN, VẬN ĐỘNG TRONG VÙNG ĐỒNG BÀO DTTS&amp;MN. KIỂM TRA, GIÁM SÁT, ĐÁNH GIÁ VIỆC TỔ CHỨC THỰC HIỆN CHƯƠNG TRÌNH</t>
  </si>
  <si>
    <t>Nội dung 3: Hỗ trợ đất sản xuất</t>
  </si>
  <si>
    <t>Nội dung 6: Hỗ trợ nước sinh hoạt tập trung</t>
  </si>
  <si>
    <t>Vốn đầu tư NSTW</t>
  </si>
  <si>
    <t>8=6+7</t>
  </si>
  <si>
    <t>Biểu 4-1</t>
  </si>
  <si>
    <t>Biểu 4-2</t>
  </si>
  <si>
    <t>Biểu 4-4</t>
  </si>
  <si>
    <t>+ Đối với chợ xây mới: Hỗ trợ từ 01-05 tỷ đồng/chợ tùy vào quy mô của chợ (mức hỗ trợ theo phương án thiết kế và nhu cầu vốn được cơ quan có thẩm quyền phê duyệt, tối đa không quá 05 tỷ đồng/chợ)</t>
  </si>
  <si>
    <t>+ Đối với chợ cải tạo, nâng cấp: Hỗ trợ từ 500 triệu - 01 tỷ đồng/chợ theo mức độ của dự án cải tạo nâng cấp chợ, mức hỗ trợ tối đa không quá 01 tỷ đồng/chợ.</t>
  </si>
  <si>
    <t>Định mức hỗ trợ xây dựng, cải tạo nâng cấp mạng lưới chợ được áp dụng theo Báo cáo nghiên cứu khả thi kèm theo Văn bản số 1409/TTr-UBDT ngày 27/9/2021 của Ủy ban Dân tộc</t>
  </si>
  <si>
    <t>Định mức phân bổ vốn đầu tư kiên cố hóa đường đến trung tâm xã chưa được kiên cố hóa định mức đầu tư không quá 1.600 triệu đồng/km căn cứ theo Dự thảo Thông tư hướng dẫn thực hiện Dự án 1; Dự án 2; Tiểu dự án 2 của Dự án 3; Dự án 4; Tiểu dự án 2 và 4 của Dự án 5; Dự án 9 do Ủy ban Dân tộc dự thảo</t>
  </si>
  <si>
    <t>5=3+4</t>
  </si>
  <si>
    <t>Dự án ...</t>
  </si>
  <si>
    <t>Tổng mức đầu tư</t>
  </si>
  <si>
    <t>VII</t>
  </si>
  <si>
    <t>VIII</t>
  </si>
  <si>
    <t>BIỂU TỔNG HỢP KINH PHÍ DỰ ÁN 3
PHÁT TRIỂN SẢN XUẤT NÔNG, LÂM NGHIỆP, PHÁT HUY TIỀM NĂNG, THẾ MẠNH CỦA CÁC VÙNG MIỀN ĐỂ SẢN XUẤT HÀNG HÓA THEO CHUỖI GIÁ TRỊ</t>
  </si>
  <si>
    <t>Biểu 2</t>
  </si>
  <si>
    <t>ha</t>
  </si>
  <si>
    <t>NỘI DUNG 2: CỨNG HÓA ĐƯỜNG GIAO THÔNG ĐẾN TRUNG TÂM XÃ</t>
  </si>
  <si>
    <t>Không có vốn</t>
  </si>
  <si>
    <t>Các huyện, thành phố</t>
  </si>
  <si>
    <t>- Các dự án, tiểu dự án dự kiến phân bổ theo địa bàn các huyện, thành phố theo tiêu chí điểm Quyết định số 39/2021/QĐ-TTg</t>
  </si>
  <si>
    <t>- Một số dự án chưa phân bổ hết số vốn dự kiến với lý do như sau:</t>
  </si>
  <si>
    <t>+ Dự án 4: số vốn còn lại chưa phân bổ khoảng 178 tỷ đồng, trong đó: 
Nội dung 1: Đầu tư cơ sở cho các xã, thôn đặc biệt khó khăn khoảng 102 tỷ đồng (gồm huyện Mường Tè 25 tỷ đồng; huyện Nậm Nhùn 55 tỷ đồng; huyện Phòng Thổ 22 tỷ đồng) do trước đây khi đề xuất nội dung "Đầu tư cứng hóa đường đến trung tâm xã" dự kiến chung vào nội dung này</t>
  </si>
  <si>
    <t>Nội dung 3: Đầu tư cứng hóa đường đến trung tâm xã khoảng 68 tỷ đồng (gồm các huyện: Mường Tè 45 tỷ đồng do danh mục các dự án đề xuất đã được đầu tư bằng nguồn vốn NSTW (dự án đường đến trung tâm các xã huyện Mường Tè; các huyện còn lại chia vốn theo tiêu chí, tuy nhiên thực tế đã hết nhu cầu như: Tam Đường 20 tỷ đồng; Tân Uyên 5 tỷ đồng; Than Uyên 7 tỷ đồng; Thành phố 1 tỷ đồng)
Nội dung 6: Đầu tư chợ khoảng 8 tỷ đồng do UBDT dự kiến phân bổ vốn cao hơn ban đầu</t>
  </si>
  <si>
    <t>+ Dự án 9: Số vốn chưa phân bổ khoảng 84 tỷ đồng, do huyện Mường Tè khi dân tộc La Hủ không thuộc đối tượng thì nhu cầu giảm theo</t>
  </si>
  <si>
    <t>- Đối với dự án 5: Đã tổng hợp cơ bản đủ danh mục của Sở giáo dục và Đào tạo, các huyện, thành phố đề xuất, do đó một số địa bàn không phân bổ theo tiêu chí, đề phù hợp với danh mục các đơn vị đề xuất thực hiện điều chỉnh tăng vốn cho các huyện (gồm Tam Đường 25 tỷ đồng, Mường Tè 1 tỷ đồng, Nậm Nhùn 4 tỷ đồng); điều chỉnh giảm các huyện (gồm Sìn Hồ 23 tỷ đồng; Phong Thổ 5 tỷ đồng; Than Uyên 1 tỷ đồng)</t>
  </si>
  <si>
    <t>- Nội dung Đầu tư có sở hạ tầng trọng điểm kết nối các xã đặc biệt khó khăn trên cùng địa bàn thuộc Dự án 4 không thực hiện phân bổ theo tiêu chí, đề xuất toàn bộ số vốn ODA dự kiến là 169 tỷ đồng để đầu tư dự án Đường giao thông liên vùng từ bản Hoàng Hồ - bản Nậm Lúc xã Phăng Sô Lin đến xã Lùng Thàng, huyện Sìn Hồ</t>
  </si>
  <si>
    <t>- Vốn đầu tư dự án 7 là 38 tỷ đồng thực hiện đầu tư Trung Tâm y tế huyện Mường Tè</t>
  </si>
  <si>
    <t>Dự án 1</t>
  </si>
  <si>
    <t>Dự án 2</t>
  </si>
  <si>
    <t>Dự án 3</t>
  </si>
  <si>
    <t>Dự án 4</t>
  </si>
  <si>
    <t>Dự án 5</t>
  </si>
  <si>
    <t>Dự án 6</t>
  </si>
  <si>
    <t>Dự án 7</t>
  </si>
  <si>
    <t>Dự án 8</t>
  </si>
  <si>
    <t>Dự án 9</t>
  </si>
  <si>
    <t>Dự án 10</t>
  </si>
  <si>
    <t>CHƯƠNG TRÌNH MỤC TIÊU QUỐC GIA PHÁT TRIỂN KINH TẾ - XÃ HỘI VÙNG ĐỒNG BÀO DÂN TỘC THIỂU SỐ VÀ MIỀN NÚI GIAI ĐOẠN 2021 - 2025</t>
  </si>
  <si>
    <t>Xã Hua Bum</t>
  </si>
  <si>
    <t>Sửa chữa, nâng cấp nước sinh hoạt bản Chang Chảo Pá và bản Pa Mu xã Hua Bum</t>
  </si>
  <si>
    <t>Nước sinh hoạt bản Nậm Tảng, xã Hua Bum</t>
  </si>
  <si>
    <t>Xã Nậm Chà</t>
  </si>
  <si>
    <t>Xã Nậm Manh</t>
  </si>
  <si>
    <t>Nước sinh hoạt bản Nậm Pồ, xã Nậm Manh</t>
  </si>
  <si>
    <t>Xã Nậm Pì</t>
  </si>
  <si>
    <t>Xã Nậm Hàng</t>
  </si>
  <si>
    <t>80</t>
  </si>
  <si>
    <t>Quy mô
(hộ)</t>
  </si>
  <si>
    <t>Hua Bum</t>
  </si>
  <si>
    <t>2022-2025</t>
  </si>
  <si>
    <t>Nậm Pì</t>
  </si>
  <si>
    <t>Nậm Hàng</t>
  </si>
  <si>
    <t>Nậm Chà</t>
  </si>
  <si>
    <t>Xã Trung Chải</t>
  </si>
  <si>
    <t>Xã Nậm Ban</t>
  </si>
  <si>
    <t>Đường giao thông đến bản Nậm Vạc 1</t>
  </si>
  <si>
    <t>Xã Mường Mô</t>
  </si>
  <si>
    <t>Nâng cấp đường giao thông bản Huổi Dạo - Pá Chà</t>
  </si>
  <si>
    <t>Nâng cấp, cứng hóa đường giao thông đến bản Huổi Chát (nhóm 2) - Nậm Nàn</t>
  </si>
  <si>
    <t>Nâng cấp đường giao thông bản Nậm Cười đến bản Nậm Tảng</t>
  </si>
  <si>
    <t>Thủy lợi nhóm Dúa Vàng bản Pề Ngài 2, xã Nậm Pì</t>
  </si>
  <si>
    <t>Thủy lợi cụm Nậm Chẻ, bản Hua Pảng, xã Nậm Ban</t>
  </si>
  <si>
    <t>Thủy lợi bản Nậm Tảng, xã Hua Bum</t>
  </si>
  <si>
    <t>Thủy lợi Nậm Pang</t>
  </si>
  <si>
    <t>Trạm y tế xã Nậm Pì</t>
  </si>
  <si>
    <t>Loại CT</t>
  </si>
  <si>
    <t>YT</t>
  </si>
  <si>
    <t>NVH</t>
  </si>
  <si>
    <t>NSH</t>
  </si>
  <si>
    <t>TL</t>
  </si>
  <si>
    <t>ĐSH</t>
  </si>
  <si>
    <t>GT</t>
  </si>
  <si>
    <t>Kiên cố hóa đường đến trung tâm xã Nậm Ban</t>
  </si>
  <si>
    <t>Kiên cố hóa đường giao thông từ bản Huổi Chát xã Nậm Manh - Huổi Mắn đến Trung tâm xã Nậm Chà</t>
  </si>
  <si>
    <t>Kiên cố hóa đường đường giao thông từ Km43 đến trung tâm xã Nậm Chà</t>
  </si>
  <si>
    <t>Đường đi khu sản xuất bản Táng Ngá, xã Nậm Chà</t>
  </si>
  <si>
    <t>Nâng cấp đường giao thông từ đồi cao su (Ao Trâu) đến bản Nậm Nó 2</t>
  </si>
  <si>
    <t>Nâng cấp đường giao thông từ bản Nậm Sẻ xã Vàng San, huyện Mường Tè đến bản Nậm Cười xã Hua Bum</t>
  </si>
  <si>
    <t>Nâng cấp, cứng hóa tuyến đường Pá Bon-Pá Sập-Pá Đởn</t>
  </si>
  <si>
    <t>Thủy lợi Huổi Van</t>
  </si>
  <si>
    <t>Thủy lợi bản Nậm Nghẹ, xã Hua Bum</t>
  </si>
  <si>
    <t>Thủy lợi bản Nậm Cười, xã Hua Bum</t>
  </si>
  <si>
    <t>Bổ sung cơ sở vật chất trường Mầm non trung tâm xã Nậm Ban</t>
  </si>
  <si>
    <t>Bổ sung cơ sở vật chất trường Mầm non xã Nậm Pì</t>
  </si>
  <si>
    <t>Xây dựng chợ trung tâm xã Nậm Pì</t>
  </si>
  <si>
    <t>Nâng cấp, sửa chữa nước sinh hoạt bản Táng Ngá</t>
  </si>
  <si>
    <t>Nước sinh hoạt bản Nậm Cười xã Hua Bum</t>
  </si>
  <si>
    <t>Nâng cấp, sửa chữa nước sinh hoạt bản Pa Cheo</t>
  </si>
  <si>
    <t>Loai CT</t>
  </si>
  <si>
    <t>GD</t>
  </si>
  <si>
    <t>Xã Hua Bum.</t>
  </si>
  <si>
    <t>Chợ</t>
  </si>
  <si>
    <t>11 phòng</t>
  </si>
  <si>
    <t>04 phòng</t>
  </si>
  <si>
    <t>03 phòng</t>
  </si>
  <si>
    <t>9km</t>
  </si>
  <si>
    <t>2km</t>
  </si>
  <si>
    <t>7km</t>
  </si>
  <si>
    <t>7,5km</t>
  </si>
  <si>
    <t>12km</t>
  </si>
  <si>
    <t>10Ha</t>
  </si>
  <si>
    <t>15Ha</t>
  </si>
  <si>
    <t>5000m2</t>
  </si>
  <si>
    <t>103 Hộ</t>
  </si>
  <si>
    <t>42 Hộ</t>
  </si>
  <si>
    <t>61 Hộ</t>
  </si>
  <si>
    <t>Xã Tà Mít</t>
  </si>
  <si>
    <t>Xã Nậm Sỏ</t>
  </si>
  <si>
    <t>Xã Hố Mít</t>
  </si>
  <si>
    <t>Đường nội đồng bản Tho Ló</t>
  </si>
  <si>
    <t>Đường nội bản Khâu Hỏm</t>
  </si>
  <si>
    <t>Đường nội bản Hô Sỏ</t>
  </si>
  <si>
    <t>Đường nội đồng bản Hua Ngò</t>
  </si>
  <si>
    <t>Đường nội bản bản Hua Ngò</t>
  </si>
  <si>
    <t>Xã Mường Khoa</t>
  </si>
  <si>
    <t>Đường nội bản Hô Tra</t>
  </si>
  <si>
    <t>Đường nội đồng bản Hô Tra</t>
  </si>
  <si>
    <t>Xã Nậm Cần</t>
  </si>
  <si>
    <t>Đường đến bản Hua Cần</t>
  </si>
  <si>
    <t>Đường sản xuất vùng quế bản Hua Cần</t>
  </si>
  <si>
    <t>Đường xuống bến thuyền bản Nậm Khăn</t>
  </si>
  <si>
    <t>Đường nội đồng bản Mít Nọi</t>
  </si>
  <si>
    <t>Đường nội đồng bản Thào</t>
  </si>
  <si>
    <t>Thị trấn Tân Uyên</t>
  </si>
  <si>
    <t>Đường giao thông nội đồng tổ 24</t>
  </si>
  <si>
    <t>Đường giao thông nội đồng bản Chạm Cả</t>
  </si>
  <si>
    <t>Đường giao thông bản Nà Nọi</t>
  </si>
  <si>
    <t>Đường giao thông nội bản Hô Be</t>
  </si>
  <si>
    <t>Nhà lớp học 01 phòng Mầm non + các hạng mục phụ trợ bản Hô Ít</t>
  </si>
  <si>
    <t>Thủy lợi tổ 24</t>
  </si>
  <si>
    <t>Thủy lợi bản Chạm Cả</t>
  </si>
  <si>
    <t>Thủy lợi bản Nà Nọi</t>
  </si>
  <si>
    <t>Thủy lợi bản Hô Be</t>
  </si>
  <si>
    <t>CNSH bản Hô Cả</t>
  </si>
  <si>
    <t>CNSH bản Tho Ló</t>
  </si>
  <si>
    <t>CNSH Hô Ít</t>
  </si>
  <si>
    <t>Nước sinh hoạt bản Hua Ngò</t>
  </si>
  <si>
    <t>Nước sinh hoạt bản Chạm Cả</t>
  </si>
  <si>
    <t>Xã Trung Đồng</t>
  </si>
  <si>
    <t>CNSH bản Hô Tra</t>
  </si>
  <si>
    <t>Xã Nậm Cha</t>
  </si>
  <si>
    <t>Xã Ma Quai</t>
  </si>
  <si>
    <t>Xã Làng Mô</t>
  </si>
  <si>
    <t>Xã Tủa Sín Chải</t>
  </si>
  <si>
    <t>Xã Tả Ngảo</t>
  </si>
  <si>
    <t>Xã Căn Co</t>
  </si>
  <si>
    <t>Xã Nậm Cuổi</t>
  </si>
  <si>
    <t>Xã Nậm Hăn</t>
  </si>
  <si>
    <t>Xã Noong Hẻo</t>
  </si>
  <si>
    <t>Xã Pu Sam Cáp</t>
  </si>
  <si>
    <t>Xã Hồng Thu</t>
  </si>
  <si>
    <t>Xã Pa Tần</t>
  </si>
  <si>
    <t>Đường trung tâm xã đến bản Ka Sin Chải</t>
  </si>
  <si>
    <t>Đường Dền Thàng - Nậm Pẻ</t>
  </si>
  <si>
    <t>Đường nội đồng Sáng Tùng - Nậm Khăm</t>
  </si>
  <si>
    <t>Đường giao thông Ngài San - Tả San</t>
  </si>
  <si>
    <t>Xã Tủa Sin Chải</t>
  </si>
  <si>
    <t>Đường trung tâm xã đến bản Thành Chử</t>
  </si>
  <si>
    <t>Đường Ha Vu Chứ - Chinh Chu Phìn</t>
  </si>
  <si>
    <t>Đường đến bản Tìa Khí</t>
  </si>
  <si>
    <t>Xã Phìn Hồ</t>
  </si>
  <si>
    <t>Xã Pu Sam Cap</t>
  </si>
  <si>
    <t>Nâng cấp đường Nậm Há - Nậm Béo</t>
  </si>
  <si>
    <t>Xã Pa khóa</t>
  </si>
  <si>
    <t>Đường từ Nậm Ngập đến Seo Phìn</t>
  </si>
  <si>
    <t>Đường Huổi Lá - Quỳnh Nhai</t>
  </si>
  <si>
    <t>Xã Sà Dề Phìn</t>
  </si>
  <si>
    <t>Thủy lợi Nậm Cày</t>
  </si>
  <si>
    <t>Thủy lợi Cha Pa Phòng</t>
  </si>
  <si>
    <t>Thủy lợi Chờ Sang Tê</t>
  </si>
  <si>
    <t>NC, SC thủy lợi Pề Sì Ngài</t>
  </si>
  <si>
    <t>Thủy lợi bản Tìa Khí</t>
  </si>
  <si>
    <t>Thủy lợi Ná Cóng, bản Na Sái</t>
  </si>
  <si>
    <t>Thủy lợi bản Phiêng Én</t>
  </si>
  <si>
    <t>Thủy lợi Nề Cu Chỉa bản Căn Tỷ 1</t>
  </si>
  <si>
    <t>Thủy lợi bản Pá Pha - Hua Pha</t>
  </si>
  <si>
    <t>Thủy lợi Pà Tênh Só</t>
  </si>
  <si>
    <t>NC, SC đường Tà Ghênh - Nậm Mạ Dạo</t>
  </si>
  <si>
    <t>SC, NC đường Làng Mô - Tủa Sín Chải</t>
  </si>
  <si>
    <t>NC, SC đường từ TT xã Pa Khóa đến trung tâm xã Pu Sam Cáp</t>
  </si>
  <si>
    <t>NC, SC Căn Co - Nậm Cuổi - Nậm Hăn</t>
  </si>
  <si>
    <t>Đường Phăng Sô Lin - Pa Tần</t>
  </si>
  <si>
    <t>Đường Liên xã Lùng Thàng - Nậm Lúc 1 - Nậm Lúc 2 đi thị trấn Sìn Hồ</t>
  </si>
  <si>
    <t>Phìn Hồ-Ma Quai</t>
  </si>
  <si>
    <t>Làng Mô-Tủa Sín Chải</t>
  </si>
  <si>
    <t>Pa Khóa-Pu Sam Cáp</t>
  </si>
  <si>
    <t>Căn Co-Nậm Cuổi-Nậm Hăn</t>
  </si>
  <si>
    <t>Phăng Sô Lin - Pa Tần</t>
  </si>
  <si>
    <t xml:space="preserve">Lùng Thàng-Thị trấn </t>
  </si>
  <si>
    <t>Xây mới Chợ Chăn Nưa</t>
  </si>
  <si>
    <t>Xây mới Chợ Pa Tần</t>
  </si>
  <si>
    <t>Xây mới Chợ Nậm Tăm</t>
  </si>
  <si>
    <t>Cải tạo, nâng cấp chợ Nậm Cuổi</t>
  </si>
  <si>
    <t>Xã Chăn Nưa</t>
  </si>
  <si>
    <t>Xã Nậm Tăm</t>
  </si>
  <si>
    <t>Cấp III</t>
  </si>
  <si>
    <t>Cải tạo, nâng cấp; Cấp III</t>
  </si>
  <si>
    <t>Cấp IV; 01 tầng</t>
  </si>
  <si>
    <t>Trạm Y Tế xã Ma Quai</t>
  </si>
  <si>
    <t>Cải tạo, sửa chữa trạm y tế xã Tả Ngảo</t>
  </si>
  <si>
    <t>Đường nội bản Nậm Tần Xá</t>
  </si>
  <si>
    <t xml:space="preserve">Nâng cấp, sửa chữa đường giao thông đến điểm di dân cư bản Nậm Tần Xá, xã Pa Tần </t>
  </si>
  <si>
    <t>Đường điện điểm di dân cư bản Nậm Tần Xá xã Pa Tần huyện Sìn Hồ</t>
  </si>
  <si>
    <t>Thủy lợi Đấu Hay Khâu Tai bản Phìn Hồ</t>
  </si>
  <si>
    <t>Thủy lợi Pá Phặt bản Phìn Hồ</t>
  </si>
  <si>
    <t>Công trình công cộng điểm di dân cư bản Nậm Tần Xá xã Pa Tần huyện Sìn Hồ</t>
  </si>
  <si>
    <t>13 ha</t>
  </si>
  <si>
    <t>15 ha</t>
  </si>
  <si>
    <t>25 ha</t>
  </si>
  <si>
    <t>1,5km</t>
  </si>
  <si>
    <t>16km (02 cầu BTCT)</t>
  </si>
  <si>
    <t>0,5km</t>
  </si>
  <si>
    <t>CC</t>
  </si>
  <si>
    <t>Xã Sì Lở Lầu</t>
  </si>
  <si>
    <t>Xã Dào San</t>
  </si>
  <si>
    <t>Xã Bản Lang</t>
  </si>
  <si>
    <t>Xã Nậm Xe</t>
  </si>
  <si>
    <t>Xã Sin Suối Hồ</t>
  </si>
  <si>
    <t>Xã Lản Nhì Thàng</t>
  </si>
  <si>
    <t>Xã Ma Li Pho</t>
  </si>
  <si>
    <t>Nâng cấp đường GTNT Ma Ly Pho - Hùng Pèng</t>
  </si>
  <si>
    <t>Xã Vàng Ma Chải</t>
  </si>
  <si>
    <t>Xã Pa Vây Sử</t>
  </si>
  <si>
    <t>Nâng cấp, sửa chữa đường GTNT bản Pờ Xa</t>
  </si>
  <si>
    <t>Xã Mường So</t>
  </si>
  <si>
    <t>Nâng cấp, bổ sung trạm BA và đường điện sinh hoạt các bản: Nà Giang, Má Nghé, bản Pho, Bản Lang 2, Nà Cúng</t>
  </si>
  <si>
    <t>Trạm biến áp tại điểm trên bản Nhóm 1</t>
  </si>
  <si>
    <t>Xã Mù Sang</t>
  </si>
  <si>
    <t>Bổ sung hệ thống lưới điện cho các hộ gia đình các bản</t>
  </si>
  <si>
    <t>Xã Hoang Thèn</t>
  </si>
  <si>
    <t>Kéo điện khu vực giãn dân bản Hoang Thèn</t>
  </si>
  <si>
    <t>Kéo điện khu vực giãn dân bản Xin Chải - Mó nước bản Xin Chải</t>
  </si>
  <si>
    <t>Sửa chữa hệ thống kênh mương bản Lả Nhì Thàng</t>
  </si>
  <si>
    <t>Xã Tung Qua Lìn</t>
  </si>
  <si>
    <t>Xã Mồ Sì San</t>
  </si>
  <si>
    <t>Xã Huổi Luông</t>
  </si>
  <si>
    <t>Thủy Lợi Nậm Le 2</t>
  </si>
  <si>
    <t>Kè bảo vệ cánh đồng Cang Tung bản Nậm Cáy</t>
  </si>
  <si>
    <t>Sửa chữa NSH bản Xín Chải</t>
  </si>
  <si>
    <t>HT</t>
  </si>
  <si>
    <t>Nâng cấp, cải tạo, cứng hóa đường giao thông đến trung tâm xã từ bản Sì Phài xã Dào San đến trung tâm xã Vàng Ma Chải</t>
  </si>
  <si>
    <t>Nâng cấp, cải tạo, cứng hóa đường giao thông đến trung tâm xã từ bản Nậm Cáy đến trung tâm xã Mù Sang - bản Sin Cai</t>
  </si>
  <si>
    <t>Cứng hóa đường giao thông đến trung tâm xã từ bản Lùng Than đến Trung tâm xã Mù Sang</t>
  </si>
  <si>
    <t>Cứng hóa đường giao thông đến trung tâm xã từ bản Sàng Sang 2 đến Trung tâm xã Mù Sang</t>
  </si>
  <si>
    <t>Nâng cấp, cải tạo, cứng hóa đường giao thông đến trung tâm xã Mồ Sì San</t>
  </si>
  <si>
    <t>Nâng cấp, cải tạo, cứng hóa đường giao thông đến trung tâm xã Tung Qua Lìn</t>
  </si>
  <si>
    <t>Nâng cấp, cải tạo, cứng hóa đường giao thông đến trung tâm xã Sin Suối Hồ</t>
  </si>
  <si>
    <t>Nâng cấp, cải tạo, cứng hóa đường giao thông đến trung tâm xã Dào San</t>
  </si>
  <si>
    <t>Xây dựng chợ trung tâm xã Mường So</t>
  </si>
  <si>
    <t>Cải tạo, nâng cấp chợ Sì Lở Lầu</t>
  </si>
  <si>
    <t>Cải tạo, nâng cấp chợ Vàng Ma Chải</t>
  </si>
  <si>
    <t>Cải tạo, nâng cấp chợ Dào San</t>
  </si>
  <si>
    <t>Xây dựng chợ trung tâm xã Bản Lang</t>
  </si>
  <si>
    <t>Xây dựng chợ trung tâm xã Huổi Luông</t>
  </si>
  <si>
    <t>1000 m2</t>
  </si>
  <si>
    <t>1500 m2</t>
  </si>
  <si>
    <t>3500 m2</t>
  </si>
  <si>
    <t xml:space="preserve"> Xã Mường So</t>
  </si>
  <si>
    <t>Xây dựng bãi đỗ xe chợ Sin Suối Hồ</t>
  </si>
  <si>
    <t>900 m2</t>
  </si>
  <si>
    <t>Xã Mường Cang</t>
  </si>
  <si>
    <t>Nâng cấp đường sản xuất vùng chè bản Huổi Hằm xã Mường Cang</t>
  </si>
  <si>
    <t>Mở mới, đổ bê tông đường nội đồng bản Muông xã Mường Cang</t>
  </si>
  <si>
    <t>Mở mới tuyến mương bản Muông xã Mường Cang</t>
  </si>
  <si>
    <t>Kè bảo vệ đất lúa bản Phiêng Cẩm xã Mường Cang</t>
  </si>
  <si>
    <t>Xã Tà Mung</t>
  </si>
  <si>
    <t>Đường nội đồng Pá Liềng - Bản Khá, xã Tà Mung</t>
  </si>
  <si>
    <t>Đường nội đồng bản Lun 1 xã Tà Mung</t>
  </si>
  <si>
    <t>Đường nội đồng bản Pá Liềng xã Tà Mung (GĐ 1)</t>
  </si>
  <si>
    <t>Đường GTNT nội bản Tu San xã Tà Mung (GĐ 1)</t>
  </si>
  <si>
    <t>Thủy lợi Hô Ta - Pá Liềng xã Tà Mung</t>
  </si>
  <si>
    <t>Xã Mường Kim</t>
  </si>
  <si>
    <t>Nâng cấp các tuyến đường nội bản Thẩm Phé xã Mường Kim</t>
  </si>
  <si>
    <t>Đường sản xuất bản Nà Then xã Mường Kim</t>
  </si>
  <si>
    <t>Đường giao thôn nội bản Nà É xã Mường Kim</t>
  </si>
  <si>
    <t>Kè suối Nậm Lưng bảo vệ đất lúa và dân cư bản Là 1, Là 2 xã Mường Kim</t>
  </si>
  <si>
    <t>Xã Tà Hừa</t>
  </si>
  <si>
    <t>Nâng cấp đường trục bản Khì, nội đồng Huổi Khang - Đán Min xã Tà Hừa</t>
  </si>
  <si>
    <t>Đường liên bản Cáp Na 3 - Hua Chít (nối tiếp GĐ 2) xã Tà Hừa</t>
  </si>
  <si>
    <t>Nâng cấp, sửa chữa thủy lợi Hua Chít - Cáp Na 2 xã Tà Hừa</t>
  </si>
  <si>
    <t>Nâng cấp trụ sở UBND xã Tà Hừa</t>
  </si>
  <si>
    <t>Mở mới đường nội đồng Cứu Còi bản Noong Ỏ xã Tà Hừa</t>
  </si>
  <si>
    <t>Mở mới đường sản xuất vùng chè và cây ăn quả Noong Ma nối tiếp xã Tà Hừa - Ta Gia</t>
  </si>
  <si>
    <t>Mở mới đường nội đồng Pù Nhung (bản Cáp Na 1) xã Tà Hừa</t>
  </si>
  <si>
    <t>Đường nội đồng Tạng Phát bản Cáp Na 1 xã Tà Hừa</t>
  </si>
  <si>
    <t>Đường trục bản Cáp Na 2 xã Tà Hừa</t>
  </si>
  <si>
    <t>Xã Ta Gia</t>
  </si>
  <si>
    <t>Xã Pha Mu</t>
  </si>
  <si>
    <t>Đường sản xuất bản Huổi Bắc xã Pha Mu</t>
  </si>
  <si>
    <t>Xây dựng cống, rãnh thoát nước đường sản xuất Pu Cay, Huổi Bắc xã Pha Mu</t>
  </si>
  <si>
    <t>Bổ sung, lắp đặt các bóng điện chiếu sáng các tuyến đường nội bản của xã Pha Mu</t>
  </si>
  <si>
    <t>Kéo đường dây điện cho các hộ tại bản Pá Khoang 2 xã Pha Mu</t>
  </si>
  <si>
    <t>Xã Mường Than</t>
  </si>
  <si>
    <t>Đường sản xuất từ bản Hô Than đi khu vực canh tác thảo quả, sơn tra xã Mường Than</t>
  </si>
  <si>
    <t>Đường sản xuất từ đập Pom Én đến đầu bản Sen Đông xã Mường Than</t>
  </si>
  <si>
    <t>Xã Hua Nà</t>
  </si>
  <si>
    <t>Cải tạo nâng cấp đường nội bản Đắc xã Hua Nà</t>
  </si>
  <si>
    <t>Nâng cấp thủy lợi bản Đắc xã Hua Nà</t>
  </si>
  <si>
    <t>Đường sản xuất vùng chè bản Đắc xã Hua Nà</t>
  </si>
  <si>
    <t>Xã Khoen On</t>
  </si>
  <si>
    <t>Làm mới đường nội đồng bản Noong Quang xã Khoen On</t>
  </si>
  <si>
    <t>Đường GTNT nội bản Đốc xã Khoen On</t>
  </si>
  <si>
    <t>Làm mới đường nội đồng bản Hua Đán xã Khoen On</t>
  </si>
  <si>
    <t>Đường ra khu sản xuất Huổi Mòn xã Kheon On</t>
  </si>
  <si>
    <t>Đường nội đồng Hua Mùi xã Khoen On</t>
  </si>
  <si>
    <t>Đường nội đồng bản On đi Phiêng Mựt xã Khoen On</t>
  </si>
  <si>
    <t>Xã Phúc Than</t>
  </si>
  <si>
    <t>Đường nội đồng bản Noong Thăng xã Phúc Than</t>
  </si>
  <si>
    <t>Đường GTNT bản Che Bó xã Phúc Than</t>
  </si>
  <si>
    <t>Đường GTNT bản Sam Sẩu xã Phúc Than</t>
  </si>
  <si>
    <t>Đường GTNT bản Sắp Ngụa xã Phúc Than</t>
  </si>
  <si>
    <t>Đường GTNT bản Nậm Vai xã Phúc Than</t>
  </si>
  <si>
    <t>Nắn dòng suối Khe Tử bản Sắp Ngụa xã Phúc Than</t>
  </si>
  <si>
    <t>Cấp 4</t>
  </si>
  <si>
    <t>2024-2025</t>
  </si>
  <si>
    <t>Đường từ QL279 đến trung tâm xã Pha Mu</t>
  </si>
  <si>
    <t>Đường từ QL32 đến trung tâm xã Mường Mít</t>
  </si>
  <si>
    <t>Đường từ QL32 đến trung tâm xã Hua Nà</t>
  </si>
  <si>
    <t>Đường từ QL32 đến trung tâm xã Mường Cang</t>
  </si>
  <si>
    <t>Xây dựng mới chợ xã Khoen On</t>
  </si>
  <si>
    <t>Xây dựng mới chợ xã Tà Hừa</t>
  </si>
  <si>
    <t>Cải tạo, nâng cấp chợ phiên Nậm Pắt xã Tà Mung</t>
  </si>
  <si>
    <t>Cải tạo, nâng cấp chợ bản Pu Cay xã Pa Mu</t>
  </si>
  <si>
    <t>0,2Ha</t>
  </si>
  <si>
    <t>0,25Ha</t>
  </si>
  <si>
    <t>0,53Ha</t>
  </si>
  <si>
    <t>0,15Ha</t>
  </si>
  <si>
    <t>Biểu 4-3</t>
  </si>
  <si>
    <t>NỘI DUNG 3: ĐẦU TƯ CHỢ</t>
  </si>
  <si>
    <t>Biểu 4-5</t>
  </si>
  <si>
    <t>NỘI DUNG 5: XÂY DỰNG CẦU DÂN SINH KẾT NỐI  VÙNG ĐỒNG BÀO DÂN TỘC THIỂU SỐ</t>
  </si>
  <si>
    <t>NỘI DUNG 4: ĐẦU TƯ CƠ SỞ HẠ TẦNG TRỌNG ĐIỂM KẾT NỐI CÁC XÃ ĐẶC BIỆT KHÓ KHĂN TRÊN CÙNG ĐỊA BÀN</t>
  </si>
  <si>
    <t>Đường bản Nậm Pắt (Tà Mung) đi bản Mùi (Khoen On) - kết nối với đường QL279D</t>
  </si>
  <si>
    <t>Xã Tà Mung, xã Khoen On</t>
  </si>
  <si>
    <t>Xây dựng cầu bản Mùi 1 xã Khoen On</t>
  </si>
  <si>
    <t>Xây dựng cầu bản Chế Hạng xã Khoen On</t>
  </si>
  <si>
    <t>Xây dựng cầu bản Khì xã Tà Hừa</t>
  </si>
  <si>
    <t>Xây dựng cầu bản Nậm Vai xã Phúc Than</t>
  </si>
  <si>
    <t>Xây dựng cầu bản Sắp Ngụa xã Phúc Than</t>
  </si>
  <si>
    <t>Cầu BTCT, DUL L=40m</t>
  </si>
  <si>
    <t>Cầu BTCT, DUL L=38m</t>
  </si>
  <si>
    <t>Cầu BTCT, DUL L=30m</t>
  </si>
  <si>
    <t>Cầu BTCT, DUL L=54m</t>
  </si>
  <si>
    <t xml:space="preserve"> Xã Phúc Than</t>
  </si>
  <si>
    <t>Nâng cấp đường giao thông từ bản Pá Đởn xã Nậm Pì đến bản Lồng Ngài, Nậm Lay xã Nậm Hàng</t>
  </si>
  <si>
    <t>Nậm Hàng - Nậm Pì</t>
  </si>
  <si>
    <t>Cầu BTCT qua suối Pá Đởn (bản Pá Đởn đến Lồng Ngài, Nậm Lay)</t>
  </si>
  <si>
    <t>42m</t>
  </si>
  <si>
    <t>Cầu bản Nà Kế 3 đi Phìn Than</t>
  </si>
  <si>
    <t>Cầu treo bản Pề Cơ</t>
  </si>
  <si>
    <t>Cầu bản Nậm Pẻ</t>
  </si>
  <si>
    <t>Cầu dân sinh bản Soong Cón</t>
  </si>
  <si>
    <t>Cầu bản rộng, L= 6m</t>
  </si>
  <si>
    <t>Cầu treo, L=60m</t>
  </si>
  <si>
    <t>Cầu treo, L= 60m</t>
  </si>
  <si>
    <t>Cầu BTCT, L=50m</t>
  </si>
  <si>
    <t>Cầu BTCT, L=60m</t>
  </si>
  <si>
    <t>Cầu treo bản Than Chi Hồ</t>
  </si>
  <si>
    <t>Đường giao thông liên bản QL100 - bản Hoang Thèn (xã Hoang Thèn) - bản Sin Cai (xã Dào San)</t>
  </si>
  <si>
    <t>Đường giao thông khu kinh tế cửa khẩu Ma Lù Thàng đi thị trấn Phong Thổ (đoạn thủy điện Nậm Na 1 - TT Phong Thổ), huyện Phong Thổ, tỉnh Lai Châu</t>
  </si>
  <si>
    <t>Đường giao thông bản Má Nghé xã Bản Lang - bản Hô Seo Chải xã Khổng Lào - Lèng Seo Chin xã Hoang Thèn</t>
  </si>
  <si>
    <t>Nâng cấp đường GTNT thị trấn Phong Thổ - Trung tâm xã Huổi Luông (giai đoạn 2)</t>
  </si>
  <si>
    <t>Nâng cấp, cải tạo đường giao thông bản Chang Hỏng 2 - bản U Gia  xã Huổi Luông - bản Sơn Bình xã Ma Ly Pho</t>
  </si>
  <si>
    <t>Đường gia thông bản Ma Lù Thàng 1,2 xã Huổi Luông - Quốc lộ 12</t>
  </si>
  <si>
    <t>Đường giao thông bản Chang Hoỏng 2 xã Huổi Luông - bản Nậm Cáy xã Hoang Thèn</t>
  </si>
  <si>
    <t>Đường gia thông bản Nhiều Sáng, xã Huổi Luông - Quốc lộ 12</t>
  </si>
  <si>
    <t>Cầu bê tông  bản Van Hồ 1,2, xã Nâm Xe</t>
  </si>
  <si>
    <t>Cầu bê tông QL 12 - bản U gia, xã Huổi Luông</t>
  </si>
  <si>
    <t>Cầu bê tông bản Đớ sang khu dân cư Pù Cá, xã Khổng Lào</t>
  </si>
  <si>
    <t>Cầu Bê tông Nà Vàng, xã Bản Lang</t>
  </si>
  <si>
    <t>Cầu Bê tông bản Hợp 1, xã Bản Lang</t>
  </si>
  <si>
    <t>Cầu Bê tông bản Sàng Giang, xã Bản Lang</t>
  </si>
  <si>
    <t>Cầu Bê tông Nà Củng, xã Mường So</t>
  </si>
  <si>
    <t>Cầu Bê tông Vàng Thẳm, xã Nậm Xe</t>
  </si>
  <si>
    <t>Cầu Bê tông Po Chà, xã Nậm Xe</t>
  </si>
  <si>
    <t>Cầu Bê tông Sàng Cải, xã Mù Sang</t>
  </si>
  <si>
    <t>Cầu Bê tông Vàng Bâu, xã Mường So</t>
  </si>
  <si>
    <t>100 m</t>
  </si>
  <si>
    <t>15m</t>
  </si>
  <si>
    <t>75m</t>
  </si>
  <si>
    <t>50m</t>
  </si>
  <si>
    <t>80m</t>
  </si>
  <si>
    <t>40m</t>
  </si>
  <si>
    <t>60m</t>
  </si>
  <si>
    <t>xã Nâm Xe</t>
  </si>
  <si>
    <t>xã Khổng Lào</t>
  </si>
  <si>
    <t>xã Bản Lang</t>
  </si>
  <si>
    <t>xã Mường So</t>
  </si>
  <si>
    <t>xã Nậm Xe</t>
  </si>
  <si>
    <t>xã Mù Sang</t>
  </si>
  <si>
    <t>xã Huổi Luông</t>
  </si>
  <si>
    <t xml:space="preserve"> xã Mường So</t>
  </si>
  <si>
    <t>Hỗ trợ đầu tư các khu, vùng nuôi trồng dược liệu ứng dụng công nghệ cao với mức hỗ trợ tối đa 300 triệu đồng/ha (đã bao gồm mức hỗ trợ 50 triệu đồng/ha cơ sở hạ tầng vùng nguyên liệu) để xây dựng cơ sở hạ tầng, thiết bị và xử lý môi trường</t>
  </si>
  <si>
    <t>Nhà lớp học điểm trường TH Pá Sập</t>
  </si>
  <si>
    <t>Nước sinh hoạt bản A Mé, U Na xã Tà Tổng, huyện Mường Tè</t>
  </si>
  <si>
    <t>Nâng cấp, sửa chữa NSH bản Nậm Lọ, xã Can Hồ, huyện Mường Tè</t>
  </si>
  <si>
    <t>Nước sinh hoạt bản A Chè, xã Thu Lũm, huyện Mường Tè</t>
  </si>
  <si>
    <t>Nâng cấp, sửa chữa NSH Nhù Te, La Ú Cò xã Ka Lăng, huyện Mường Tè</t>
  </si>
  <si>
    <t>xã Tà Tổng</t>
  </si>
  <si>
    <t>xã Nậm Khao</t>
  </si>
  <si>
    <t>Pa Vệ Sủ</t>
  </si>
  <si>
    <t>22-23</t>
  </si>
  <si>
    <t>23-25</t>
  </si>
  <si>
    <t>24-25</t>
  </si>
  <si>
    <t>Bum Tở</t>
  </si>
  <si>
    <t>Đường giao thông nông thôn phục vụ sản xuất các bản xã Thu Lũm</t>
  </si>
  <si>
    <t>Nâng cấp, sửa chữa các công trình thủy lợi nhỏ, xã Thu Lũm</t>
  </si>
  <si>
    <t>Đường giao thông Nậm Lằn - bản Nhù Cả</t>
  </si>
  <si>
    <t>Đường giao thông nông thôn phục vụ sản xuất các bản xã Ka Lăng</t>
  </si>
  <si>
    <t>Thủy lợi Mò Kho, bản Tù Nạ</t>
  </si>
  <si>
    <t>Đường giao thông nội bản các bản ( Ló Mé, Lè Giằng, Vạ Pù, Nhóm Pố) xã Tá Bạ</t>
  </si>
  <si>
    <t>Thủy lợi Cá Xú Ló Cá, bản Là Pê</t>
  </si>
  <si>
    <t>Nâng cấp, sửa chữa các công trình thủy lợi nhỏ, xã Tá Bạ</t>
  </si>
  <si>
    <t>Đường giao thông nông thôn phục vụ sản xuất các bản xã Mù Cả</t>
  </si>
  <si>
    <t>Nâng cấp, sửa chữa các công trình thủy lợi nhỏ, xã Mù Cả</t>
  </si>
  <si>
    <t>Đường giao thông nội bản các bản ( Xà Hồ, Pha Bu, Cờ Lò) xã Pa Ủ</t>
  </si>
  <si>
    <t>Đường giao thông nông thôn phục vụ sản xuất các bản (Xà Hồ, Ứ Ma) xã Pa Ủ</t>
  </si>
  <si>
    <t>Nâng cấp, sửa chữa các công trình thủy lợi nhỏ, xã Pa Ủ</t>
  </si>
  <si>
    <t>Đường giao thông nông thôn phục vụ sản xuất các bản (Dèn Thàng, Khoang Thèn, Sín Chải A+C) xã Pa Vệ Sủ</t>
  </si>
  <si>
    <t>Nâng cấp, sửa chữa các công trình thủy lợi nhỏ, xã Pa Vệ Sủ</t>
  </si>
  <si>
    <t>Đường giao thông đến bản A Mé</t>
  </si>
  <si>
    <t>Đường giao thông nông thôn phục vụ sản xuất xã Nậm Khao</t>
  </si>
  <si>
    <t>Nâng cấp, sửa chữa các công trình thủy lợi nhỏ, xã Nậm Khao</t>
  </si>
  <si>
    <t>Đường giao thông nội bản các bản ( Phìn Khò, Tả Phìn, Đầu Nậm Xả, Huổi Han) xã Tá Bạ</t>
  </si>
  <si>
    <t>Đường giao thông nông thôn phục vụ sản xuất bản Phìn Khò xã Bum Tở</t>
  </si>
  <si>
    <t>Nâng cấp, sửa chữa các công trình thủy lợi nhỏ, xã Bum Tở</t>
  </si>
  <si>
    <t>Đường đến điểm ĐCĐC Suối Voi</t>
  </si>
  <si>
    <t>Đường vào khu sản xuất bản điểm dân cư Suối Voi</t>
  </si>
  <si>
    <t>Đường giao thông nông thôn phục vụ sản xuất các bản (Nà Phày, Vàng San, Pắc Pạ) xã Vàng San</t>
  </si>
  <si>
    <t>Nâng cấp, sửa chữa các công trình thủy lợi nhỏ, xã Vàng San</t>
  </si>
  <si>
    <t>Đường giao thông nông thôn phục vụ sản xuất bản Pắc Ma</t>
  </si>
  <si>
    <t>Thủy lợi Pắc Ma</t>
  </si>
  <si>
    <t>Nâng cấp, sửa chữa NSH Khu phố 11, Thị trấn Mường Tè, huyện Mường Tè</t>
  </si>
  <si>
    <t>Vàng San</t>
  </si>
  <si>
    <t>Thị trấn Mường Tè</t>
  </si>
  <si>
    <t>Nâng cấp, kiên cố hóa đường đến trung tâm xã Tà Tổng</t>
  </si>
  <si>
    <t>Chợ trung tâm xã Ka Lăng</t>
  </si>
  <si>
    <t>Chợ trung tâm xã Tà Tổng</t>
  </si>
  <si>
    <t>1000m2</t>
  </si>
  <si>
    <t xml:space="preserve"> xã Ka Lăng</t>
  </si>
  <si>
    <t xml:space="preserve"> xã Tà Tổng</t>
  </si>
  <si>
    <t>Đường giao thông Trung tâm xã Ka Lăng - bản Ló Mé Lè Giằng - Trung tâm xã Tá Bạ</t>
  </si>
  <si>
    <t>Đường giao thông bản Mo Chi - Cờ Lò, xã Pa Ủ - Nậm Phìn, xã Nậm Khao</t>
  </si>
  <si>
    <t>Xã Ka Lăng - Xã Tá Bạ</t>
  </si>
  <si>
    <t>Xã Pa Ủ - xã Nậm Khao</t>
  </si>
  <si>
    <t>Cầu Nậm Cấu</t>
  </si>
  <si>
    <t xml:space="preserve">Cầu Á Chè </t>
  </si>
  <si>
    <t>Cầu Xà Phìn 1</t>
  </si>
  <si>
    <t>Cầu Xà Phìn 2</t>
  </si>
  <si>
    <t>Cầu Sa Si 1</t>
  </si>
  <si>
    <t>Cầu Pả Khà</t>
  </si>
  <si>
    <t>Cầu Nhù Te 1</t>
  </si>
  <si>
    <t>Cầu Nhù Te 2</t>
  </si>
  <si>
    <t>Cầu Nậm Xuổng</t>
  </si>
  <si>
    <t>Cầu Nậm Dính 1</t>
  </si>
  <si>
    <t>Cầu Nậm Dính 2</t>
  </si>
  <si>
    <t>Cầu A Mé</t>
  </si>
  <si>
    <t>Cầu Sính Sí</t>
  </si>
  <si>
    <t>Cầu Ty tông</t>
  </si>
  <si>
    <t>Cầu Nậm Luồng</t>
  </si>
  <si>
    <t>Cầu ra khu SX bản Cừ Xá</t>
  </si>
  <si>
    <t>Cầu ra khu SX bản Gia Tè</t>
  </si>
  <si>
    <t>Cầu ra khu SX bản Gò Cứ</t>
  </si>
  <si>
    <t>Cầu Sín Chải A</t>
  </si>
  <si>
    <t>Cầu Là Pê</t>
  </si>
  <si>
    <t xml:space="preserve">Cầu Hà Xá Ta Khụ </t>
  </si>
  <si>
    <t>Cầu Ló Pa Há Te</t>
  </si>
  <si>
    <t>Cầu Nậm Pạ - bản Pắc Pạ</t>
  </si>
  <si>
    <t>Cầu Pắc Ma</t>
  </si>
  <si>
    <t>Cầu treo Phi Ma (nội đồng Hé Tù)</t>
  </si>
  <si>
    <t>Cầu treo Ló Te (Nội đồng Ló Te)</t>
  </si>
  <si>
    <t>Cầu ra khu sản xuất Lo Ma Đê</t>
  </si>
  <si>
    <t>Cầu ra khu sản xuất Na Vằng Nố</t>
  </si>
  <si>
    <t>Cầu BTCT, nhịp: 3x22m</t>
  </si>
  <si>
    <t>Cầu BTCT, nhịp: 1x16m</t>
  </si>
  <si>
    <t>Cầu BTCT, nhịp: 1x24m</t>
  </si>
  <si>
    <t>Cầu BTCT, nhịp: 2x24m</t>
  </si>
  <si>
    <t>Cầu BTCT, nhịp: 3x18m</t>
  </si>
  <si>
    <t>Cầu BTCT, nhịp: 2x33m</t>
  </si>
  <si>
    <t>Cầu BTCT, nhịp: 4x33m</t>
  </si>
  <si>
    <t>Cầu BTCT, nhịp: 3x33m</t>
  </si>
  <si>
    <t>Cầu BTCT,nhịp: 2x24m</t>
  </si>
  <si>
    <t>Cầu BTCT, nhịp: 1x33m</t>
  </si>
  <si>
    <t>Cầu BTCT, nhịp: 3x24m</t>
  </si>
  <si>
    <t>Cầu BTCT, nhịp: 2x25m</t>
  </si>
  <si>
    <t>Sửa chữa, nâng cấp đường giao thông nội bản Seo Hai + Sì thâu Chải xã Can Hồ</t>
  </si>
  <si>
    <t>Sửa chữa, nâng cấp đường giao thông nội bản Nậm Xuổng + Nậm Sẻ xã Vàng San</t>
  </si>
  <si>
    <t>Đường giao thông nội bản Nậm Củm xã Bum Nưa</t>
  </si>
  <si>
    <t>Nâng cấp đường giao thông đến bản A Mại xã Pa Vệ Sủ</t>
  </si>
  <si>
    <t>Sửa chữa, nâng cấp đường giao thông nội bản A Mại</t>
  </si>
  <si>
    <t>Cấp điện sinh hoạt dân cư bản Nậm Xuổng xã Vàng San</t>
  </si>
  <si>
    <t>Sửa chữa thủy lợi Huổi Ngô, xã Can Hồ</t>
  </si>
  <si>
    <t>Sửa chữa thủy lợi Huổi Cởm, xã Can Hồ</t>
  </si>
  <si>
    <t>Sửa chữa, nâng cấp thủy lợi Lắng Phíu</t>
  </si>
  <si>
    <t>Nâng cấp thủy lợi Xám Láng</t>
  </si>
  <si>
    <t>Sửa chữa, nâng cấp TL đầu bản Nậm Xuổng</t>
  </si>
  <si>
    <t>Kiên cố hóa phòng học mầm non huyện Mường Tè</t>
  </si>
  <si>
    <t>Bổ sung, nâng cấp các công trình phụ trợ các đơn vị trường huyện Mường Tè</t>
  </si>
  <si>
    <t>Xây dựng, sửa chữa, nâng cấp nhà sinh hoạt cộng đồng các bản huyện Mường Tè</t>
  </si>
  <si>
    <t>Xã Can Hồ</t>
  </si>
  <si>
    <t>Xã Nậm Khao</t>
  </si>
  <si>
    <t>Xã Vàng San</t>
  </si>
  <si>
    <t>Bum Nưa</t>
  </si>
  <si>
    <t>H. Mường Tè</t>
  </si>
  <si>
    <t>22-24</t>
  </si>
  <si>
    <t>23-24</t>
  </si>
  <si>
    <t>22-25</t>
  </si>
  <si>
    <t>Sửa chữa, nâng cấp TL Seo Hai bản Seo Hai</t>
  </si>
  <si>
    <t>Sửa chữa, nâng cấp TL Pu Khen 1 Bản Nậm Sẻ</t>
  </si>
  <si>
    <t>Sửa chữa, nâng cấp TL Nậm Khum bản Nậm Xuổng</t>
  </si>
  <si>
    <t>Kè bảo vệ khu dân cư bản A Mại</t>
  </si>
  <si>
    <t xml:space="preserve">Thủy lợi Ty Tông 1 bản A Mại </t>
  </si>
  <si>
    <t>Kè bảo vệ khu dân cư bản Nậm Củm</t>
  </si>
  <si>
    <t xml:space="preserve">Kè bảo vệ mặt bằng cho khu dân cư, trường học bản Lắng Phiếu </t>
  </si>
  <si>
    <t>Sửa chữa, nâng cấp TL Nậm Hạ A bản Nậm Hạ+Sì Thâu Chải</t>
  </si>
  <si>
    <t>Kè bảo vệ mặt bằng cho khu dân cư bản Sì Thâu Chải</t>
  </si>
  <si>
    <t xml:space="preserve">Quy mô
(km) </t>
  </si>
  <si>
    <t>Đường từ tỉnh Lộ 128 - Căn Tỷ 2 - Căn Tỷ 1</t>
  </si>
  <si>
    <t>Xã Pa Vệ Sủ</t>
  </si>
  <si>
    <t>Thủy lợi Huổi Ta Tánh bản Ma Quai Thàng</t>
  </si>
  <si>
    <t>Xã Bản Bo</t>
  </si>
  <si>
    <t>Xã Bản Hon</t>
  </si>
  <si>
    <t>Đường ra khu sản xuất bản Hoa Dì Hồ, xã Bản Hon</t>
  </si>
  <si>
    <t>Xã Giang Ma</t>
  </si>
  <si>
    <t>Xã Nà Tăm</t>
  </si>
  <si>
    <t>Xã Tả Lèng</t>
  </si>
  <si>
    <t>Xã Sơn Bình</t>
  </si>
  <si>
    <t>Xã Thèn Sin</t>
  </si>
  <si>
    <t>Xã Khun Há</t>
  </si>
  <si>
    <t>Xã Bình Lư</t>
  </si>
  <si>
    <t>Xã Hồ Thầu</t>
  </si>
  <si>
    <t>Xã Nùng Nàng</t>
  </si>
  <si>
    <t>Xã Sùng Phài</t>
  </si>
  <si>
    <t>Công trình cấp NSH đến các hộ bản Tả Chải, Trung Chải</t>
  </si>
  <si>
    <t>Xã San Thàng</t>
  </si>
  <si>
    <t>Hỗ trợ đầu tư xây dựng thiết chế văn hóa, thể thao và trang thiết bị tại các thôn</t>
  </si>
  <si>
    <t>Hỗ trợ xây dựng thiết chế văn hóa, thể thao và trang thiết bị tại các thôn</t>
  </si>
  <si>
    <t>Quy mô
(km)</t>
  </si>
  <si>
    <t>8km + 1 cầu BTCT</t>
  </si>
  <si>
    <t>15km + 1 cầu BTCT</t>
  </si>
  <si>
    <t>7km + 1 cầu BTCT</t>
  </si>
  <si>
    <t>03 trạm BA</t>
  </si>
  <si>
    <t>Quy mô
(Cầu)</t>
  </si>
  <si>
    <t xml:space="preserve">ĐẦU TƯ CÓ SỞ HẠ TẦNG THIẾT YẾU, PHỤC VỤ SẢN XUẤT, ĐỜI SỐNG TRONG VÙNG ĐỒNG BÀO DÂN TỘC THIỂU SỐ VÀ MIỀN NÚI </t>
  </si>
  <si>
    <t>Xã Mường Mít</t>
  </si>
  <si>
    <t>Xã Dào San - Xã Vàng Ma Chải</t>
  </si>
  <si>
    <t>Xã Tà Tổng</t>
  </si>
  <si>
    <t>Nâng cấp đường từ tỉnh lộ 128 đến TT xã Sà Dề Phìn</t>
  </si>
  <si>
    <t>Nâng cấp đường từ tỉnh lộ 128 đến TT xã Tả Phìn</t>
  </si>
  <si>
    <t>Đường Ngã ba Nậm Ngá đến trung tâm xã Nậm Hăn</t>
  </si>
  <si>
    <t>Cụm công trình: NSH bản Ngài Chù, NSH bản Tả Cu Tỷ, xã Giang Ma</t>
  </si>
  <si>
    <t>NSH bản Nà Hiềng, xã Nà Tăm</t>
  </si>
  <si>
    <t>Cụm công trình: NSH bản Phiêng Giằng, NSH bản Nà Luồng, xã Nà Tăm</t>
  </si>
  <si>
    <t>Cụm công trình: NSH bản Nà Tăm; NSH bản Nà Vàn, xã Nà Tăm</t>
  </si>
  <si>
    <t>NSH bản Rừng Ổi Khèo Thầu, xã Hồ Thầu</t>
  </si>
  <si>
    <t xml:space="preserve">Dự án kết nối bản Nà Khương, Phiêng Hoi xã Bản Bo, huyện Tam Đường với bản Nà An, xã Mường Khoa, huyện Tân Uyên </t>
  </si>
  <si>
    <t>Bảo tồn kiến trúc độc đáo Nhà trình tường dân tộc Dao tại bản Sì Thâu Chải, xã Hồ Thầu</t>
  </si>
  <si>
    <t>Trung tâm y tế huyện Mường Tè</t>
  </si>
  <si>
    <t>Xã Bum Tở</t>
  </si>
  <si>
    <t>Đường giao thông bản Can Hồ xã Sin Suối Hồ - bản Po Trà - bản Hoàng Liên Sơn 2 xã Nậm Xe</t>
  </si>
  <si>
    <t>10km + 2 cầu BTCT</t>
  </si>
  <si>
    <t>xã Hoang Thèn - xã Dào San</t>
  </si>
  <si>
    <t>Thị trấn Phong Thổ</t>
  </si>
  <si>
    <t>xã Bản Lang - xã Khổng Lào - xã Hoang Thèn</t>
  </si>
  <si>
    <t>xã Sin Suối Hồ - xã Nậm Xe</t>
  </si>
  <si>
    <t>Thị trấn Phong Thổ - xã Huổi Luông</t>
  </si>
  <si>
    <t>Xã Ma Ly Pho</t>
  </si>
  <si>
    <t xml:space="preserve"> Xã Huổi Luông - xã Hoang Thèn</t>
  </si>
  <si>
    <t xml:space="preserve">Hỗ trợ đầu tư xây dựng điểm đến du lịch tiêu biểu </t>
  </si>
  <si>
    <t>Bản du lịch cộng đồng Sin Suối Hồ, xã Sin Suối Hồ, huyện Phong Thổ gắn với du lịch sinh thái, nông nghiệp</t>
  </si>
  <si>
    <t>Hỗ trợ đầu tư xây dựng thiết chế văn hóa, thể thao, trang thiết bị tại các thôn</t>
  </si>
  <si>
    <t>Hỗ trợ kinh phí cải tạo cơ sở hạ tầng về xử lý chất thải, giao thông, điện, nước nhà xưởng, cơ sở bảo quản dược liệu và mua sắm trang thiết bị trong hàng rào dự án. Ưu tiên hỗ trợ các khu, vùng nuôi trồng dược liệu ứng dụng công nghệ cao</t>
  </si>
  <si>
    <t xml:space="preserve">Dự kiến thực hiện 50 ha (05 dự án) </t>
  </si>
  <si>
    <t>Tại các xã biên giới Pa Vệ Sủ, Tá Bạ, Thu Lũm, Ka Lăng</t>
  </si>
  <si>
    <t>Cầu Là Si</t>
  </si>
  <si>
    <t>200m</t>
  </si>
  <si>
    <t>450m</t>
  </si>
  <si>
    <t>150m</t>
  </si>
  <si>
    <t>2,4km</t>
  </si>
  <si>
    <t>1,7km</t>
  </si>
  <si>
    <t>1,8km</t>
  </si>
  <si>
    <t>1km</t>
  </si>
  <si>
    <t>72 Hộ</t>
  </si>
  <si>
    <t>25Ha</t>
  </si>
  <si>
    <t>5,5Ha</t>
  </si>
  <si>
    <t>6Ha</t>
  </si>
  <si>
    <t>3,9Ha</t>
  </si>
  <si>
    <t>4,57Ha</t>
  </si>
  <si>
    <t>7Ha</t>
  </si>
  <si>
    <t>10 phòng</t>
  </si>
  <si>
    <t>9 phòng</t>
  </si>
  <si>
    <t>Thị trấn Tam Đường</t>
  </si>
  <si>
    <t>Nâng cấp, mở rộng đường từ trung tâm xã Nậm Ban đi Nậm Nó 1 - Ao Trâu, xã Trung Chải</t>
  </si>
  <si>
    <t>Đường giao thông nội bản các bản (Vàng San, Pắc Pạ, Sang Sui) xã Vàng San</t>
  </si>
  <si>
    <t>bản Nậm Cấu, xã Bum Tở</t>
  </si>
  <si>
    <t>bản A Chè, xã Thu Lũm</t>
  </si>
  <si>
    <t>bản Xà Phìn, xã Pa Vệ Sủ</t>
  </si>
  <si>
    <t>bản Pà Khà, xã Tà Tổng</t>
  </si>
  <si>
    <t>bản Nhù Te, xã Ka Lăng</t>
  </si>
  <si>
    <t>bản Nậm Xuổng, xã Vàng San</t>
  </si>
  <si>
    <t>bản Nậm Dính, xã Tà Tổng</t>
  </si>
  <si>
    <t>bản A Mé, xã Tà Tổng</t>
  </si>
  <si>
    <t>bản Sính Sí, xã Tà Tổng</t>
  </si>
  <si>
    <t>bản Phí Chi C, xã Pa Vệ Sủ</t>
  </si>
  <si>
    <t>bản Tè Xá, xã Mù Cả</t>
  </si>
  <si>
    <t>bản Gia Tè, xã Mù Cả</t>
  </si>
  <si>
    <t>bản Gò Cứ, xã Mù Cả</t>
  </si>
  <si>
    <t>bản Sín Chải A, xã Pa Vệ Sủ</t>
  </si>
  <si>
    <t>bản Là Pê, xã Tá Bạ</t>
  </si>
  <si>
    <t>bản Ló Mé Lè Giằng, xã Tá Bạ</t>
  </si>
  <si>
    <t>Khu SX Ló Pa Há Te, xã Tá Bạ</t>
  </si>
  <si>
    <t>bản Pắc Pạ, xã Vàng San</t>
  </si>
  <si>
    <t>bản Pắc Ma, xã Mường Tè</t>
  </si>
  <si>
    <t>Khu SX Hú Tè, xã Ka Lăng</t>
  </si>
  <si>
    <t>Khu SX Ló Te, xã Ka Lăng</t>
  </si>
  <si>
    <t>khu SX Nậm Pục, xã Bum Tở</t>
  </si>
  <si>
    <t>Khu SX Na Vằng Nố, xã Vàng San</t>
  </si>
  <si>
    <t>NSH bản Hô Than xã Mường Than</t>
  </si>
  <si>
    <t>NSH bản Đắc xã Hua Nà</t>
  </si>
  <si>
    <t>Thủy lợi Hồ Sì pán 1+2 bản Hồ Sì Pán</t>
  </si>
  <si>
    <t>Xã Thu Lũm</t>
  </si>
  <si>
    <t>Xã Ka Lăng</t>
  </si>
  <si>
    <t>Xã Tá Bạ</t>
  </si>
  <si>
    <t>Xã Mù Cả</t>
  </si>
  <si>
    <t>Xã Pa Ủ</t>
  </si>
  <si>
    <t>Xã Mường Tè</t>
  </si>
  <si>
    <t>Thủy lợi Háng Là (Hảng A Chỉnh) bản Thèn Pả</t>
  </si>
  <si>
    <t>Thủy lợi Nà Luồng bản Nà Luồng</t>
  </si>
  <si>
    <t>Sở Y tế</t>
  </si>
  <si>
    <t>Cải tạo, sửa chữa trạm y tế xã Nậm Cuổi</t>
  </si>
  <si>
    <t>Sở NN&amp;PTNT đề xuất</t>
  </si>
  <si>
    <t>9</t>
  </si>
  <si>
    <t>-</t>
  </si>
  <si>
    <t>Xã Bản Bo, huyện Tam Đường - xã Mường Khoa, huyện Tân Uyên</t>
  </si>
  <si>
    <t>Tổng mức đầu tư đề xuất</t>
  </si>
  <si>
    <t>BIỂU TỔNG HỢP VỐN ĐẦU TƯ NSTW CỦA TRÊN ĐỊA BÀN CÁC HUYỆN, THÀNH PHỐ</t>
  </si>
  <si>
    <t>Hỗ trợ đầu tư xây dựng điểm đến du lịch tiêu biểu;</t>
  </si>
  <si>
    <t>Hỗ trợ đầu tư bảo tồn làng, bản văn hóa truyền thống tiêu biểu của các dân tộc thiểu số;</t>
  </si>
  <si>
    <t>Xây dựng các thiết chế văn hóa, thể thao và trang thiết bị tại các bản (34 nhà văn hóa thôn, bản)</t>
  </si>
  <si>
    <t>Vốn đầu tư NSTW Các sở, ban, ngành đề xuất</t>
  </si>
  <si>
    <t>SN</t>
  </si>
  <si>
    <t>1.1</t>
  </si>
  <si>
    <t>1.2</t>
  </si>
  <si>
    <t>1.3</t>
  </si>
  <si>
    <t>1.4</t>
  </si>
  <si>
    <t>Các sở, ngành đề xuất</t>
  </si>
  <si>
    <t>ĐTM</t>
  </si>
  <si>
    <t>6=7+8</t>
  </si>
  <si>
    <t>Nội dung 4: Hỗ trợ chuyển đổi nghề</t>
  </si>
  <si>
    <t>Nội dung 5: Hỗ trợ nước sinh hoạt phân tán</t>
  </si>
  <si>
    <t>Vốn đầu tư</t>
  </si>
  <si>
    <t>Vốn sự nghiệp</t>
  </si>
  <si>
    <t>Ngân sách trung ương</t>
  </si>
  <si>
    <t>BIỂU TỔNG HỢP KINH PHÍ DỰ ÁN 3</t>
  </si>
  <si>
    <t>PHÁT TRIỂN SẢN XUẤT NÔNG, LÂM NGHIỆP, PHÁT HUY TIỀM NĂNG, THẾ MẠNH CỦA CÁC VÙNG MIỀN ĐỂ SẢN XUẤT HÀNG HÓA THEO CHUỖI GIÁ TRỊ</t>
  </si>
  <si>
    <t>Ngân sách địa phương</t>
  </si>
  <si>
    <t>Vốn tín dụng chính sách</t>
  </si>
  <si>
    <t>Vốn huy động khác</t>
  </si>
  <si>
    <t>Tổng kinh phí</t>
  </si>
  <si>
    <t>10</t>
  </si>
  <si>
    <t>Tiểu dự án 1: Phát triển kinh tế nông, lâm nghiệp gắn với bảo vệ rừng và nâng cao thu nhập cho người dân</t>
  </si>
  <si>
    <t>Biểu 3.1</t>
  </si>
  <si>
    <t>Tiểu dự án 2: Đầu tư phát triển sản xuất theo chuỗi giá trị, vùng trồng dược liệu quý, thúc đẩy khởi sự kinh doanh, khởi nghiệp và thu hút đầu tư vùng đồng bào DTTS&amp;MN</t>
  </si>
  <si>
    <t>Biểu 3.2</t>
  </si>
  <si>
    <t>Cấp tỉnh thực hiện</t>
  </si>
  <si>
    <t>Sở Nông nghiệp và PTNT</t>
  </si>
  <si>
    <t>Sở Công thương</t>
  </si>
  <si>
    <t>Cấp huyện, thành phố thực hiện</t>
  </si>
  <si>
    <t>Đơn vị tính</t>
  </si>
  <si>
    <t>Khối lượng</t>
  </si>
  <si>
    <t>Định mức</t>
  </si>
  <si>
    <t xml:space="preserve">Ngân sách Trung ương </t>
  </si>
  <si>
    <t>Tổng số</t>
  </si>
  <si>
    <t xml:space="preserve"> -</t>
  </si>
  <si>
    <t>Ha</t>
  </si>
  <si>
    <t>Trồng gỗ lớn</t>
  </si>
  <si>
    <t>Hộ</t>
  </si>
  <si>
    <t xml:space="preserve">Ngân sách địa phương </t>
  </si>
  <si>
    <t>CẤP TỈNH THỰC HIỆN</t>
  </si>
  <si>
    <t>Nội dung số 01: Hỗ trợ phát triển sản xuất theo chuỗi giá trị</t>
  </si>
  <si>
    <t>Nội dung số 02: Hỗ trợ vùng trồng dược liệu quý</t>
  </si>
  <si>
    <t xml:space="preserve"> </t>
  </si>
  <si>
    <t>Nội dung số 03: Thúc đẩy khởi sự kinh doanh, khởi nghiệp và thu hút đầu tư</t>
  </si>
  <si>
    <t>CẤP HUYỆN, THÀNH PHỐ THỰC HIỆN</t>
  </si>
  <si>
    <t>Biểu số 3.2-A</t>
  </si>
  <si>
    <t>NỘI DUNG 1: HỖ TRỢ PHÁT TRIỂN SẢN XUẤT THEO CHUỖI GIÁ TRỊ</t>
  </si>
  <si>
    <t>Cơ cấu vốn giữa cấp tỉnh và cấp huyện thực hiện</t>
  </si>
  <si>
    <t>Cấp tỉnh</t>
  </si>
  <si>
    <t>Cấp huyện</t>
  </si>
  <si>
    <t>TỔNG SỐ</t>
  </si>
  <si>
    <t xml:space="preserve">Đầu tư phát triển sản xuất theo chuỗi giá trị </t>
  </si>
  <si>
    <t>Hỗ trợ phát triển sản xuất, đa dạng hóa sinh kế</t>
  </si>
  <si>
    <t>Dự án hỗ trợ thất diệp nhất chi hoa</t>
  </si>
  <si>
    <t>Dự án hỗ trợ trồng thất diệp nhất chi hoa</t>
  </si>
  <si>
    <t>11</t>
  </si>
  <si>
    <t>13</t>
  </si>
  <si>
    <t>Hỗ trợ phát triển sản xuất theo chuỗi giá trị</t>
  </si>
  <si>
    <t>Xã Mường Mô (Tỏng Pịt, Hát Mé)</t>
  </si>
  <si>
    <t>Xã Sì Lờ Lầu</t>
  </si>
  <si>
    <t>Xã Lản Nhì  Thàng</t>
  </si>
  <si>
    <t>Hỗ trợ cây trồng (chuối, dong riềng, mía…)</t>
  </si>
  <si>
    <t>Tên dự án năm 2022: Hỗ trợ nuôi cá nước lạnh</t>
  </si>
  <si>
    <t xml:space="preserve">Tên dự án năm 2023: Hỗ trợ chăn nuôi trâu sinh sản </t>
  </si>
  <si>
    <t>Tên dự án năm 2024: Hỗ trợ trồng cây dong riềng</t>
  </si>
  <si>
    <t xml:space="preserve">Tên dự án năm 2025: Hỗ trợ chăn nuôi gia cầm </t>
  </si>
  <si>
    <t>Tên dự án năm 2022: Hỗ trợ máy móc phụ vụ trong sản xuất</t>
  </si>
  <si>
    <t xml:space="preserve">Tên dự án năm 2023: Hỗ trợ máy móc phụ vụ trong sản xuất </t>
  </si>
  <si>
    <t xml:space="preserve">Tên dự án năm 2024: Hỗ trợ máy móc phụ vụ trong sản xuất </t>
  </si>
  <si>
    <t>Tên dự án năm 2025: Hỗ trợ máy móc phụ vụ trong sản xuất</t>
  </si>
  <si>
    <t>Tên dự án năm 2022: Hỗ trợ giống dong riềng</t>
  </si>
  <si>
    <t>Tên dự án năm 2023: Hỗ trợ máy nông nghiệp</t>
  </si>
  <si>
    <t>Tên dự án năm 2024: Hỗ trợ giống gia cầm</t>
  </si>
  <si>
    <t>Tên dự án năm 2025: Hỗ trợ dây truyền chế biến miến dong</t>
  </si>
  <si>
    <t>Tên dự án năm 2022: Hỗ trợ trồng rau bí xanh</t>
  </si>
  <si>
    <t>Tên dự án năm 2023: Hỗ trợ nuôi ngựa sinh sản</t>
  </si>
  <si>
    <t xml:space="preserve">Tên dự án năm 2024: Hỗ trợ nuôi trâu sinh sản </t>
  </si>
  <si>
    <t>Thị trấn Tam Đường (01 bản)</t>
  </si>
  <si>
    <t>Tên dự án năm 2022: Hỗ trợ trâu sinh sản bản Thác Tình</t>
  </si>
  <si>
    <t>Tên dự án năm 2023: Hỗ trợ trồng cây dong riềng bản Thác Tình</t>
  </si>
  <si>
    <t>Tên dự án năm 2024: Hỗ trợ máy móc phụ vụ trong sản xuất bản Thác Tình</t>
  </si>
  <si>
    <t>Tên dự án năm 2025: Hỗ trợ trâu sinh sản + Máy móc bản Thác Tình</t>
  </si>
  <si>
    <t>Xã Bản Bo (11 bản hỗ trợ tối đa 4 bản/năm)</t>
  </si>
  <si>
    <t>Tên dự án năm 2022: Hỗ trợ máy quật cỏ; bình phun thuốc BVTV</t>
  </si>
  <si>
    <t>Tên dự án năm 2022: Hỗ trợ máy quật cỏ, bình phun thuốc BVTV</t>
  </si>
  <si>
    <t>Tên dự án năm 2024: Hỗ trợ máy hái chè</t>
  </si>
  <si>
    <t>Tên dự án năm 2025: Hỗ trợ máy hái chè</t>
  </si>
  <si>
    <t>Xã Nùng Nàng (5 bản hỗ trợ tối đa 4 bản/năm)</t>
  </si>
  <si>
    <t xml:space="preserve">Tên dự án năm 2022: Dự án phát triển đàn gia súc </t>
  </si>
  <si>
    <t xml:space="preserve">Tên dự án năm 2023: Hỗ trợ nguyên vật liệu, vật tư kỹ thuật, cây giống mắc ca xem chè; Dự án phát triển đàn gia súc </t>
  </si>
  <si>
    <t xml:space="preserve">Tên dự án năm 2024: Dự án phát triển đàn gia súc </t>
  </si>
  <si>
    <t xml:space="preserve">Tên dự án năm 2025:  Dự án phát triển đàn gia súc </t>
  </si>
  <si>
    <t>Xã Bình Lư (5 bản hỗ trợ tối đa 4 bản/năm)</t>
  </si>
  <si>
    <t>Tên dự án năm 2022: Hỗ trợ làm chuồng trại chăn nuôi, mô hình trâu sinh sản</t>
  </si>
  <si>
    <t>Tên dự án năm 2023: Hỗ trợ mô hình trồng dong riềng, máy nông nghiệp</t>
  </si>
  <si>
    <t>Tên dự án năm 2024: Hỗ trợ mô hình nuôi trâu sinh sản</t>
  </si>
  <si>
    <t>Xã Hồ Thầu (4 bản)</t>
  </si>
  <si>
    <t xml:space="preserve">Tên dự án năm 2022: Hỗ trợ nuôi cá nước lạnh </t>
  </si>
  <si>
    <t>Tên dự án năm 2023: Hỗ trợ máy sx nông nghiệp 4 bản (Rừng Ổi-Khèo Thầu, Phô Hồ Thầu, Chù Lìn, Tà Chải)</t>
  </si>
  <si>
    <t xml:space="preserve">Tên dự án năm 2024: Hỗ trợ mở rộng mô hình nuôi cá </t>
  </si>
  <si>
    <t>Tên dự án năm 2025: Hỗ trợ máy sx nông nghiệp 4 bản (Rừng Ổi-Khèo Thầu, Phô Hồ Thầu, Chù Lìn, Tà Chải)</t>
  </si>
  <si>
    <t>Xã Bản Hon (4 bản)</t>
  </si>
  <si>
    <t>Tên dự án năm 2022: Hỗ trợ nuôi trâu sinh sản</t>
  </si>
  <si>
    <t>Tên dự án năm 2023: Hỗ trợ nuôi trâu sinh</t>
  </si>
  <si>
    <t xml:space="preserve">Tên dự án năm 2025: Hỗ trợ nuôi trâu sinh sản </t>
  </si>
  <si>
    <t>Xã Bản Giang (4 bản)</t>
  </si>
  <si>
    <t>Tên dự án năm 2022: Hỗ trợ chăn nuôi lợn sinh sản</t>
  </si>
  <si>
    <t>Tên dự án năm 2023: Hỗ trợ trồng cây dong riềng</t>
  </si>
  <si>
    <t>Tên dự án năm 2024: Hỗ trợ  nuôi trâu sinh sản</t>
  </si>
  <si>
    <t>Tên dự án năm 2025: Hỗ trợ nuôi bò sinh sản</t>
  </si>
  <si>
    <t>Khun Há (14 bản hỗ trợ tối đa 4 bản/năm)</t>
  </si>
  <si>
    <t>Tên dự án năm 2023: Trồng dong riềng</t>
  </si>
  <si>
    <t>Tên dự án năm 2024: Hỗ trợ máy móc phụ vụ trong sản xuất</t>
  </si>
  <si>
    <t>Thèn Sin (6 bản hỗ trợ tối đa 4 bản/năm)</t>
  </si>
  <si>
    <t>Tên dự án năm 2022:  Dự án trồng Mận đỏ</t>
  </si>
  <si>
    <t xml:space="preserve">Tên dự án năm 2023:  Dự án nuôi trâu </t>
  </si>
  <si>
    <t>Tên dự án năm 2024:  Dự án Nuôi ngựa</t>
  </si>
  <si>
    <t xml:space="preserve">Tên dự án năm 2025:  Dự án Nuôi ngựa </t>
  </si>
  <si>
    <t>ĐVT</t>
  </si>
  <si>
    <t xml:space="preserve">Hỗ trợ kinh phí cải tạo cơ sở hạ tầng (đã bao gồm 50 triệu/ha xây dựng cơ sở hạ tầng) </t>
  </si>
  <si>
    <t>Hỗ trợ doanh nghiệp trực tiếp đào tạo nghề cho lao động tại chỗ (hỗ trợ 3 tháng)</t>
  </si>
  <si>
    <t>người</t>
  </si>
  <si>
    <t>dự án</t>
  </si>
  <si>
    <t xml:space="preserve">Hỗ trợ kinh phí thực hiện đề tài nghiên cứu khoa học, mua bản quyền công nghệ, mua công nghệ </t>
  </si>
  <si>
    <t>bản quyền</t>
  </si>
  <si>
    <t>Hỗ trợ chi phí chuyển giao, ứng dụng khoa học kỹ thuật mới, áp dụng quy trình kỹ thuật và quản lý chất lượng đồng bộ theo chuỗi</t>
  </si>
  <si>
    <t>Hỗ trợ giống, vật tư, bao bì, nhãn mác sản phẩm</t>
  </si>
  <si>
    <t>NỘI DUNG 3: THÚC ĐẨY KHỞI SỰ KINH DOANH, KHỞI NGHIỆP VÀ THU HÚT ĐẦU TƯ</t>
  </si>
  <si>
    <t>Trang</t>
  </si>
  <si>
    <t>Giờ</t>
  </si>
  <si>
    <t>Quyển</t>
  </si>
  <si>
    <t>Khảo sát sản phẩm tại các huyện</t>
  </si>
  <si>
    <t xml:space="preserve">          + Tiền vé xe:( 02 người x 02 lượt)/lần x 8 lần</t>
  </si>
  <si>
    <t>Lượt</t>
  </si>
  <si>
    <t xml:space="preserve">          + Tiền thuê phòng nghỉ: (02 người x 2 tối)/lần x 8 lần</t>
  </si>
  <si>
    <t>Tối</t>
  </si>
  <si>
    <t xml:space="preserve">          + Tiền phụ cấp lưu trú: (02 người x 03 ngày)/lần x 8 lần</t>
  </si>
  <si>
    <t>Ngày</t>
  </si>
  <si>
    <t>Tổ chức đoàn công tác làm việc với các siêu thị, trung tâm thương mại tại các tỉnh, thành phố</t>
  </si>
  <si>
    <t xml:space="preserve">          + Tiền xăng xe: (2000 km x 0,22 lít/km) x 8 lần</t>
  </si>
  <si>
    <t>Km</t>
  </si>
  <si>
    <t xml:space="preserve">          + Tiền thuê phòng nghỉ: (07 người x 2 tối)/lần x 8 lần</t>
  </si>
  <si>
    <t xml:space="preserve">          + Tiền phụ cấp lưu trú: (07 người x 03 ngày)/lần x 8 lần</t>
  </si>
  <si>
    <t>Tổ chức "Tuần hàng Nông sản" tại các siêu thị, trung tâm thương mại trên địa bàn các tỉnh, thành phố</t>
  </si>
  <si>
    <t>Chi phí thuê gian hàng</t>
  </si>
  <si>
    <t xml:space="preserve">          +  Chi phí thuê địa điểm và giàn dựng gian hàng (5 gian hàng/lần tổ chức; tổ chức 4 lần)</t>
  </si>
  <si>
    <t>Gian hàng</t>
  </si>
  <si>
    <t>Chi phí thiết kế trang trí gian hàng</t>
  </si>
  <si>
    <t xml:space="preserve">          + Biến gian hàng (Khung sắt và bạt cao 81cm): 3m x 0,81 m) x 20 gian hàng</t>
  </si>
  <si>
    <t>m2</t>
  </si>
  <si>
    <t xml:space="preserve">          + Pano phông chính vách lưng gian hàng (Khung sắt bịt bạt) : 3m x 3m x 20 gian hàng</t>
  </si>
  <si>
    <t xml:space="preserve">          + Ốp cột gian hàng (Khung sắt bịt bạt): 2,5m x 0,40m x 21 cột</t>
  </si>
  <si>
    <t xml:space="preserve">          + Phướn quảng cáo: 1m x 2m bao gồm cả công treo, tháo dỡ</t>
  </si>
  <si>
    <t>cái</t>
  </si>
  <si>
    <t>Chi phí thuê trang thiết bị trưng bày sản phẩm</t>
  </si>
  <si>
    <t xml:space="preserve">          + Thuê giá kệ trưng bày sản phẩm hàng hoá: 2 cái/1 gian x  20 gian = 40 cái</t>
  </si>
  <si>
    <t xml:space="preserve">          + Thuê thêm bàn trưng bày sản phẩm hàng hoá: 7 cái x 4 lần</t>
  </si>
  <si>
    <t xml:space="preserve">          + Thuê màn hình ty vi 65 inch và các thiết bị để trình chiếu các video Clip quảng bá về sản phẩm: 4 lần, mỗi lần 6 ngày</t>
  </si>
  <si>
    <t>Đi khảo sát địa điểm (04 người: 01 lãnh đạo Sở, 01 lãnh đạo Phòng, 1 chuyên viên 01 lái xe)</t>
  </si>
  <si>
    <t xml:space="preserve">          + Tiền xăng xe: (2000 km x 0,22 lít/km) x 4 lần</t>
  </si>
  <si>
    <t xml:space="preserve">          + Tiền thuê phòng nghỉ: (04 người x 2 tối)/lần x 4 lần</t>
  </si>
  <si>
    <t xml:space="preserve">          + Tiền phụ cấp lưu trú: (04 người x 03 ngày)/lần x 4 lần</t>
  </si>
  <si>
    <t>Đi tổ chức gian hàng (5 người)</t>
  </si>
  <si>
    <t xml:space="preserve">          + Tiền vé xe: 02 lượt x 5 người x 4 lần</t>
  </si>
  <si>
    <t xml:space="preserve">          + Tiền thuê phòng nghỉ: (05người x 6 tối)/lần x 4 lần</t>
  </si>
  <si>
    <t xml:space="preserve">          + Tiền phụ cấp lưu trú: (05 người x 07 ngày)/lần x 4 lần</t>
  </si>
  <si>
    <t>Người</t>
  </si>
  <si>
    <t>Đoàn</t>
  </si>
  <si>
    <t>Bộ</t>
  </si>
  <si>
    <t>Buổi</t>
  </si>
  <si>
    <t>Hội nghị</t>
  </si>
  <si>
    <t>Clip</t>
  </si>
  <si>
    <t xml:space="preserve">Vốn đầu tư </t>
  </si>
  <si>
    <t>6=4+5</t>
  </si>
  <si>
    <t>9=7+8</t>
  </si>
  <si>
    <t>Tiểu dự án 1: Đổi mới hoạt động, củng cố phát triển các trường phổ thông dân tộc nội trú, trường phổ thông dân tộc bán trú, trường PTDT có học sinh ở bán trú và xóa mù chữ cho người dân vùng đồng bào dân tộc thiểu số</t>
  </si>
  <si>
    <t>Sở Giáo dục và đào tạo</t>
  </si>
  <si>
    <t>Tiểu dự án 2: Bồi dưỡng kiến thức dân tộc; đào tạo dự bị đại học, đại học và sau đại học đáp ứng nhu cầu nhân lực cho vùng đồng bào dân tộc thiểu số</t>
  </si>
  <si>
    <t>Sở Nội vụ</t>
  </si>
  <si>
    <t>Tiểu dự án 3: Dự án phát triển giáo dục nghề nghiệp và giải quyết việc làm cho người lao động vùng dân tộc thiểu số và miền núi</t>
  </si>
  <si>
    <t>Chi tiết tại biểu 5.3</t>
  </si>
  <si>
    <t>Trường Cao đẳng cộng đồng</t>
  </si>
  <si>
    <t>UBND các huyện, thành phố thực hiện</t>
  </si>
  <si>
    <t>Tiểu dự án 4: Đào tạo nâng cao năng lực cho cộng đồng và cán bộ triển khai Chương trình ở các cấp</t>
  </si>
  <si>
    <t>Chi tiết tại biểu 5.4</t>
  </si>
  <si>
    <t>Ban Dân tộc</t>
  </si>
  <si>
    <t>TT</t>
  </si>
  <si>
    <t>Nội dung</t>
  </si>
  <si>
    <t xml:space="preserve">Đơn vị </t>
  </si>
  <si>
    <t>Số lượng</t>
  </si>
  <si>
    <t>NSĐP</t>
  </si>
  <si>
    <t xml:space="preserve">Tổng cộng </t>
  </si>
  <si>
    <t>Phòng</t>
  </si>
  <si>
    <t>Cấp huyện thực hiện</t>
  </si>
  <si>
    <t>Cuộc</t>
  </si>
  <si>
    <t>Lớp</t>
  </si>
  <si>
    <t xml:space="preserve">Nội dung </t>
  </si>
  <si>
    <t>Bồi dưỡng kiến thức dân tộc</t>
  </si>
  <si>
    <t>Bồi dưỡng kiến thức dân tộc cho cán bộ, công chức, viên chức nhóm đối tượng 2, 3 và 4  cấp tỉnh</t>
  </si>
  <si>
    <t>Bồi dưỡng kiến thức dân tộc cho cán bộ, công chức, viên chức nhóm đối tượng 2, 3 và 4</t>
  </si>
  <si>
    <t>Bồi dưỡng tiếng dân tộc thiểu số cho cán bộ, công chức, viên chức cấp huyện, cấp xã</t>
  </si>
  <si>
    <t xml:space="preserve"> Đối với nhiệm vụ Bồi dưỡng kiến thức dân tộc cho cán bộ, công chức, viên chức nhóm đối tượng 2, 3 và 4 cấp tỉnh, Sở Nội vụ đề xuất giao nhiệm vụ và kinh phí cho Sở Nội vụ thực hiện trên cơ sở hiện trạng quản lý cán bộ, công chức, viên chức tại các sở, ban, ngành tỉnh và sự cần thiết bồi dưỡng nhằm phát triển giáo dục đào tạo nâng cao chất lượng nguồn lực trong thực hiện nhiệm vụ được giao, cụ thể:
Tổng số cán bộ, công chức, viên chức nhóm đối tượng 2, 3 và 4 cấp tỉnh hiện nay là 305 người thuộc các sở, ban, ngành tỉnh. Do số lượng cán bộ, công chức, viên chức theo từng nhóm đối tượng thuộc Dự án tại các sở, ban, ngành tỉnh chỉ dao động từ 3-14 người, do đó việc giao cho từng đơn vị tổ chức mở lớp bồi dưỡng sẽ gặp khó khăn, vướng mắc. Mặt khác, căn cứ quy định Điều 12, Quyết định số 25/2019/QĐ-UBND ngày 16/9/2019 của UBND tỉnh Lai Châu ban hành quy chế đào tạo, bồi dưỡng CBCCVC trên địa bàn tỉnh Lai Châu về trách nhiệm của Sở Nội vụ trong quản lý đào tạo, bồi dưỡng CBCCVC “Chủ trì, phối hợp với các cơ quan liên quan xây dựng dự toán kinh phí thực hiện nhiệm vụ đào tạo, bồi dưỡng cán bộ, công chức, viên chức của tỉnh, trong đó chi tiết theo từng nhiệm vụ, Đề án đào tạo, bồi dưỡng cán bộ, công chức, viên chức, theo đơn vị thực hiện, theo nguồn ngân sách”.
Do vậy, nhằm nâng cao, cập nhật kiến thức dân tộc góp phần thực hiện hiệu quả công tác quản lý, tuyên truyền, vận động đồng bào dân tộc thiểu số phát triển kinh tế-xã hội theo chủ trương, đường lối của Đảng và pháp luật của Nhà nước, tăng cường khối đại đoàn kết dân tộc và thực hiện mục tiêu đề ra tại Quyết định số 771/QĐ-TTg ngày 26/6/2018 của Thủ tướng Chính phủ phê duyệt Đề án “Bồi dưỡng kiến thức dân tộc đối với cán bộ, công chức, viên chức giai đoạn 2018-2025” đến năm 2025 tối thiểu 80% cán bộ, công chức, viên chức thuộc các nhóm đối tượng được bồi dưỡng, cập nhật kiến thức dân tộc, Sở Nội vụ đề xuất là đơn vị thực hiện mở các lớp bồi dưỡng cho cán bộ, công chức, viên chức cấp tỉnh để tập trung, thống nhất.</t>
  </si>
  <si>
    <t>Sở Lao động - Thương binh và Xã hội</t>
  </si>
  <si>
    <t>a</t>
  </si>
  <si>
    <t xml:space="preserve">Dự án phát triển giáo dục nghề nghiệp </t>
  </si>
  <si>
    <t>Tuyên truyền, tư vấn hướng nghiệp, khởi nghiệp, học nghề, việc làm; tập huấn nâng cao năng lực</t>
  </si>
  <si>
    <t>Kiểm tra, giám sát đánh giá</t>
  </si>
  <si>
    <t>b</t>
  </si>
  <si>
    <t>Giải quyết việc làm</t>
  </si>
  <si>
    <t>Nâng cao năng lực cho cán bộ làm công tác xuất khẩu lao động</t>
  </si>
  <si>
    <t>Hỗ trợ chi phí đào tạo nghề, ngoại ngữ, bồi dưỡng kiến thức cần thiết và chi phí làm thủ tục để đi làm việc ở nước ngoài theo hợp đồng</t>
  </si>
  <si>
    <t>Tuyên truyền tư vấn công tác xuất khẩu lao động</t>
  </si>
  <si>
    <t xml:space="preserve">Kiểm tra, giám sát </t>
  </si>
  <si>
    <t>Trường Cao đẳng Cộng đồng</t>
  </si>
  <si>
    <t>Phát triển chương trình, giáo trình giảng dạy</t>
  </si>
  <si>
    <t>Hỗ trợ sửa chữa, bảo dưỡng một số hạng mục công trình nhà xưởng, phòng học, ký túc xá và công trình phục vụ sinh hoạt, tập luyện cho người học</t>
  </si>
  <si>
    <t>Mua sắm máy móc, trang thiết bị phục vụ đào tạo</t>
  </si>
  <si>
    <t>Nghề</t>
  </si>
  <si>
    <t xml:space="preserve">Phát triển giáo dục nghề nghiệp </t>
  </si>
  <si>
    <t xml:space="preserve"> - </t>
  </si>
  <si>
    <t xml:space="preserve">Hỗ trợ đào tạo nghề </t>
  </si>
  <si>
    <t>Tuyên truyền, tư vấn hướng nghiệp, khởi nghiệp, học nghề, việc làm và các dịch vụ hỗ trợ việc làm, đi làm việc ở nước ngoài; kiểm tra, giám sát đánh giá; xây dựng bộ chỉ số (KPI) để làm cơ sở giám sát và đánh giá việc triển khai các nội dung theo mục tiêu của dự án và xây dựng phương pháp, cơ chế giám sát, đánh giá và đề xuất điều chỉnh trong quá trình thực hiện dự án</t>
  </si>
  <si>
    <t>Tuyên truyền công tác xuất khẩu lao động</t>
  </si>
  <si>
    <t>Hỗ trợ đào tạo nghề</t>
  </si>
  <si>
    <t>Tăng cường các điều kiện đảm bảo chất lượng dạy và học cho các cơ sở giáo dục nghề nghiệp vùng đồng bào dân tộc thiểu số và miền núi: Phát triển, đào tạo bồi dưỡng đội ngũ nhà giáo, cán bộ quản lý, người dạy nghề; phát triển chương trình, giáo trình, tài liệu giảng dạy; xây dựng các bộ tiêu chuẩn trong giáo dục nghề nghiệp; số hóa các chương trình, giáo trình, học liệu; ứng dụng công nghệ thông tin, chuyển đổi số trong quản lý dạy và học; hỗ trợ sửa chữa, bảo dưỡng một số hạng mục công trình nhà xưởng, phòng học, ký túc xá và công trình phục vụ sinh hoạt, tập luyện cho người học; mua sắm máy móc, trang thiết bị phục vụ đào tạo</t>
  </si>
  <si>
    <t>Tăng cường các điều kiện đảm bảo chất lượng dạy và học cho các cơ sở giáo dục nghề nghiệp vùng đồng bào dân tộc thiểu số và miền núi: Phát triển, đào tạo bồi dưỡng đội ngũ nhà giáo, cán bộ quản lý, người dạy nghề; phát triển chương trình, giáo trình, tài liệu giảng dạy; xây dựng các bộ tiêu chuẩn trong giáo dục nghề nghiệp; số hóa các chương trình, giáo trình, học liệu; ứng dụng công nghệ thông tin, chuyển đổi số trong quản lý dạy và học; hỗ trợ sửa chữa, bảo dưỡng một số hạng mục công trình nhà xưởng, phòng học, ký túc xá và công trình phục vụ sinh hoạt, tập luyện cho người học; mua sắm máy móc, trang thiết bị phục vụ đào tạo;</t>
  </si>
  <si>
    <t>Tuyên truyền, tư vấn hướng nghiệp, khởi nghiệp, học nghề, việc làm và các dịch vụ hỗ trợ việc làm, đi làm việc ở nước ngoài; kiểm tra, giám sát đánh giá; xây dựng bộ chỉ số (KPI) để làm cơ sở giám sát và đánh giá việc triển khai các nội dung theo mục tiêu của dự án và xây dựng phương pháp, cơ chế giám sát, đánh giá và đề xuất điều chỉnh trong quá trình thực hiện dự án.</t>
  </si>
  <si>
    <t xml:space="preserve"> -  </t>
  </si>
  <si>
    <t xml:space="preserve">           Nội dung thực hiện phần vốn phát triển giáo dục nghề nghiệp và giải quyết việc làm cho người lao động vùng dân tộc thiểu số và miền núi, về đối tượng và nội dung thực hiện có cả cấp tỉnh và cấp huyện nên việc đề xuất phân bổ nguồn vốn là phù hợp với năng lực, chức năng, nhiệm vụ quản lý của cấp tỉnh và cấp huyện. Cụ thể:</t>
  </si>
  <si>
    <t>Xây dựng tài liệu và đào tạo, tập huấn, bồi dưỡng kiến thức, kỹ năng, nghiệp vụ cho cán bộ thực hiện công tác dân tộc, chính sách dân tộc; ưu tiên các nội dung giới thiệu về cách tiếp cận, phương pháp và các mô hình giảm nghèo thành công;</t>
  </si>
  <si>
    <t>Chi phí dự phòng và Xây dựng tài liệu</t>
  </si>
  <si>
    <t>Tập huấn, bồi dưỡng kiến thức cho cán bộ ở 942 thôn bản vùng đồng bào DTTS (2 năm)</t>
  </si>
  <si>
    <t>Thù lao giảng viên: 2 buổi x 3 ngày x 2.000.000đ/buổi</t>
  </si>
  <si>
    <t>Đồng/buổi</t>
  </si>
  <si>
    <t>Phòng nghỉ giảng viên: 2 người x 4 ngày x 300.000đ/ngày</t>
  </si>
  <si>
    <t>Người/ngày</t>
  </si>
  <si>
    <t>Tiền ăn cho giảng viên: 2 người x 5 ngày x 200.000đ/ngày</t>
  </si>
  <si>
    <t>Phương tiện đi lại giảng viên: 2 người x 2 lượt x 500.000đ/lượt</t>
  </si>
  <si>
    <t>Lượt /người</t>
  </si>
  <si>
    <t>Thuê hội trường: 01 hội trường x 3 ngày x 3.000.000đ/ngày</t>
  </si>
  <si>
    <t>Market khai giảng, bế giảng:  02 maket x 1.000.000đ/cái</t>
  </si>
  <si>
    <t>Thuê máy tính, máy chiếu, trang thiết bị học tập: 03 ngày x 2.000.000đ/ngày</t>
  </si>
  <si>
    <t>Nước uống học viên: 50 người x 3 ngày x 40.000đ/người/ngày</t>
  </si>
  <si>
    <t>In, phô tô tài liệu: 50 bộ x 80.000đ/bộ</t>
  </si>
  <si>
    <t>Văn phòng phẩm: 50 bộ x 50.000đ/bộ</t>
  </si>
  <si>
    <t>Chi phí quản lý lớp</t>
  </si>
  <si>
    <t>Chi hỗ trợ ăn, nghỉ, đi lại cho học viên là đối tượng không chuyên trách</t>
  </si>
  <si>
    <t>Tiền đi lại : 50 người x 200.000đ/lượt x 2 lượt</t>
  </si>
  <si>
    <t>Tiền ăn: 50 người x 200.000đ/ngày/người x 5 ngày</t>
  </si>
  <si>
    <t>Tiền ngủ: 50 người x 300.000đ/ngày/người x 4 ngày</t>
  </si>
  <si>
    <t>Cộng chi phí 1 lớp</t>
  </si>
  <si>
    <t>Cộng chi phí 56 lớp/1 năm x 2 năm</t>
  </si>
  <si>
    <t>Tập huấn, bồi dưỡng kiến thức cho cán bộ huyện, xã (4 năm)</t>
  </si>
  <si>
    <t>Thù lao giảng viên: 2 buổi x 4 ngày x 2.000.000đ/buổi</t>
  </si>
  <si>
    <t>Phòng nghỉ giảng viên: 2 người x 5 ngày x 300.000đ/ngày</t>
  </si>
  <si>
    <t>Tiền ăn cho giảng viên: 2 người x 6 ngày x 200.000đ/ngày</t>
  </si>
  <si>
    <t>Thuê hội trường: 01 hội trường x 4 ngày x 3.000.000đ/ngày</t>
  </si>
  <si>
    <t>Thuê máy tính, máy chiếu, trang thiết bị học tập: 04 ngày x 2.000.000đ/ngày</t>
  </si>
  <si>
    <t>Nước uống học viên: 50 người x 4 ngày x 40.000đ/người/ngày</t>
  </si>
  <si>
    <t>Cộng chi phí 7 lớp/1 năm x 4 năm</t>
  </si>
  <si>
    <t>Tổ chức học tập, trao đổi kinh nghiệm trong và ngoài nước cho các đối tượng  trực tiếp thực hiện Chương trình; tổ chức hội thảo, hội nghị chia sẻ, trao đổi kinh nghiệm giữa các địa phương;</t>
  </si>
  <si>
    <t>Tổ chức học tập, trao đổi kinh nghiệm trong và ngoài nước cho các đối tượng 
trực tiếp thực hiện Chương trình tính bằng 10% vốn giao cho tiểu dự án</t>
  </si>
  <si>
    <t>Đi tham quan trong nước</t>
  </si>
  <si>
    <t xml:space="preserve">          + Thuê ô tô</t>
  </si>
  <si>
    <t>ngày</t>
  </si>
  <si>
    <t xml:space="preserve">          + Tiền ăn (40 người)</t>
  </si>
  <si>
    <t xml:space="preserve">          + Tiền ngủ</t>
  </si>
  <si>
    <t xml:space="preserve">          + Chi phí khác (thuốc….)</t>
  </si>
  <si>
    <t>Cộng chi phí 1 chuyến</t>
  </si>
  <si>
    <t>Cộng chi phí 7 chuyến/1 năm</t>
  </si>
  <si>
    <t>Đi tham quan nước ngoài</t>
  </si>
  <si>
    <t xml:space="preserve"> Tổ chức hội thảo, hội nghị chia sẻ, trao đổi kinh nghiệm giữa các địa phương (4 năm)</t>
  </si>
  <si>
    <t>Thuê hội trường: 01 hội trường x 1 ngày x 3.000.000đ/ngày</t>
  </si>
  <si>
    <t>Thuê máy tính, máy chiếu, trang thiết bị học tập: 01 ngày x 2.000.000đ/ngày</t>
  </si>
  <si>
    <t>Nước uống học viên: 80 người x 1 ngày x 40.000đ/người/ngày</t>
  </si>
  <si>
    <t>In, phô tô tài liệu: 80 bộ x 80.000đ/bộ</t>
  </si>
  <si>
    <t>Văn phòng phẩm: 80 bộ x 50.000đ/bộ</t>
  </si>
  <si>
    <t xml:space="preserve">Chi hỗ trợ ăn, nghỉ, đi lại cho học viên là đối tượng không chuyên trách </t>
  </si>
  <si>
    <t>Tiền đi lại : 30 người x 200.000đ/lượt x 2 lượt</t>
  </si>
  <si>
    <t>Tiền ăn: 30 người x 200.000đ/ngày/người x 3 ngày</t>
  </si>
  <si>
    <t>Tiền ngủ: 30 người x 300.000đ/ngày/người x 2 ngày</t>
  </si>
  <si>
    <t>Cộng chi phí 1 hội nghị</t>
  </si>
  <si>
    <t>Cộng chi phí 7 hội nghị/1 năm x 4 năm</t>
  </si>
  <si>
    <t>Thực hiện nâng cao năng lực chuyên sâu phù hợp với điều kiện, đặc điểm của các nhóm địa bàn: 
Ưu tiên các xã còn yếu về năng lực làm chủ đầu tư, về thực hiện cơ chế đầu tư đặc thù; ưu tiên những thôn sẽ trực tiếp thực hiện những dự án, công trình cụ thể; tập trung vào các nội dung còn thiếu, còn yếu của cán bộ cơ sở, đại diện cộng đồng;</t>
  </si>
  <si>
    <t>Thực hiện nâng cao năng lực chuyên sâu phù hợp với điều kiện, đặc điểm của các nhóm địa bàn ở 136 thôn bản ĐBKK thuộc xã khu vực I và II (4 năm)</t>
  </si>
  <si>
    <t>Thù lao giảng viên: 2 buổi x 5 ngày x 2.000.000đ/buổi</t>
  </si>
  <si>
    <t>Phòng nghỉ giảng viên: 2 người x 6 ngày x 300.000đ/ngày</t>
  </si>
  <si>
    <t>Tiền ăn cho giảng viên: 2 người x 7 ngày x 200.000đ/ngày</t>
  </si>
  <si>
    <t>Thuê hội trường: 01 hội trường x 5 ngày x 3.000.000đ/ngày</t>
  </si>
  <si>
    <t>Thuê máy tính, máy chiếu, trang thiết bị học tập: 05 ngày x 2.000.000đ/ngày</t>
  </si>
  <si>
    <t>Nước uống học viên: 50 người x 5 ngày x 40.000đ/người/ngày</t>
  </si>
  <si>
    <t>Tiền ăn: 50 người x 200.000đ/ngày/người x 6 ngày</t>
  </si>
  <si>
    <t>Tiền ngủ: 50 người x 300.000đ/ngày/người x 5 ngày</t>
  </si>
  <si>
    <t>Cộng chi phí 14 lớp/1 năm x 4 năm</t>
  </si>
  <si>
    <t>Thực hiện nâng cao năng lực chuyên sâu phù hợp với điều kiện, đặc điểm của các nhóm địa bàn cho cán bộ thuộc 54 xã khu vực III (4năm)</t>
  </si>
  <si>
    <t>Cộng chi phí 6 lớp/1 nămx 4 năm</t>
  </si>
  <si>
    <t xml:space="preserve"> Hỗ trợ chuyển đổi số và nâng cao khả năng học tập, chia sẻ kinh nghiệm trực tuyến cho cán bộ triển khai thực hiện Chương trình ở các cấp; thực hiện các hoạt động để nâng cao nhận thức và năng lực của các bên liên quan (ngoài các cơ quan tổ chức chủ trì và tham gia thực hiện Chương trình) để có sự phối hợp hiệu quả, huy động nguồn lực tổng hợp cho Chương trình.</t>
  </si>
  <si>
    <t>Tổ chức Hội nghị cho cán bộ tỉnh, huyện, xã và tỉnh lân cận (04 năm)</t>
  </si>
  <si>
    <t>Thù lao giảng viên: 2 buổi x 1 ngày x 2.000.000đ/buổi</t>
  </si>
  <si>
    <t>Phòng nghỉ giảng viên: 1 người x 2 ngày x 300.000đ/ngày</t>
  </si>
  <si>
    <t>Tiền ăn cho giảng viên: 1 người x 3 ngày x 200.000đ/ngày</t>
  </si>
  <si>
    <t>Phương tiện đi lại giảng viên: 1 người x 2 lượt x 500.000đ/lượt</t>
  </si>
  <si>
    <t>Nước uống học viên: 70 người x 1 ngày x 40.000đ/người/ngày</t>
  </si>
  <si>
    <t>In, phô tô tài liệu: 70 bộ x 80.000đ/bộ</t>
  </si>
  <si>
    <t>Văn phòng phẩm: 70 bộ x 50.000đ/bộ</t>
  </si>
  <si>
    <t>Cộng chi phí 8 hội nghị/1 năm x 4 năm</t>
  </si>
  <si>
    <t>Chuyến</t>
  </si>
  <si>
    <t>Kinh phí</t>
  </si>
  <si>
    <t>Khảo sát, kiểm kê, sưu tầm, tư liệu hóa di sản văn hóa truyền thống của đồng bào dân tộc thiểu số</t>
  </si>
  <si>
    <t>Hỗ trợ tuyên truyền, quảng bá rộng rãi giá trị văn hóa truyền thống tiêu biểu của các dân tộc thiểu số; chương trình quảng bá, xúc tiến du lịch tại các vùng đồng bào dân tộc thiểu số và miền núi kết hợp với nghiên cứu, khảo sát tiềm năng du lịch, lựa chọn xây dựng các sản phẩm du lịch đặc trưng cho các vùng đồng bào dân tộc thiểu số và miền núi</t>
  </si>
  <si>
    <t>Chương trình</t>
  </si>
  <si>
    <t>Phim</t>
  </si>
  <si>
    <t>Tổ chức lớp tập huấn, bồi dưỡng chuyên môn, nghiệp vụ, truyền dạy văn hóa phi vật thể: Tập huấn, bồi dưỡng về chuyên môn, nghiệp vụ bảo tồn, phát huy giá trị văn hóa truyền thống vùng đồng bào dân tộc thiểu số và miền núi (cho đối tượng công chức văn hóa cấp xã, nghệ nhân, trưởng bản, người có uy tín)</t>
  </si>
  <si>
    <t>Xây dựng câu lạc bộ sinh hoạt văn hóa dân gian tại các thôn vùng đồng bào dân tộc thiểu số và miền núi, vùng di dân tái định cư</t>
  </si>
  <si>
    <t>CLB</t>
  </si>
  <si>
    <t>Câu lạc bộ Khèn Mông xã Tà Mung huyện Than Uyên</t>
  </si>
  <si>
    <t>Câu lạc bộ hát then Đàn tính dân tộc Thái xã Mường Cang huyện Than Uyên</t>
  </si>
  <si>
    <t>Hỗ trợ đầu tư xây dựng thiết chế văn hóa, thể thao và trang thiết bị tại các thôn vùng đồng bào dân tộc thiểu số và miền núi</t>
  </si>
  <si>
    <t>Thiết chế</t>
  </si>
  <si>
    <t>Khôi phục, bảo tồn và phát triển bản sắc văn hóa truyền thống của các dân tộc thiểu số rất ít người</t>
  </si>
  <si>
    <t>Đợt</t>
  </si>
  <si>
    <t>Tổ chức bảo tồn lễ hội truyền thống tại các địa phương khai thác, xây dựng sản phẩm phục vụ phát triển du lịch</t>
  </si>
  <si>
    <t>Lễ hội</t>
  </si>
  <si>
    <t>Xây dựng chính sách và hỗ trợ nghệ nhân nhân dân, nghệ nhân ưu tú người dân tộc thiểu số trong việc lưu truyền, phổ biến hình thức sinh hoạt văn hóa truyền thống và đào tạo, bồi dưỡng, truyền dạy những người kế cận</t>
  </si>
  <si>
    <t>Hỗ trợ nghiên cứu, phục hồi, bảo tồn, phát huy giá trị văn hóa phi vật thể các dân tộc thiểu số có nguy cơ mai một (các hình thức sinh hoạt văn hóa, tập quán xã hội, nhạc cụ, kiến trúc truyền thông, trang phục truyền thống, các môn thể thao truyền thống, tiếng nói, chữ viết và các giá trị khác văn hóa khác)</t>
  </si>
  <si>
    <t>Xây dựng mô hình văn hóa truyền thống các dân tộc thiểu số (mô hình trải nghiệm, tìm hiểu văn hóa đặc thù các dân tộc thiểu số, mô hình bảo vệ văn hóa phi vật thể các dân tộc thiểu số; mô hình xây dựng đời sống văn hóa các dân tộc thiểu số; mô hình di sản kết nối gắn với các hành trình du lịch di sản để phát triển cộng đồng các dân tộc thiểu số có di sản tương đồng)</t>
  </si>
  <si>
    <t>Mô hình</t>
  </si>
  <si>
    <t>CLB khèn mông bản Gia khâu 1, xã Sùng phài</t>
  </si>
  <si>
    <t xml:space="preserve">CLB Pí kẻo dân tộc Giáy </t>
  </si>
  <si>
    <t>CLB hát then, đàn tính dân tộc Thái , tổ 5 phường Đoàn kết</t>
  </si>
  <si>
    <t>Hỗ trợ hoạt động cho đội văn nghệ truyền thống</t>
  </si>
  <si>
    <t>Đội văn nghệ Mông xã Sùng Phài</t>
  </si>
  <si>
    <t>Đội</t>
  </si>
  <si>
    <t xml:space="preserve">Đội Văn nghệ dân tộc Giáy xã San Thàng </t>
  </si>
  <si>
    <t>Đội Văn nghệ dân tộc Giáy Phường Quyết Thắng</t>
  </si>
  <si>
    <t>Đội văn nghệ dân tộc Thái Phường Đoàn Kết</t>
  </si>
  <si>
    <t>Xây dựng nội dung, xuất bản sách, đĩa phim tư liệu về văn hóa truyền thống đồng bào dân tộc thiểu số để cấp phát cho cộng đồng các dân tộc thiểu số</t>
  </si>
  <si>
    <t>Bộ ấn phẩm</t>
  </si>
  <si>
    <t>Tổ chức Ngày hội, Giao lưu, Liên hoan về các loại hình văn hóa, nghệ thuật truyền thống của đồng bào dân tộc thiểu số</t>
  </si>
  <si>
    <t>Ngày hội</t>
  </si>
  <si>
    <t>Tổ chức hoạt động thi đấu thể thao truyền thống trong các ngày hội, liên hoan, giao lưu nhàm bảo tồn các môn thể thao truyền thống, các trò chơi dân gian của các dân tộc thiểu số</t>
  </si>
  <si>
    <t>Tổ chức giải thi đấu cấp tỉnh</t>
  </si>
  <si>
    <t>Tổ chức giải thi đấu cấp huyện, thành phố</t>
  </si>
  <si>
    <t>Hỗ trợ xây dựng tủ sách cộng đồng cho các xã vùng đồng bào dân tộc thiểu số và miền núi</t>
  </si>
  <si>
    <t>Tủ sách</t>
  </si>
  <si>
    <t>Hỗ trợ tu bổ, tôn tạo, chống xuống cấp di tích quốc gia đặc biệt, di tích quốc gia có giá trị tiêu biểu của các dân tộc thiểu số;</t>
  </si>
  <si>
    <t>Hỗ trợ xây dựng mô hình bảo tàng sinh thái nhằm bảo tàng hóa di sản văn hóa phi vật thể trong cộng đồng các dân tộc thiểu số, hướng tới phát triển cộng đồng và phát triển du lịch.</t>
  </si>
  <si>
    <t>Lễ hội Cấp sắc dân tộc Dao tại bản nậm sáng xã Phúc Than, huyện Than Uyên</t>
  </si>
  <si>
    <t>Lễ hội Then Kin Pang dân tộc Thái huyện Than Uyên</t>
  </si>
  <si>
    <t>Lễ hội Gầu tào dân tộc Mông huyện Than Uyên</t>
  </si>
  <si>
    <t>Tập huấn, bồi dưỡng về chuyên môn, nghiệp vụ bảo tồn, phát huy giá trị văn hóa truyền thống vùng đồng bào dân tộc thiểu số và miền núi (cho đối tượng công chức văn hóa xã, nghệ nhân, trưởng thôn/bản, người uy tín)</t>
  </si>
  <si>
    <t>Truyền dạy văn hóa phi vật thể của các dân tộc thiểu số có nguy cơ bị mai một (cho đối tượng không hưởng lương từ ngân sách Nhà nước)</t>
  </si>
  <si>
    <t>Bồi dưỡng kỹ năng phục vụ khách du lịch: kỹ năng chế biến món ăn; kỹ năng hướng dẫn và phục vụ lưu trú; kỹ năng điều hành tour, phục vụ du lịch… (cho đối tượng cộng đồng dân tộc thiểu số tại các điểm đến du lịch)</t>
  </si>
  <si>
    <t>Nghiên cứu, phục hồi, bảo tồn Nghề dệt vải của dân tộc Thái</t>
  </si>
  <si>
    <t>Câu lạc bộ dân ca dân vũ dân tộc Dao xã phúc Than huyện Than Uyên</t>
  </si>
  <si>
    <t>Câu lạc bộ dân ca dân vũ dân tộc Khơ Mú xã Ta Gia huyện Than Uyên</t>
  </si>
  <si>
    <t>Đội văn nghệ truyền thống dân tộc Thái  xã  Xã Hua Nà,</t>
  </si>
  <si>
    <t xml:space="preserve">           + Truyền dạy chữ viết dân tộc Thái</t>
  </si>
  <si>
    <t xml:space="preserve">           + Truyền dạy chữ viết dân tộc Mông </t>
  </si>
  <si>
    <t xml:space="preserve">           + Dạy kỹ thuật tạo hình trang phục và truyền dạy nghệ thuật trình diễn dân gian truyền thống cho dân tộc Lào</t>
  </si>
  <si>
    <t xml:space="preserve">           + Dạy kỹ thuật tạo hình trang phục và truyền dạy nghệ thuật trình diễn dân gian truyền thống cho dân tộc Dao </t>
  </si>
  <si>
    <t xml:space="preserve">           + Truyền dạy nghề dệt thổ cẩm dân tộc Lào</t>
  </si>
  <si>
    <t xml:space="preserve">           + Truyền dạy nghề dệt thổ cẩm dân tộc Thái (ngành Thái đen)</t>
  </si>
  <si>
    <t xml:space="preserve">           + Truyền dạy nghề dệt thổ cẩm dân tộc Dao (ngành Dao đỏ)</t>
  </si>
  <si>
    <t xml:space="preserve">           + Truyền dạy nghề chế tạo khèn bè của dân tộc Lào</t>
  </si>
  <si>
    <t>Câu lạc bộ múa xòe dân tộc Thái xã Nậm Cần huyện Tân Uyên</t>
  </si>
  <si>
    <t>Câu lạc bộ nhạc cụ dân tộc Giáy xã Phúc Khoa huyện Tân Uyên</t>
  </si>
  <si>
    <t>Bảo tồn trang phục truyền thống tại các bản dân tộc Lự tại xã Bản Hon, Bình Lư</t>
  </si>
  <si>
    <t>Bảo tồn ngữ văn dân gian tại các bản dân tộc Lự  xã  Bản Hon, Bình Lư</t>
  </si>
  <si>
    <t>Bảo tồn lễ hội Căm Mương, Căm Nung tại các bản dân tộc Lự gắn với phát triển du lịch xã Bản Hon</t>
  </si>
  <si>
    <t>Truyền dậy chế tác, sử dụng nhạc cụ; đan lát; nghề dệt tại các bản dân tộc Lự xã Bản Hon, Bình Lư</t>
  </si>
  <si>
    <t>Lễ hội Nhảy lửa dân tộc Dao đầu bằng,  bản Sì Thâu Chải, xã Hồ Thầu</t>
  </si>
  <si>
    <t>Lễ Hội</t>
  </si>
  <si>
    <t xml:space="preserve">           + Tổ chức truyền dậy ẩm thực dân tộc Thái, Giáy</t>
  </si>
  <si>
    <t xml:space="preserve">           + Tổ chức lớp tập huấn thuyết minh viên du lịch</t>
  </si>
  <si>
    <t xml:space="preserve">           +  Tổ chức lớp tập huấn kỹ năng hom stay</t>
  </si>
  <si>
    <t xml:space="preserve">           + Tổ chức lớp tập huấn ẩm thực cho các xã, bản du lịch</t>
  </si>
  <si>
    <t xml:space="preserve">           + Tổ chức lớp tập huấn quản lý điểm du lịch</t>
  </si>
  <si>
    <t xml:space="preserve">Mô hình trải nghiệm, tìm hiểu bản sắc văn hóa tốt đẹp của dân tộc Lự bản Thẳm, xã Bản Hon, huyện Tam Đường </t>
  </si>
  <si>
    <t>Câu lạc bộ văn nghệ dân gian dân tộc Mông bản Thèn Pả, xã Tả Lèng</t>
  </si>
  <si>
    <t>Câu lạc bộ văn nghệ dân gian dân tộc Dao tại bản Sì Thâu Chải, xã Hồ Thầu</t>
  </si>
  <si>
    <t>Câu lạc bộ văn nghệ dân gian dân tộc Lào tại bản Nà Hiềng, xã Nà Tăm</t>
  </si>
  <si>
    <t>Câu lạc bộ văn nghệ dân gian dân tộc Lự, bản Bản Thẳm, xã Bản Hon</t>
  </si>
  <si>
    <t>Đội Văn nghệ bản Nà Hiềng (DT Lào), Xã Nà Tăm</t>
  </si>
  <si>
    <t>Đội Văn nghệ bản Nà Phát (DT Thái), Xã Bình Lư</t>
  </si>
  <si>
    <t>Đội Văn nghệ bản Bãi Bằng (DT Mông), Xã Giang Ma</t>
  </si>
  <si>
    <t>Hỗ trợ hoạt động cho 06 đội văn nghệ tại các thôn, bản vùng đồng bào dân tộc thiểu số và miền núi</t>
  </si>
  <si>
    <t>Lễ hội Then Kin Pang, Xã Khổng Lào, huyện Phong Thổ</t>
  </si>
  <si>
    <t>Lễ hội Nàng Han, Xã Mường So, huyện Phong Thổ</t>
  </si>
  <si>
    <t>Lễ Kin Lẩu Khẩu Mẩu, Xã Mường So, huyện Phong Thổ</t>
  </si>
  <si>
    <t>Lễ hội Gầu Tào tại xã Dào San</t>
  </si>
  <si>
    <t>Tập huấn, bồi dưỡng về chuyên môn, nghiệp vụ bảo tồn, phát huy giá trị văn hóa truyền thống vùng đồng bào dân tộc thiểu số và miền núi (cho đối tượng công chức văn hóa cấp xã, nghệ nhân, trưởng thôn/bản, người uy tín)</t>
  </si>
  <si>
    <t>Truyền dạy văn hóa phi vật thể của các dân tộc thiểu số có nguy cơ bị mai một (cho đối tượng không hưởng lương từ ngân sách Nhà nước):  Tổ chức lớp truyền dậy hát then đàn tính dân tộc Thái</t>
  </si>
  <si>
    <r>
      <rPr>
        <sz val="10"/>
        <rFont val="Times New Roman"/>
        <family val="1"/>
      </rPr>
      <t>Mô hình trải nghiệm, tìm hiểu bản sắc văn hóa tốt đẹp của dân tộc Mông bản du lịch cộng đồng Tô Y Phìn, xã Lản Nhì Thàng, huyện Phong Thổ</t>
    </r>
    <r>
      <rPr>
        <b/>
        <sz val="10"/>
        <rFont val="Times New Roman"/>
        <family val="1"/>
      </rPr>
      <t xml:space="preserve"> </t>
    </r>
  </si>
  <si>
    <t>Ngữ văn dân gian dân tộc Mảng, Lự</t>
  </si>
  <si>
    <t xml:space="preserve">Khôi phục và bảo tồn lễ hội (Cấp sắc) dân tộc Dao xã Tả Phìn gắn với phục vụ phát triển du lịch </t>
  </si>
  <si>
    <t xml:space="preserve"> Lễ hội</t>
  </si>
  <si>
    <t>Tập huấn, bồi dưỡng về chuyên môn, nghiệp vụ bảo tồn, phát huy giá trị văn hóa truyền thống vùng đồng bào dân tộc thiểu số và miền núi (cho đối tượng nghệ nhân, trưởng thôn/bản, người uy tín)</t>
  </si>
  <si>
    <t xml:space="preserve">Mô hình trải nghiệm tri thức dân gian về y dược học của người Dao gắn với phát triển du lịch và chăm sóc sức khỏe </t>
  </si>
  <si>
    <t xml:space="preserve">Mô hình trải nghiệm canh tác nông nghiệp và sinh hoạt thường ngày của người Mông gắn với du lịch sinh thái </t>
  </si>
  <si>
    <t>Mô hình trai nghiệm nghề thủ công truyền thống dân tộc Lự gắn với phát triển du lịch cảnh quan lòng hồ thủy điện</t>
  </si>
  <si>
    <t>Xây dựng câu lạc bộ sinh hoạt văn hóa dân gian dân tộc Mông</t>
  </si>
  <si>
    <t>Xây dựng câu lạc bộ sinh hoạt văn hóa dân gian dân tộc Dao</t>
  </si>
  <si>
    <t>Xây dựng câu lạc bộ sinh hoạt văn hóa dân gian dân tộc Khơ Mú</t>
  </si>
  <si>
    <t>Xây dựng tủ sách cộng đồng cho các xã vùng dân tộc thiểu số 180 tủ x 20tr/tủ/giai đoạn</t>
  </si>
  <si>
    <t>Tổ chức biểu diễn, tái hiện lại các hình thức văn hóa truyền thống (dân ca, dân vũ, nhạc cụ) dân tộc Cống</t>
  </si>
  <si>
    <t>Tổ chức biểu diễn, tái hiện lại các hình thức văn hóa truyền thống (dân ca, dân vũ, nhạc cụ) dân tộc Mảng</t>
  </si>
  <si>
    <t>Truyền dạy ngữ văn dân gian dân tộc Mảng (Bản Pá Bon, xã Nậm Pì)</t>
  </si>
  <si>
    <t>Lễ hội "Khèn Mông" tại các xã Nậm Manh, Pú Đao, Nậm Chà, Nậm Hang, Nậm Pì</t>
  </si>
  <si>
    <t>Lễ hội "Đền thờ Vua Lê Thái Tổ" tại xã Lê Lợi gắn với hoạt động Đua thuyền đuôi én.</t>
  </si>
  <si>
    <t>Lễ hội "Mừng Lúa Mới" tại xã Nậm Manh</t>
  </si>
  <si>
    <t>Khôi phục, bảo tồn, truyền dậy chữ viết dân tộc Thái tại xã Mường Mô</t>
  </si>
  <si>
    <t>Khôi phục, bảo tồn, truyền dậy các loại hình nghệ thuật trình diễn dân tộc Mảng tại xã Nậm Pì: dân ca, dân vũ, dân nhạc</t>
  </si>
  <si>
    <t>Khôi phục, bảo tồn, truyền dậy các loại hình nghệ thuật trình diễn dân tộc Khơ Mú tại xã Nậm Manh: dân ca, dân vũ, dân nhạc</t>
  </si>
  <si>
    <t>Mô hình trải nghiệm văn hóa dân tộc Mông gắn với du lịch sinh thái tại các bản trên địa bàn xã Pú Đao</t>
  </si>
  <si>
    <t>Mô hình trải nghiệm văn hóa dân tộc Thái gắn với du lịch cộng đồng tại bản Chang xã Lê Lợi, Tua tuyến du lịch Bản Chang - Đền Lê Lợi - Lòng hồ thủy điện Sơn La</t>
  </si>
  <si>
    <t>Mô hình du lịch trải nghiệm lòng hồ Thủy điện Lai Châu gắn với gắn với mô hình nuôi cá lồng, bè tại xã Mường Mô</t>
  </si>
  <si>
    <t>Bảo tồn trang phục truyền thống dân tộc Cống</t>
  </si>
  <si>
    <t>Truyền dậy dân ca, dân vũ dân tộc Cống</t>
  </si>
  <si>
    <t>Truyền dậy chế tác và sử dụng nhạc cụ dân tộc Cống</t>
  </si>
  <si>
    <t>Bảo tồn ngữ văn dân gian dân tộc Cống</t>
  </si>
  <si>
    <t>Tái hiện lễ hội mừng lúa mới xã Vàng San dân tộc Mảng</t>
  </si>
  <si>
    <t xml:space="preserve">Truyền dạy ngữ văn dân gian dân tộc Mảng </t>
  </si>
  <si>
    <t>Tổ chức biểu diễn, tái hiện lại các hình thức văn hóa truyền thống (dân ca, dân vũ, nhạc cụ) dân tộc Si la</t>
  </si>
  <si>
    <t>Bảo tồn tập quán xã hội dân tộc Si La</t>
  </si>
  <si>
    <t>Bảo tồn tri thức dân gian dân tộc Si La</t>
  </si>
  <si>
    <t xml:space="preserve">Truyền dậy chế tác và sử dụng nhạc cụ dân tộc Si La </t>
  </si>
  <si>
    <t xml:space="preserve">Bảo tồn ngữ văn dân gian dân tộc Si La </t>
  </si>
  <si>
    <t>Khôi phục tết cổ truyền dân tộc Si La</t>
  </si>
  <si>
    <t xml:space="preserve"> Bảo tồn tập quán xã hội dân tộc Hà Nhì</t>
  </si>
  <si>
    <t>Xây dựng mô hình xây dựng đời sống văn hóa dân tộc Mảng</t>
  </si>
  <si>
    <t>Xây dựng mô hình phát huy văn hóa phi vật thể tiêu biểu dân tộc Si La</t>
  </si>
  <si>
    <t>Đơn vị</t>
  </si>
  <si>
    <t>Phát triển y tế cơ sở vùng đồng bào dân tộc thiểu số và miền núi</t>
  </si>
  <si>
    <t>Đào tạo y học gia đình cho nhân viên trạm y tế xã</t>
  </si>
  <si>
    <t>Nâng cao chất lượng dân số vùng đồng bào DTTS &amp;MN đến năm 2030</t>
  </si>
  <si>
    <t>Nâng cao năng lực quản lý dân số vùng đồng bào dân tộc thiểu số và miền núi</t>
  </si>
  <si>
    <t xml:space="preserve">Khảo sát đề xuất chính sách dân số, thử nghiệm mô hình can thiệp với đồng bào dân tộc thiểu số tại vùng đồng bào dân tộc thiểu số và miền núi, khu vực biên giới </t>
  </si>
  <si>
    <t xml:space="preserve">Giám sát, đánh giá, quản lý </t>
  </si>
  <si>
    <t>Lần</t>
  </si>
  <si>
    <t xml:space="preserve"> Chăm sóc sức khỏe, dinh dưỡng bà mẹ-trẻ em nhằm giảm tử vong bà mẹ, tử vong trẻ em, nâng cao tầm vóc, thể lực người dân tộc thiểu số</t>
  </si>
  <si>
    <t>Chăm sóc dinh dưỡng trong 1.000 ngày đầu đời bà mẹ - trẻ nhỏ lồng ghép trong chăm sóc trước, trong và sau sinh nhằm nâng cao tầm vóc, thể lực người dân tộc thiểu số</t>
  </si>
  <si>
    <t>Tập huấn cho cán bộ y tế tuyến tỉnh về chăm sóc dinh dưỡng bà mẹ mang thai và bà mẹ nuôi con nhỏ</t>
  </si>
  <si>
    <t>Giám sát, theo dõi, đánh giá tiến độ và kết quả triển khai hoạt động 3.1 phòng chống suy dinh dưỡng</t>
  </si>
  <si>
    <t>Đào tạo nhân lực y tế cho các huyện nghèo và cận nghèo vùng khó khăn</t>
  </si>
  <si>
    <t xml:space="preserve">Hỗ trợ đào tạo bác sĩ chuyên khoa II cho bác sĩ chuyên khoa I tuyến huyện </t>
  </si>
  <si>
    <t>Bác sỹ</t>
  </si>
  <si>
    <t xml:space="preserve">Hỗ trợ đào tạo bác sĩ chuyên khoa I cho bác sĩ tuyến huyện hoặc sinh viên y khoa đã tốt nghiệp các trường đại học y trong cả nước (ưu tiên người DTTS và ở huyện nghèo, khó khăn) cam kết công tác lâu dài tại đơn vị y tế cơ sở </t>
  </si>
  <si>
    <t xml:space="preserve">Hỗ trợ đào tạo học sinh, sinh viên đã trúng tuyển ngành điều dưỡng trình độ đại học tại các trường đại học trong cả nước (ưu tiên người DTTS và ở huyện nghèo, khó khăn) cam kết công tác lâu dài tại đơn vị y tế cơ sở </t>
  </si>
  <si>
    <t xml:space="preserve">Hỗ trợ đào tạo học sinh, sinh viên đã trúng tuyển nhóm ngành kỹ thuật y học trình độ đại học tại các trường đại học trong cả nước (ưu tiên người DTTS và ở huyện nghèo, khó khăn) cam kết công tác lâu dài tại đơn vị y tế cơ sở </t>
  </si>
  <si>
    <t>Hỗ trợ chuyển giao kỹ thuật về trạm y tế xã</t>
  </si>
  <si>
    <t>Xây dựng đề án "Tăng cường đào tạo, chuyển giao kỹ thuật, nâng cao năng lực chuyên môn y tế xã, phường giai đoạn 2019-2025" của tỉnh trình UBND tỉnh phê duyệt và bảo đảm kinh phí hoạt động đào tạo, chuyển giao kỹ thuật của bệnh viện tuyến trên thuộc địa phương quản lý cho các trạm y tế để thực hiện Đề án</t>
  </si>
  <si>
    <t xml:space="preserve"> Hỗ trợ phụ cấp cho cô đỡ thôn bản</t>
  </si>
  <si>
    <t>Hỗ trợ điểm tiêm chủng ngoại trạm</t>
  </si>
  <si>
    <t>Điểm</t>
  </si>
  <si>
    <t>Hỗ trợ tổ chức các điểm tiêm chủng ngoại trạm ở một số xã miền núi, đặc biệt khó khăn, mỗi xã tối đa 5 điểm</t>
  </si>
  <si>
    <t>Phổ cập dịch vụ tư vấn, khám sức khỏe trước khi kết hôn; tầm soát, chẩn đoán, điều trị một số bệnh tật trước sinh và sơ sinh với sự tham gia của toàn xã hội tại vùng đồng bào dân tộc thiểu số và miền núi</t>
  </si>
  <si>
    <t>Truyền thông, vận động chính sách, pháp luật về dân số, hôn nhân và gia đình; Tổ chức tư vấn chuyên môn tại cộng đồng về tư vấn, khám sức khỏe trước khi kết hôn; tầm soát, chẩn đoán, điều trị trước sinh và sơ sinh</t>
  </si>
  <si>
    <t>Nâng cấp cơ sở vật chất, bổ sung trang thiết bị y tế kết hợp với tăng cườngnăng lực cán bộ chuyên môn kỹ thuật theo hướng mở rộng, phổ cập dịch vụ tới tuyến cơ sở (Máy siêu âm)</t>
  </si>
  <si>
    <t>Cái</t>
  </si>
  <si>
    <t>Tổ chức cung cấp dịch vụ tư vấn, khám sức khỏe, tầm soát, chẩn đoán, điều trị một số bệnh tật sơ sinh</t>
  </si>
  <si>
    <t>Tổ chức cung cấp dịch vụ tư vấn, khám sức khỏe trước khi kết hôn; tầm soát, chẩn đoán, điều trị một số bệnh tật trước sinh (Đối tượng tại các xã KV I)</t>
  </si>
  <si>
    <t>Tổ chức cung cấp dịch vụ tư vấn, khám sức khỏe trước khi kết hôn; tầm soát, chẩn đoán, điều trị một số bệnh tật trước sinh (Đối tượng tại các xã ĐBKK)</t>
  </si>
  <si>
    <t>Đáp ứng nhu cầu chăm sóc, nâng cao sức khỏe người cao tuổi thích ứng với già hóa dân số nhanh</t>
  </si>
  <si>
    <t>Tăng cường tuyên truyền, vận động; xây dựng môi trường xã hội ủng hộ và tham gia chăm sóc, nâng cao sức khỏe người cao tuổi</t>
  </si>
  <si>
    <t xml:space="preserve">Tổ chức chiến dịch truyền thông, tư vấn và khám sức khỏe người cao tuổi tại cộng đồng, bao gồm cả khuyến khích, hỗ trợ người cao tuổi tham gia </t>
  </si>
  <si>
    <t>Tập huấn, bồi dưỡng nâng cao năng lực cơ sở y tế để tổ chức khám sức khỏe định kỳ và tư vấn, chăm sóc, nâng cao sức khỏe người cao tuổi tại cộng đồng</t>
  </si>
  <si>
    <t xml:space="preserve">Ổn định và phát triển dân số của đồng bào dân tộc thiểu số tại vùng đồng bào dân tộc thiểu số và miền núi, khu vực biên giới </t>
  </si>
  <si>
    <t>Tuyên truyền, vận động chính sách, pháp luật về dân số, cư trú, biên giới phù hợp tâm lý, tập quán của đồng bào sinh sống tại vùng đồng bào dân tộc thiểu số và miền núi, khu vực biên giới</t>
  </si>
  <si>
    <t>Buổi /bản</t>
  </si>
  <si>
    <t>Tổ chức chiến dịch truyền thông lồng ghép cung cấp dịch vụ dân số tại các xã thuộc vùng đồng bào dân tộc thiểu số và miền núi, khu vực biên giới. Tổ chức các loại hình cung cấp dịch vụ dân số, kế hoạch hóa gia đình phù hợp tại các cơ sở y tế</t>
  </si>
  <si>
    <t>Lần/Xã</t>
  </si>
  <si>
    <t>Kiểm soát, quản lý dân số tại vùng đồng bào dân tộc thiểu số và miền núi, khu vực biên giới. Rà soát thông tin, cơ sở dữ liệu; củng cố, kiện toàn kho dữ liệu chuyên ngành dân số; chia sẻ, kết nối với cơ sở dữ liệu các ngành liên quan</t>
  </si>
  <si>
    <t>Năm</t>
  </si>
  <si>
    <t>Đào tạo, bồi dưỡng, tập huấn kiến thức, kỹ năng cho cán bộ y tế, dân số, cộng tác viên dân số về chuyên môn kỹ thuật; nghiệp vụ quản lý dân số</t>
  </si>
  <si>
    <t>Phòng chống bệnh Thalassemia tại vùng đồng bào dân tộc thiểu số và miền núi</t>
  </si>
  <si>
    <t>Xây dựng mô hình tầm soát và quản lý bệnh di truyền Thalassemia cho vùng đồng bào dân tộc thiểu số</t>
  </si>
  <si>
    <t>Hỗ trợ xây dựng và ban hành các văn bản pháp lý, tài liệu hướng dẫn kỹ thuật chuyên môn có liên quan đến chẩn đoán, điều trị và chăm sóc bệnh nhân Thalassemia</t>
  </si>
  <si>
    <t>Cập nhật/chỉnh sửa tài liệu đào tạo về chăm sóc dinh dưỡng bà mẹ, trẻ em phù hợp với vùng đồng bào dân tộc thiểu số</t>
  </si>
  <si>
    <t>Tập huấn cán bộ tuyến tỉnh về chăm sóc dinh dưỡng 1000 ngày đầu đời</t>
  </si>
  <si>
    <t>Tập huấn cán bộ y tế tuyến tỉnh về phòng chống thiếu vi chất dinh dưỡng cho PNMT, bà mẹ và trẻ em</t>
  </si>
  <si>
    <t>Tập huấn cán bộ y tế tuyến tỉnh về quản lý suy dinh dưỡng cấp tính tại cộng đồng, chăm sóc dinh dưỡng bà mẹ trẻ em trong tình huống khẩn cấp cấp, thiên tai</t>
  </si>
  <si>
    <t>Tập huấn cho cán bộ y tế tuyến huyện, xã, thôn bản về chăm sóc dinh dưỡng bà mẹ mang thai và nuôi con nhỏ, chăm sóc dinh dưỡng trẻ em, phòng chống thiếu vi chất dinh dưỡng, quản lý suy dinh dưỡng cấp tính</t>
  </si>
  <si>
    <t>Cung cấp viên đa vi chất cho phụ nữ mang thai</t>
  </si>
  <si>
    <t>Cấp phát gói bột/ cháo dinh dưỡng công thức ăn liền cho trẻ suy dinh dưỡng dưỡng (60 gói/ter/đợt x 2 đợt/năm)</t>
  </si>
  <si>
    <t>Trẻ</t>
  </si>
  <si>
    <t>Mô hình lồng ghép dinh dưỡng và an ninh lương thực nhằm tăng cường chăm sóc dinh dưỡng trong 1000 ngày đầu đời</t>
  </si>
  <si>
    <t>Quản lý suy dinh dưỡng cấp tại cộng đồng</t>
  </si>
  <si>
    <t>Chăm sóc sức khỏe, giảm tử vong bà mẹ, trẻ em</t>
  </si>
  <si>
    <t>Nâng cao năng lực về kiến thức, kỹ năng làm mẹ an toàn, chăm sóc sức khỏe bà mẹ và trẻ em cho cán bộ y tế để thực hiện các gói dịch vụ can thiệp nhằm giảm tử vong mẹ, tử vong sơ sinh tại các tỉnh</t>
  </si>
  <si>
    <t>Các gói hỗ trợ bà mẹ, trẻ sơ sinh vùng ĐBKK tiếp cận tới các dịch vụ chăm sóc bà mẹ và sơ sinh có chất lượng</t>
  </si>
  <si>
    <t>Chiến dịch</t>
  </si>
  <si>
    <t>Tuyên truyền vận động, truyền thông thay đổi hành vi về chăm sóc sức khỏe, dinh dưỡng bà mẹ - trẻ em</t>
  </si>
  <si>
    <t>Khảo sát xác định mô hình, nội dung, hình thức truyền thông về sức khỏe bà mẹ trẻ em phù hợp với bối cảnh văn hóa của các dân tộc</t>
  </si>
  <si>
    <t>Xây dựng mô hình truyền thông tại cộng đồng về sức khỏe bà mẹ trẻ em thông qua già làng, trưởng bản, người có uy tín</t>
  </si>
  <si>
    <t>Xây dựng thí điểm Góc truyền thông về chăm sóc sức khỏe sinh sản vị thành niên và sức khỏe bà mẹ trẻ em tại một số trường phổ thông dân tộc nội trú</t>
  </si>
  <si>
    <t>Trường</t>
  </si>
  <si>
    <t>Phát động và triển khai Tuần Lễ Làm mẹ an toàn tại tuyến cơ sở vào tháng 10 hằng năm</t>
  </si>
  <si>
    <t>Phát triển, xây dựng và in các sản phẩm truyền thông phù hợp với bối cảnh văn hóa của từng dân tộc, gồm tờ rơi, áp phích, tranh lật, sách mỏng</t>
  </si>
  <si>
    <t xml:space="preserve">            + Áp phích</t>
  </si>
  <si>
    <t>Tờ</t>
  </si>
  <si>
    <t xml:space="preserve">            + Pa nô</t>
  </si>
  <si>
    <t xml:space="preserve">            + Tờ rơi</t>
  </si>
  <si>
    <t>Phát triển, xây dựng các sản phẩm truyền thông về chăm sóc sức khỏe bà mẹ - trẻ em phù hợp với bối cảnh văn hóa của từng dân tộc, bao gồm tin bài, video phổ biến kiến thức, phóng sự, trailer quảng bá, bài phát thanh...trên các phương tiện truyền thông đại chúng và mạng xã hội</t>
  </si>
  <si>
    <t>Tin bài</t>
  </si>
  <si>
    <t>Nâng cao năng lực và hỗ trợ hoạt động cho các phóng viên báo chí trung ương về công tác chăm sóc sức khỏe bà mẹ - Trẻ em</t>
  </si>
  <si>
    <t xml:space="preserve"> Hoạt động tuyên truyền, vận động thay đổi “nếp nghĩ, cách làm” góp phần xóa bỏ các định kiến và khuôn mẫu giới trong gia đình và cộng đồng, những tập tục văn hóa có hại và một số vấn đề xã hội cấp thiết cho phụ nữ và trẻ em</t>
  </si>
  <si>
    <t>Xây dựng các nhóm truyền thông tiên phong thay đổi trong cộng đồng;</t>
  </si>
  <si>
    <t>Xây dựng Sổ tay hướng dẫn truyền thông dựa vào cộng đồng, vận hành và quản lý các tổ truyền thông cộng đồng</t>
  </si>
  <si>
    <t>Hỗ trợ các nhóm truyền thông cộng đồng xây dựng các mô hình truyền thông</t>
  </si>
  <si>
    <t>Nhóm</t>
  </si>
  <si>
    <t>Tổ chức các lớp tập huấn nâng cao năng lực</t>
  </si>
  <si>
    <t>Hỗ trợ mạng lưới mô hình truyền thông nam, nữ tiên phong thay đổi trên nền tảng số, ứng dụng các công cụ truyền thông xã hội</t>
  </si>
  <si>
    <t>Cung cấp một số trang thiết bị cơ bản (micro, loa cầm tay, loa kéo…) trên cơ sở rà soát lại những thiết bị truyền thông đã được trang bị tại cấp thôn bản (158 bản, 17 xã)</t>
  </si>
  <si>
    <t>Thực hiện các chiến dịch truyền thông xóa bỏ định kiến và khuôn mẫu giới, xây dựng môi trường sống an toàn cho phụ nữ và trẻ em</t>
  </si>
  <si>
    <t>Xây dựng các chương trình phát thanh, truyền hình, truyền thanh</t>
  </si>
  <si>
    <t>Xây dựng mô hình truyền thông cộng đồng và hỗ trợ trọn gói 3 triệu đồng/mô hình. Tổ truyền thông cộng đồng sẽ xây dựng mô hình truyền thông theo chủ đề của chiến dịch</t>
  </si>
  <si>
    <t>Số hoá các mô hình truyền thông dựa vào cộng đồng và các chương trình phát thanh, truyền hình dưới dạng các đĩa DVD, video clip, và các dạng tài liệu phù hợp để chia sẻ rộng rãi qua các nền tảng truyền thông xã hội</t>
  </si>
  <si>
    <t>Tin và bài</t>
  </si>
  <si>
    <t>c</t>
  </si>
  <si>
    <t xml:space="preserve"> Hội thi/liên hoan các mô hình sáng tạo và hiệu quả trong xóa bỏ định kiến giới, bạo lực gia đình và mua bán phụ nữ và trẻ em</t>
  </si>
  <si>
    <t>Hội thi</t>
  </si>
  <si>
    <t>d</t>
  </si>
  <si>
    <t>Triển khai 04 gói hỗ trợ phụ nữ dân tộc thiểu số sinh đẻ an toàn và chăm sóc sức khoẻ trẻ em</t>
  </si>
  <si>
    <t>Xây dựng gói hỗ trợ bà mẹ sinh đẻ an toàn và chăm sóc tại nhà sau sinh tại các tỉnh có đông DTTS có tỷ lệ sinh con tại nhà cao</t>
  </si>
  <si>
    <t>+Hỗ trợ 01 bà mẹ và người thân chăm sóc đến khi sinh con tại cơ sở y tế. Định mức hỗ trợ gồm: Hỗ trợ kinh phí đi lại ( 02 người/ca đẻ; 100.000đồng/người)</t>
  </si>
  <si>
    <t>Ca</t>
  </si>
  <si>
    <t>+ Hỗ trợ vật tư chăm sóc khi sinh gồm bỉm sơ sinh, băng vệ sinh cho bà mẹ, tã lót, áo sơ sinh, mũ, bao tay chân em bé, khăn lau bé, túi đo lượng máu mất lúc sinh ( 500.000đ/gói)</t>
  </si>
  <si>
    <t>Gói</t>
  </si>
  <si>
    <t>+ Hỗ trợ tiền ăn cho bà mẹ và người chăm sóc/ca  sinh nở (tối đa 3 ngày đối với sinh thường và 5 ngày đối với sinh mổ. Định mức 50.000đ/ngày/người x bình quân 4 ngày)</t>
  </si>
  <si>
    <t>+ Hỗ trợ lương thực, dinh dưỡng cho bà mẹ nuôi con bú trong 6 tháng đầu sau sinh (01 lần 1.200.000 đồng)</t>
  </si>
  <si>
    <t xml:space="preserve">Tuyên truyền, vận động phụ nữ đến sinh con tại cơ sở y tế, lồng ghép tuyên truyền mục đích, ý nghĩa của gói hỗ trợ trong các chiến dịch truyền thông tại cơ sở và trong các buổi sinh hoạt tại chi tổ phụ nữ  </t>
  </si>
  <si>
    <t>Khảo sát thực tế tại địa bàn có tỷ lệ sinh con tại nhà cao, địa bàn có những nhóm dân tộc thiểu số rất ít người sinh sống</t>
  </si>
  <si>
    <t xml:space="preserve"> Xây dựng và nhân rộng các mô hình thay đổi “nếp nghĩ, cách làm” nâng cao quyền năng kinh tế cho phụ nữ; thúc đẩy bình đẳng giới và giải quyết những vấn đề cấp thiết của phụ nữ và trẻ em</t>
  </si>
  <si>
    <t xml:space="preserve"> Phát triển và nhân rộng mô hình tiết kiệm và tín dụng tự quản để tăng cường tiếp cận tín dụng, cải thiện cơ hội sinh kế, tạo cơ hội tạo thu nhập và lồng ghép giới;</t>
  </si>
  <si>
    <t>Biên soạn Sổ tay hướng dẫn thành lập và vận hành tổ TKVVTB.</t>
  </si>
  <si>
    <t>Hỗ trợ hòm giữ tiết kiệm và chi phí sinh hoạt trong 3 tháng đầu tiên: tối đa 500.000 đồng/tháng/tổ</t>
  </si>
  <si>
    <t>Tổ</t>
  </si>
  <si>
    <t>Hỗ trợ ứng dụng khoa học công nghệ để nâng cao quyền năng kinh tế cho phụ nữ dân tộc thiểu số</t>
  </si>
  <si>
    <t>Hỗ trợ thí điểm mô hình.( Giá trị hỗ trợ tối đa là 100 triệu/mô hình. Các tổ nhóm sinh kế, tổ hợp tác, hợp tác xã có phụ nữ làm chủ hoặc đồng làm chủ sẽ phải đối ứng phần chi phí còn lại để thực hiện, duy trì bền vững mô hình ( Mỗi xã 01 mô hình)</t>
  </si>
  <si>
    <t>Thí điểm và nhân rộng mô hình địa chỉ an toàn hỗ trợ bảo vệ phụ nữ là nạn nhân bạo lực gia đình</t>
  </si>
  <si>
    <t>Thí điểm nâng cấp địa chỉ an toàn trên cơ sở các địa chỉ tin cậy sẵn có hiện nay nhưng chưa thực sự hoạt động hoặc hoạt động chưa hiệu quả</t>
  </si>
  <si>
    <t>Hỗ trợ theo thực tế phát sinh, tối đa 03 triệu đồng/địa chỉ để mua sắm một số vật dụng cần thiết để hỗ trợ nạn nhân</t>
  </si>
  <si>
    <t>Địa chỉ</t>
  </si>
  <si>
    <t>Hỗ trợ theo thực tế phát sinh, tối đa 03 triệu đồng/địa chỉ/năm để trang trải một số chi phí trực tiếp liên quan đến tư vấn, hỗ trợ ban đầu cho nạn nhân: nước uống, tiền ăn, lưu trú qua đêm nếu phát sinh</t>
  </si>
  <si>
    <t>Thí điểm thành lập mới địa chỉ an toàn: Hỗ trợ theo thực tế phát sinh, tối đa 15 triệu đồng/địa chỉ để mua sắm một số vật dụng cần thiết để phục vụ hoạt động</t>
  </si>
  <si>
    <t>Thí điểm và nhân rộng mô hình hỗ trợ phát triển sinh kế, hòa nhập cộng đồng cho nạn nhân mua bán người</t>
  </si>
  <si>
    <t>Tham gia vào các mô hình TKVVTB (và các mô hình nâng cấp trên nền tảng mô hình TKVVTB như trong hoạt động 3.1) để cải thiện tiếp cận tín dụng vi mô và cơ hội cải thiện sinh kế</t>
  </si>
  <si>
    <t>Học nghề và tiếp cận với dịch vụ tư vấn giải quyết việc làm</t>
  </si>
  <si>
    <t>Thực hiện các mô hình sinh kế, kinh doanh sản xuất nhỏ. Mức hỗ trợ trọn gói là 30 triệu/mô hình</t>
  </si>
  <si>
    <t xml:space="preserve"> Đảm bảo tiếng nói và sự tham gia thực chất của phụ nữ và trẻ em trong các hoạt động phát triển kinh tế - xã hội của cộng đồng, giám sát và phản biện; hỗ trợ phụ nữ tham gia lãnh đạo trong hệ thống chính trị</t>
  </si>
  <si>
    <t>Đảm bảo tiếng nói và vai trò của phụ nữ trong các vấn đề kinh tế - xã hội tại địa phương</t>
  </si>
  <si>
    <t>Tổ chức đối thoại chính sách ở cấp xã và cụm thôn bản ĐBKK (có thể tổ chức cùng thời gian với các chiến dịch truyền thông của hoạt động 1); Biên tập và phổ biến rộng rãi thông qua hệ thống phát thanh xã và mạng xã hội</t>
  </si>
  <si>
    <t xml:space="preserve">Cuộc </t>
  </si>
  <si>
    <t>Vận động và hướng dẫn hội viên phụ nữ tham gia các hoạt động cộng đồng: các cuộc họp dân, tiếp xúc cử tri của đại biểu dân cử tại địa bàn, đóng góp ý kiến xây dựng hệ thống chính trị</t>
  </si>
  <si>
    <t>Đảm bảo tiếng nói và vai trò của trẻ em gái trong phát triển kinh tế - xã hội của cộng đồng thông qua mô hình Câu lạc bộ “thủ lĩnh của sự thay đổi”</t>
  </si>
  <si>
    <t xml:space="preserve">Xây dựng Sổ tay hướng dẫn thành lập và vận hành CLB thủ lĩnh của sự thay đổi trên cơ sở tổng kết các mô hình CLB </t>
  </si>
  <si>
    <t xml:space="preserve">Lớp </t>
  </si>
  <si>
    <r>
      <t>Hỗ trợ thành lập và hoạt động của câu lạc bộ thủ lĩnh của sự thay đổi tại trường học trong thôn bản, nhà sinh hoạt cộng đồng</t>
    </r>
    <r>
      <rPr>
        <i/>
        <sz val="10"/>
        <color indexed="8"/>
        <rFont val="Times New Roman"/>
        <family val="1"/>
      </rPr>
      <t/>
    </r>
  </si>
  <si>
    <t>Câu lạc bộ</t>
  </si>
  <si>
    <t>Công tác giám sát và đánh giá về thực hiện bình đẳng giới trong thực hiện Chương trình</t>
  </si>
  <si>
    <t>Xây dựng Sổ tay hướng dẫn giám sát đánh giá về bình đẳng giới</t>
  </si>
  <si>
    <t>Nâng cao năng lực của phụ nữ dân tộc thiểu số tham gia ứng cử, vận động bầu cử vào các cơ quan dân cử</t>
  </si>
  <si>
    <t xml:space="preserve">Tập huấn cho cán bộ nữ trong quy hoạch vào các vị trí lãnh đạo trong hệ thống chính trị ở cấp xã và cấp huyện </t>
  </si>
  <si>
    <t>Thăm quan học tập kinh nghiệm cho cán bộ nữ trong quy hoạch vào các vị trí lãnh đạo trong hệ thống chính trị cấp xã và huyện</t>
  </si>
  <si>
    <t>Trang bị kiến thức về bình đẳng giới, kỹ năng thực hiện lồng ghép giới cho cán bộ trong hệ thống chính trị, già làng, trưởng bản, chức sắc tôn giáo và người có uy tín trong cộng đồng</t>
  </si>
  <si>
    <t xml:space="preserve">Tập huấn cho cán bộ Trạm y tế xã, TTYT huyện, và cô đỡ thôn bản về chăm sóc sức khỏe bà mẹ và sơ sinh; Xây dựng, cập nhật các tài liệu đào tạo, hướng dẫn chuyên môn cho cán bộ y tế để thực hiện các gói can thiệp </t>
  </si>
  <si>
    <t xml:space="preserve">+ Đào tạo cho cán bộ tuyến huyện, xã về cung cấp các gói dịch vụ ( bao gồm cả kỹ thuật xét nghiệm sàng lọc) </t>
  </si>
  <si>
    <t xml:space="preserve">+ Đào tạo cập nhật cho cô đỡ thôn bản: 100% các cô đỡ TB được tập huấn cập nhật tối thiểu 5 năm 1 lần </t>
  </si>
  <si>
    <t>Tập huấn về đối thoại chính sách</t>
  </si>
  <si>
    <t>Tổ chức tập huấn cho cán bộ ở cơ sở về cách thức thành lập và vận hành mô hình CLB</t>
  </si>
  <si>
    <t>Tổ chức lớp tập huấn cho cán bộ cấp xã và thôn bản</t>
  </si>
  <si>
    <t>Tập huấn đội ngũ già làng, trưởng bản, chức sắc tôn giáo và người có uy tín trong cộng đồng về lồng ghép giới</t>
  </si>
  <si>
    <t>Xây dựng đội ngũ giảng viên nguồn về lồng ghép giới</t>
  </si>
  <si>
    <t>Thực hiện các hoạt động phát triển năng lực cho các cấp</t>
  </si>
  <si>
    <t>Đánh giá kết quả hoạt động phát triển năng lực</t>
  </si>
  <si>
    <t>BIỂU TỔNG HỢP KINH PHÍ DỰ ÁN 9</t>
  </si>
  <si>
    <t>Tiểu dự án 1: Đầu tư phát triển kinh tế - xã hội các dân tộc còn gặp nhiều khó khăn, dân tộc có khó khăn đặc thù</t>
  </si>
  <si>
    <t>Tiểu dự án 2: Giảm thiểu tình trạng tảo hôn và hôn nhân cận huyết thống trong vùng đồng bào DTTS&amp;MN</t>
  </si>
  <si>
    <t>Nội dung: hỗ trợ phát triển sản xuất và sinh kế</t>
  </si>
  <si>
    <t xml:space="preserve"> Đối với các hộ dân tộc thiểu số có khó khăn đặc thù:</t>
  </si>
  <si>
    <t>Hỗ trợ nâng cao kiến thức, trình độ năng lực sản xuất, tổ chức lớp tập huấn cho các hộ gia đình về kiến thức sản xuất tại thôn, bản và tham quan học tập trao đổi kinh nghiệm cho cộng đồng</t>
  </si>
  <si>
    <t>Thuyết minh dự toán</t>
  </si>
  <si>
    <t>Thời gian: 03 ngày/lớp</t>
  </si>
  <si>
    <t>Số lượng học viên: 2.415 người (bình quân 50 người/lớp)</t>
  </si>
  <si>
    <t xml:space="preserve">Đối tượng: Người dân tộc thuộc danh sách dân tộc có khó khăn đặc thù theo Quyết định số 1227/QĐ-TTg ngày 14 tháng 7 năm 2021 của Thủ tướng Chính phủ </t>
  </si>
  <si>
    <t>Số lượng lớp: 184 lớp</t>
  </si>
  <si>
    <t>Địa điểm: tại 39 bản, 17 xã, thuộc các huyện Tam Đường, Mường Tè, Nhậm Nhùn, Sìn hồ</t>
  </si>
  <si>
    <t xml:space="preserve">Tổng dự  toán: </t>
  </si>
  <si>
    <t>Dự toán chi tiết:</t>
  </si>
  <si>
    <t>bộ</t>
  </si>
  <si>
    <t>lớp</t>
  </si>
  <si>
    <t>Hỗ trợ giống, chuồng trại, một số vật tư đầu vào để chuyển đổi cơ cấu cây trồng, vật nuôi có giá trị kinh tế cao; hỗ trợ tiêm vắc-xin tiêm phòng các dịch bệnh nguy hiểm cho gia súc, gia cầm;</t>
  </si>
  <si>
    <t>Hỗ trợ nâng cao kiến thức, trình độ năng lực sản xuất, tổ chức lớp tập huấn cho các hộ gia đình về kiến thức sản xuất tại thôn, bản và tham quan học tập trao đổi kinh nghiệm cho cộng đồng;</t>
  </si>
  <si>
    <t xml:space="preserve"> Hỗ trợ xây dựng mô hình, tổ hợp tác liên kết theo chuỗi sản xuất tiêu thụ sản phẩm và các hoạt động phát triển sản xuất khác do cộng đồng đề xuất phù hợp với phong tục, tập quán, nhu cầu của cộng đồng được cấp có thẩm quyền phê duyệt.</t>
  </si>
  <si>
    <t>Công tác truyền thông</t>
  </si>
  <si>
    <t>Tăng cường các hoạt động tư vấn, can thiệp lồng ghép với các chương trình, dự án, mô hình chăm sóc sức khỏe sinh sản, sức khỏe bà mẹ, trẻ em, dân số kế hoạch hóa gia đình, dinh dưỡng, phát triển thể chất có liên quan trong lĩnh vực hôn nhân nhằm giảm thiểu tình trạng tảo hôn và hôn nhân cận huyết thống.</t>
  </si>
  <si>
    <t>Bồi dưỡng, nâng cao năng lực về chuyên môn, nghiệp vụ cho cán bộ, công chức làm công tác dân tộc tham gia thực hiện Dự án.</t>
  </si>
  <si>
    <t>Kiểm tra, đánh giá, sơ kết, tổng kết việc thực hiện Mô hình, Dự án và thực hiện các chính sách.</t>
  </si>
  <si>
    <t>Tiểu dự án 1: Biểu dương, tôn vinh điển hình tiên tiến, phát huy vai trò của người có uy tín; phổ biến, giáo dục pháp luật và tuyên truyền, vận động đồng bào</t>
  </si>
  <si>
    <t>Chi tiết tại Biểu 10.1</t>
  </si>
  <si>
    <t>Sở Tư pháp</t>
  </si>
  <si>
    <t>Sở Thông tin và truyền thông</t>
  </si>
  <si>
    <t>Tiểu dự án 2: Ứng dụng công nghệ thông tin hỗ trợ phát triển kinh tế - xã hội và đảm bảo an ninh trật tự vùng đồng bào dân tộc thiểu số và miền núi</t>
  </si>
  <si>
    <t>Tiểu dự án 3: Kiểm tra, giám sát, đánh giá, việc tổ chức thực hiện Chương trình</t>
  </si>
  <si>
    <t>Nội dung số 01: Biểu dương, tôn vinh điển hình tiên tiến, phát huy vai trò của người có uy tín (Ban Dân tộc)</t>
  </si>
  <si>
    <t>Xây dựng, nâng cao chất lượng và hiệu quả công tác vận động, phát huy vai trò của lực lượng cốt cán và người có uy tín trong vùng đồng bào dân tộc thiểu số và miền núi</t>
  </si>
  <si>
    <t>Triển khai thực hiện các hoạt động tuyên truyền, giáo dục, nâng cao nhận thức về vị trí, vai trò của lực lượng cốt cán và người có uy tín trong vùng đồng bào dân tộc thiểu số và miền núi</t>
  </si>
  <si>
    <t>Xây dựng, phát hiện, bồi dưỡng, lựa chọn, quản lý, sử dụng lực lượng cốt cán và người có uy tín trong vùng đồng bào dân tộc thiểu số và miền núi phù hợp với điều kiện thực tế của địa phương</t>
  </si>
  <si>
    <t>Tổ chức các hoạt động tập huấn, bồi dưỡng kiến thức, cung cấp tài liệu, thông tin, gặp mặt, tọa đàm, hoạt động giao lưu, học hỏi kinh nghiệm, trang bị phương tiện nghe nhìn phù hợp cho lực lượng cốt cán, người có uy tín trong vùng đồng bào dân tộc thiểu số và miền núi nhằm nâng cao năng lực, khả năng tiếp nhận thông tin, đáp ứng yêu cầu thực hiện nhiệm vụ được giao</t>
  </si>
  <si>
    <t>Tập huấn, bồi dưỡng kiến thức</t>
  </si>
  <si>
    <t>Hoạt động giao lưu, học hỏi kinh nghiệm</t>
  </si>
  <si>
    <t>Hỗ trợ, kịp thời động viên và có biện pháp bảo vệ phù hợp trong công tác vận động, phát huy vai trò của lực lượng cốt cán và người có uy tín trong vùng đồng bào dân tộc thiểu số và miền núi trên các lĩnh vực của đời sống xã hội</t>
  </si>
  <si>
    <t>Thăm hỏi, tặng quà nhân dịp Tết Nguyên đán, Tết của các dân tộc thiểu số không quá 02 lần/năm</t>
  </si>
  <si>
    <t>Thăm hỏi, hỗ trợ người có uy tín bị ốm đau không quá 01 lần/năm</t>
  </si>
  <si>
    <t>Thăm hỏi, hỗ trợ hộ gia đình người có uy tín gặp khó khăn (thiên tai, hỏa hoạn)</t>
  </si>
  <si>
    <t>Thăm viếng, động viên khi người có uy tín, thân nhân trong gia đình (bố, mẹ, vợ, chồng, con) qua đời</t>
  </si>
  <si>
    <t>Biểu dương, tôn vinh các điển hình tiên tiến trong vùng đồng bào dân tộc thiểu số và miền núi</t>
  </si>
  <si>
    <t>Tổ chức các hoạt động truyền thông, tuyên truyền, nêu gương người tốt, việc tốt, các điển hình tiên tiến trong vùng đồng bào dân tộc thiểu số và miền núi</t>
  </si>
  <si>
    <t xml:space="preserve">Định kỳ tổ chức (2 năm/lần) các hoạt động biểu dương, tôn vinh, vinh danh đối với các điển hình tiên tiến (Già làng, trưởng bản, người có uy tín, cán bộ cốt cán; nhân sỹ, trí thức, doanh nhân, học sinh, sinh viên, thanh niên tiêu biểu người dân tộc thiểu số,...) trong vùng đồng bào dân tộc thiểu số và miền núi </t>
  </si>
  <si>
    <t>Tổ chức các hội nghị, hội thảo, hoạt động giao giao, học tập kinh nghiệm, gặp mặt, tọa đàm, tặng quà, biểu dương, tôn vinh điển hình tiên tiến trên một số lĩnh vực của đời sống xã hội theo khu vực, vùng miền (định kỳ 3 năm/lần tổ chức hoạt động giao lưu, học tập kinh nghiệm theo khu vực, vùng miền: miền núi phía Bắc, Duyên hải miền trung, Tây Nguyên, Tây Nam bộ, khu vực biên giới,...)</t>
  </si>
  <si>
    <t>Xây dựng, triển khai thực hiện và nhân rộng các mô hình điển hình tiên tiến; tổ chức sơ, tổng kết, đánh giá hoạt động biểu dương, tôn vinh điển hình tiên tiến trong vùng đồng bào dân tộc thiểu số</t>
  </si>
  <si>
    <t>Tổ chức các hoạt động truyền thông, tuyên truyền, nêu gương người tốt, việc tốt, các điển hình tiên tiến;</t>
  </si>
  <si>
    <t xml:space="preserve"> Định kỳ tổ chức (2 năm/lần đối với cấp huyện và cấp tỉnh; 5 năm/lần đối với cấp Trung ương) các hoạt động biểu dương, tôn vinh, vinh danh đối với các điển hình tiên tiến (Già làng, trưởng bản, người có uy tín, cán bộ cốt cán; nhân sỹ, trí thức, doanh nhân, học sinh, sinh viên, thanh niên tiêu biểu người dân tộc thiểu số và các đối tượng khác) trong vùng đồng bào dân tộc thiểu số và miền núi;</t>
  </si>
  <si>
    <t>Tổ chức các hội nghị, hội thảo, hoạt động giao lưu, học tập kinh nghiệm, gặp mặt, tọa đàm, tặng quà, biểu dương, tôn vinh điển hình tiên tiến trên một số lĩnh vực của đời sống xã hội theo khu vực, vùng miền (định kỳ 3 năm/lần tổ chức hoạt động giao lưu, học tập kinh nghiệm theo khu vực, vùng miền: miền núi phía Bắc, duyên hải miền trung, Tây Nguyên, Tây Nam bộ, khu vực biên giới và một số địa phương khác);</t>
  </si>
  <si>
    <t>Xây dựng, triển khai thực hiện và nhân rộng các mô hình điển hình tiên tiến; tổ chức sơ kết, tổng kết, đánh giá hoạt động biểu dương, tôn vinh điển hình tiên tiến trong vùng đồng bào dân tộc thiểu số và miền núi.</t>
  </si>
  <si>
    <t xml:space="preserve">Nội dung số 02: Phổ biến, giáo dục pháp luật và tuyên truyền, vận động đồng bào dân tộc thiểu số </t>
  </si>
  <si>
    <t>2.1</t>
  </si>
  <si>
    <t>Biên soạn tờ gấp về một số lĩnh vực pháp luật để phổ biến, nâng cao nhận thức pháp luật cho đồng bào dân tộc thiểu số</t>
  </si>
  <si>
    <t>Phát hành</t>
  </si>
  <si>
    <t>Biên soạn sổ tay nghiệp vụ tuyên truyền dành cho đội ngũ thực hiện công tác tuyên truyền 956 thôn x 5 cuốn (thực hiện 4 năm )</t>
  </si>
  <si>
    <t>Tổ chức Hội nghị điểm nâng cao năng lực cho đội ngũ Tuyên truyền viên pháp luật, trưởng thôn, bản, người có uy tín trong cộng đồng dân cư (Tổ chức tại 02 lớp/1 năm tại 02 huyện x 5 năm)</t>
  </si>
  <si>
    <t>Tổ chức cuộc thi viết tìm hiểu các quy định của pháp luật để nâng cao nhận thức pháp luật của nhân dân trên địa bàn</t>
  </si>
  <si>
    <t>Kinh phí phổ biến, giáo dục pháp luật, chuẩn tiếp cận pháp luật trên sóng phát thanh, truyền hình, đài VOV và trên Báo Lai Châu. 6 chuyên mục/1 năm (3 thứ tiếng) x 5 năm/huyện</t>
  </si>
  <si>
    <t>Chuyên mục</t>
  </si>
  <si>
    <t>Kinh phí truyền thông, phổ biến giáo dục pháp luật nâng cao nhận thức cho người dân tộc thiểu số trên loa phát thanh tại các xã có điều kiện kinh tế đặc biệt khó khăn</t>
  </si>
  <si>
    <t>Chủ đề</t>
  </si>
  <si>
    <t>Hỗ trợ phát trên loa phát thanh. 15ngđ/1 lần phát. 58 xã x4 (1 tháng phát 4 lần ) x15x12 tháng</t>
  </si>
  <si>
    <t>Chuyên đề</t>
  </si>
  <si>
    <t xml:space="preserve">Tổ chức hội nghị tuyên truyền trực tiếp vận động nhân dân vùng đồng bào dân tộc thiểu số và miền núi nâng cao nhân thức cho người dân tộc thiểu số 
</t>
  </si>
  <si>
    <t>Tổ chức tập huấn điểm cho cán bộ cấp huyện chuyên đi tuyên truyền (2 huyện/năm)</t>
  </si>
  <si>
    <t>2.2</t>
  </si>
  <si>
    <t xml:space="preserve"> Sở Thông tin truyền thông (Thông tin đối ngoại vùng đồng bào dân tộc thiểu số và miền núi theo Quyết định số 1191/QĐ-TTg ngày 05/5/2020 của Thủ tướng Chính phủ)</t>
  </si>
  <si>
    <t>Sản xuất nội dung phục vụ công tác thông tin tuyên truyền và thông tin đối ngoại (15 chương trình truyền hình, 30 chương trình phát thanh)</t>
  </si>
  <si>
    <t>Bồi dưỡng nghiệp vụ công tác thông tin tuyên truyền, thông tin đối ngoại cho cán bộ làm công tác thông tin đối ngoại khu vực biên giới</t>
  </si>
  <si>
    <t>Xây dựng chương trình, tài liệu</t>
  </si>
  <si>
    <t>Mở lớp</t>
  </si>
  <si>
    <t>Đưa các nội dung thông tin tuyên truyền và thông tin đối ngoại với định dạng phù hợp (tin nhắn, thư thoại bằng tiếng Việt, tiếng dân tộc...) đến các thuê bao viễn thông di động tại các tuyến biên giới</t>
  </si>
  <si>
    <t>2.3</t>
  </si>
  <si>
    <t>Xây dựng mô hình điểm về "Đẩy mạnh công tác phổ biến giáo dục pháp luật và tuyên truyền nâng cao nhận thức, ý thức chấp hành chủ trương, đường lối của Đảng, chính sách pháp luật của Nhà nước" (14 mô hình/năm x 4 năm)</t>
  </si>
  <si>
    <t>Biên soạn, in ấn, phát hành tài liệu đặc thù phổ biến giáo dục pháp luật và tuyên truyền, vận đồng đồng bào DTTS &amp;MN</t>
  </si>
  <si>
    <t>In và phát hành bộ tài liệu hỏi, đáp về một số nội dung như: Chính sách đặc thù, chính sách Y tế, giáo dục, đào tạo nghề, khởi nghiệp; một số Bộ luật (Hiến pháp, Luật dân sự, Luật hình sự, Luật hôn nhân và gia đình,…) liên quan đến đồng bào DTTS và miền núi  (4 cuốn/ năm x 4 năm)</t>
  </si>
  <si>
    <t>Cuốn</t>
  </si>
  <si>
    <t>2.4</t>
  </si>
  <si>
    <t>Nội dung số 3: Tăng cường, nâng cao khả năng tiếp cận và thụ hưởng hoạt động trợ giúp pháp lý chất lượng cho vùng đồng bào dân tộc thiểu số và miền núi (Sở Tư pháp)</t>
  </si>
  <si>
    <t>Nội dung số 01: Biểu dương, tôn vinh điển hình tiên tiến, phát huy vai trò của người có uy tín.</t>
  </si>
  <si>
    <t>Nội dung số 02: Phổ biến, giáo dục pháp luật và tuyên truyền, vận động đồng bào dân tộc thiểu số.</t>
  </si>
  <si>
    <t>Phổ biến, giáo dục pháp luật và tuyên truyền gồm các hoạt động</t>
  </si>
  <si>
    <t>Tổ chức tập huấn, hội nghị, hội thảo (bằng các hình thức phù hợp với vùng miền, địa phương cấp huyện, tỉnh, khu vực và toàn quốc), nói chuyện chuyên đề, xây dựng mô hình điểm, câu lạc bộ tuyên truyền pháp luật</t>
  </si>
  <si>
    <t>Tổ chức hội thi tuyên truyền pháp luật; lồng ghép với các hoạt động văn hóa, văn nghệ, thể thao, lễ hội truyền thống của đồng bào dân tộc thiểu số</t>
  </si>
  <si>
    <t>Xây dựng chuyên trang, chuyên mục đặc thù (bằng tiếng phổ thông và tiếng dân tộc thiểu số), tiểu phẩm, câu chuyện pháp luật trên các phương tiện thông tin đại chúng</t>
  </si>
  <si>
    <t>Biên soạn, phát hành tài liệu (tờ gấp, sách bỏ túi, cẩm nang pháp luật, sổ tay truyền thông và các ấn phẩm, tài liệu khác) bằng chữ phổ thông hoặc song ngữ chữ phổ thông và chữ dân tộc thiểu số</t>
  </si>
  <si>
    <t>Thực hiện việc cấp một số ấn phẩm báo, tạp chí và nghiên cứu đổi mới hình thức cung cấp thông tin phù hợp với điều kiện đặc thù của vùng đồng bào dân tộc thiểu số và miền núi, vùng đặc biệt khó khăn theo Quyết định số 45/QĐ-TTg ngày 09 tháng 01 năm 2019 của Thủ tướng Chính phủ</t>
  </si>
  <si>
    <t xml:space="preserve">  Thực hiện thông tin đối ngoại vùng đồng bào dân tộc thiểu số và miền núi theo Quyết định số 1191/QĐ-TTg ngày 05 tháng 8 năm 2020 của Thủ tướng Chính phủ phê duyệt mục tiêu, nhiệm vụ, giải pháp đổi mới và nâng cao năng lực công tác thông tin tuyên truyền và thông tin đối ngoại góp phần xây dựng biên giới hòa bình, hữu nghị, hợp tác và phát triển;</t>
  </si>
  <si>
    <t>Tập huấn kiến thức, nghiệp vụ về thông tin đối ngoại cho cán bộ chủ chốt ở địa phương làm công tác dân tộc (cho cán bộ chủ chốt làm công tác dân tộc từ cấp huyện trở lên)</t>
  </si>
  <si>
    <t>Tổ chức các lớp tập huấn về thông tin đối ngoại, bồi dưỡng kiến thức về tình đoàn kết giữa nhân dân Việt Nam với các nước trên thế giới, nhất là các nước láng giềng cho cán bộ làm công tác dân tộc, lãnh đạo chủ chốt các xã biên giới, trưởng thôn bản thuộc xã biên giới, của 25 tỉnh, thành phố dọc tuyến biên giới Việt Nam - Lào; Việt Nam - Campuchia; Việt Nam - Trung Quốc (do địa phương tổ chức);</t>
  </si>
  <si>
    <t>Phối hợp với đơn vị truyền thông, truyền hình xây dựng và phát sóng trên truyền hình series phim tài liệu giới thiệu, quảng bá con người, tiềm năng, thế mạnh, văn hóa, du lịch,…; tuyên truyền biển đảo; kêu gọi đầu tư; thông tin đối ngoại vùng đồng bào dân tộc thiểu số và niền núi: Hằng năm sản xuất và phát sóng các loại phim tài liệu, ký sự, phóng sự và dịch ra 4 thứ tiếng (Mông, Khmer, Thái, Ba Na</t>
  </si>
  <si>
    <t>Phối hợp với đơn vị có thẩm quyền xây dựng chuyên trang thông tin đối ngoại về công tác dân tộc; phản bác những luận điệu sai trái của các thế lực thù địch về vấn đề dân tộc bằng tiếng nước ngoài</t>
  </si>
  <si>
    <t>Phối hợp với đơn vị báo và tạp chí sản xuất và phát hành ấn phẩm thông tin đối ngoại và tờ rơi giới thiệu các tiềm năng, thế mạnh, mô hình hay; nét đẹp văn hóa đặc sắc của gia đình, thôn bản, làng xã trong cộng đồng các dân tộc thiểu số và miền núi; phản bác các luận điệu sai trái của các thể lực thù địch về công tác dân tộc bằng tiếng nước ngoài</t>
  </si>
  <si>
    <t xml:space="preserve">  Xây dựng Báo Dân tộc và Phát triển thành cơ quan truyền thông đủ năng lực đáp ứng yêu cầu về công tác dân tộc và thông tin tuyên truyền hiệu quả, kịp thời về Đề án </t>
  </si>
  <si>
    <t>Xây dựng Tạp chí Dân tộc điện tử;</t>
  </si>
  <si>
    <t xml:space="preserve"> Tuyên truyền, truyền thông, vận động Nhân dân vùng đồng bào dân tộc thiểu số và miền núi, biên giới tham gia tổ chức, triển khai thực hiện Đề án </t>
  </si>
  <si>
    <t>Tăng cường trách nhiệm của hệ thống chính trị và hoàn thiện cơ chế phối hợp giữa các đơn vị quân đội với các cơ quan khác trong công tác tuyên truyền, vận động nhân dân ở vùng đồng bào DTTS &amp; MN, biên giới</t>
  </si>
  <si>
    <t xml:space="preserve">Điều tra, khảo sát và tham khảo, rút kinh nghiệm công tác tuyên truyền, vận động nhân dân ở vùng đồng bào DTTS &amp; MN, biên giới </t>
  </si>
  <si>
    <t>Tổ chức triển khai thực hiện đa dạng, phù hợp, hiệu quả các hình thức tuyên truyền, vận động cho nhân dân ở vùng đồng bào DTTS &amp; MN, biên giới</t>
  </si>
  <si>
    <t>Tăng cường, nâng cao nguồn lực cho công tác tuyên truyền, vận động</t>
  </si>
  <si>
    <t>Tổ chức sơ kết, tổng kết, biểu dương khen thưởng</t>
  </si>
  <si>
    <t>Nội dung số 3: Tăng cường, nâng cao khả năng tiếp cận và thụ hưởng hoạt động trợ giúp pháp lý chất lượng cho vùng đồng bào dân tộc thiểu số và miền núi.</t>
  </si>
  <si>
    <t xml:space="preserve">Định kỳ tổ chức (2 năm/lần đối với cấp huyện và cấp tỉnh; 5 năm/lần đối với cấp Trung ương) các hoạt động biểu dương, tôn vinh, vinh danh đối với các điển hình tiên tiến (Già làng, trưởng bản, người có uy tín, cán bộ cốt cán; nhân sỹ, trí thức, doanh nhân, học sinh, sinh viên, thanh niên tiêu biểu người dân tộc thiểu số,...) trong vùng đồng bào dân tộc thiểu số và miền núi </t>
  </si>
  <si>
    <t xml:space="preserve"> Định kỳ tổ chức (2 năm/lần) các hoạt động biểu dương, tôn vinh, vinh danh đối với các điển hình tiên tiến (Già làng, trưởng bản, người có uy tín, cán bộ cốt cán; nhân sỹ, trí thức, doanh nhân, học sinh, sinh viên, thanh niên tiêu biểu người dân tộc thiểu số và các đối tượng khác) trong vùng đồng bào dân tộc thiểu số và miền núi</t>
  </si>
  <si>
    <t xml:space="preserve"> Định kỳ tổ chức (2 năm/lần đối với cấp huyện và cấp tỉnh; 5 năm/lần đối với cấp Trung ương) các hoạt động biểu dương, tôn vinh, vinh danh đối với các điển hình tiên tiến (Già làng, trưởng bản, người có uy tín, cán bộ cốt cán; nhân sỹ, trí thức, doanh nhân, học sinh, sinh viên, thanh niên tiêu biểu người dân tộc thiểu số và các đối tượng khác) trong vùng đồng bào dân tộc thiểu số và miền núi</t>
  </si>
  <si>
    <t>Suất quà</t>
  </si>
  <si>
    <t xml:space="preserve">Phổ biến, giáo dục pháp luật và tuyên truyền gồm các hoạt động:  </t>
  </si>
  <si>
    <t>Đang trùng nhiệm vụ với STP</t>
  </si>
  <si>
    <t>CHI TIẾT KINH PHÍ SỰ NGHIỆP TIỂU DỰ ÁN 3 - DỰ ÁN 10</t>
  </si>
  <si>
    <t>BIỂU TỔNG HỢP KINH PHÍ DỰ ÁN 6</t>
  </si>
  <si>
    <t>BẢO TỒN, PHÁT HUY GIÁ TRỊ VĂN HÓA TRUYỀN THỐNG TỐT ĐẸP CỦA CÁC DÂN TỘC THIỂU SỐ GẮN VỚI PHÁT TRIỂN DU LỊCH</t>
  </si>
  <si>
    <t>Phân bổ cho cấp tỉnh</t>
  </si>
  <si>
    <t>Phân bổ cho cấp huyện</t>
  </si>
  <si>
    <t>Biểu 6.1</t>
  </si>
  <si>
    <t>Biểu 9.2</t>
  </si>
  <si>
    <t>Chi tiết tại Biểu 10.3</t>
  </si>
  <si>
    <t>CHĂM SÓC SỨC KHỎE NHÂN DÂN, NÂNG CAO THỂ TRẠNG, TẦM VÓC NGƯỜI DÂN TỘC THIỂU SỐ; PHÒNG CHỐNG SUY DINH DƯỠNG TRẺ EM</t>
  </si>
  <si>
    <t>BIỂU TỔNG HỢP KINH PHÍ DỰ ÁN 7</t>
  </si>
  <si>
    <t>Biểu số 7</t>
  </si>
  <si>
    <t>3,1km</t>
  </si>
  <si>
    <t>Cải tạo, sửa chữa trạm y tế xã Bum Tở</t>
  </si>
  <si>
    <t>Cải tạo, sửa chữa trạm y tế xã Nậm Chà</t>
  </si>
  <si>
    <t>Cải tạo, sửa chữa trạm y tế xã Nậm Ban</t>
  </si>
  <si>
    <t>Cải tạo, sửa chữa trạm y tế xã Trung Chải</t>
  </si>
  <si>
    <t>Trạm y tế xã Bản Lang</t>
  </si>
  <si>
    <t>Cải tạo, sửa chữa trạm y tế xã Khoen On</t>
  </si>
  <si>
    <t>Cải tạo, sửa chữa trạm y tế xã Tủa Sín Chải</t>
  </si>
  <si>
    <t>Cải tạo, sửa chữa trạm y tế xã Pa Ủ</t>
  </si>
  <si>
    <t>huyện</t>
  </si>
  <si>
    <t>7=8+9</t>
  </si>
  <si>
    <t>Đường đi khu sản xuất từ bản Táng Ngá đi Huổi Só</t>
  </si>
  <si>
    <t>4km</t>
  </si>
  <si>
    <t>Đường đi khu sản xuất từ ngã 3 đến khu trồng quế tập trung</t>
  </si>
  <si>
    <t>Cầu treo dân sinh nhóm Dền Thàng bản Pa Cheo</t>
  </si>
  <si>
    <t>Đường giao thông từ bản Pa Cheo đến nhóm Dền Thàng</t>
  </si>
  <si>
    <t>6km</t>
  </si>
  <si>
    <t>Cứng hóa đường giao thông đến bản Nậm nghẹ</t>
  </si>
  <si>
    <t>Cứng hóa đường giao thông nội bản Nậm Pì xã Nậm Pì</t>
  </si>
  <si>
    <t>Cứng hóa đường từ bản Ma Sang đi Nậm Sập</t>
  </si>
  <si>
    <t>Cứng hóa đường nội bản Nậm Vời</t>
  </si>
  <si>
    <t>Cứng hóa đường đi khu sản xuất Cụm Nậm Chẻ, bản Hua Pảng</t>
  </si>
  <si>
    <t>2,1km</t>
  </si>
  <si>
    <t>Rãnh thoát nước bản Nậm Nó 1</t>
  </si>
  <si>
    <t>300 m</t>
  </si>
  <si>
    <t>Đường Ngõ Bản Phiêng Pẳng xã Bản Bo</t>
  </si>
  <si>
    <t>0,4km</t>
  </si>
  <si>
    <t>10ha</t>
  </si>
  <si>
    <t>Công trình nhà văn hóa bản Phiêng Pẳng xã Bản Bo</t>
  </si>
  <si>
    <t>120m2</t>
  </si>
  <si>
    <t>0,04 km</t>
  </si>
  <si>
    <t>Thủy lợi Đông Pao 2</t>
  </si>
  <si>
    <t>7 ha</t>
  </si>
  <si>
    <t>8 ha</t>
  </si>
  <si>
    <t>Nâng cấp đường trục + hệ thống thoát nước Bản Thẳm</t>
  </si>
  <si>
    <t>Xây dựng Kè bê tông nhà Văn hoá bản Đông Pao 2</t>
  </si>
  <si>
    <t>Tu sửa Mương thủy lợi Bản Thẳm</t>
  </si>
  <si>
    <t xml:space="preserve">Công trình thủy lợi qua suối Nậm Mu khe Huổi Chim bản Phiêng Pẳng </t>
  </si>
  <si>
    <t>Xây kè đá ngăn lũ bờ suối Nậm Mu bản Phiêng Pẳng</t>
  </si>
  <si>
    <t>Xây dựng mới nhà văn hoá và các công trình phụ trợ bản Bãi Trâu</t>
  </si>
  <si>
    <t>Thủy lợi Tỳ Sàng bản Đông Pao 2</t>
  </si>
  <si>
    <t>Thủy lợi Huổi ít bản Đông Pao 2</t>
  </si>
  <si>
    <t>Thủy lợi Huổi ít 2 bản Đông Pao 2</t>
  </si>
  <si>
    <t>Thủy lợi Nà Nong Luống Bản Thẳm</t>
  </si>
  <si>
    <t>Thủy Lợi Nậm Đeng bản Bãi Trâu</t>
  </si>
  <si>
    <t>Thủy lợi Sử Thàng, Phìn Chải</t>
  </si>
  <si>
    <t>Xây cầu bản BTCT qua suối bản Ma Sao Phìn cao, bản Thèn Thầu</t>
  </si>
  <si>
    <t>Đường ra khu sản xuất các bản Phan Chu Hoa, Miền Khan, Sáy San 1</t>
  </si>
  <si>
    <t>0,8km</t>
  </si>
  <si>
    <t>2ha</t>
  </si>
  <si>
    <t>13ha</t>
  </si>
  <si>
    <t>Đường nội đồng bản Đán Tuyển</t>
  </si>
  <si>
    <t>Nâng cấp sửa chữa rãnh thoát nước bên đường nội bản Pá Ngùa</t>
  </si>
  <si>
    <t>Nâng cấp đường nội đồng bản Pá Ngùa</t>
  </si>
  <si>
    <t>Nâng cấp Thủy lợi Hua Cưởm 1, Pá Ngùa</t>
  </si>
  <si>
    <t>54 hộ</t>
  </si>
  <si>
    <t>Cụm thủy lợi (Ná Co Khết – Tà Pả; Nậm Pán; Ná Náy bản Na Sái; Ná Uốn; Ná Lạp), xã Noong Hẻo</t>
  </si>
  <si>
    <t>Cầu treo Na Sái - Nậm Há, xã Noong Hẻo</t>
  </si>
  <si>
    <t>Chợ Vàng Ma Chải</t>
  </si>
  <si>
    <t>Chợ Sì Lở Lầu</t>
  </si>
  <si>
    <t>Chợ Dào San</t>
  </si>
  <si>
    <t>Chợ xã Nậm Cuổi</t>
  </si>
  <si>
    <t>xã Nậm Cuổi</t>
  </si>
  <si>
    <t>Chợ xã Ka Lăng</t>
  </si>
  <si>
    <t>Điểm Trường bản Nậm Cười - Trường MN xã Hua Bum</t>
  </si>
  <si>
    <t>Điểm Trường bản Nậm Cười - PTDTBT TH xã Hua Bum</t>
  </si>
  <si>
    <t>Chợ xã Nậm Ban</t>
  </si>
  <si>
    <t>Chợ xã Tà Mung</t>
  </si>
  <si>
    <t>TTX</t>
  </si>
  <si>
    <t>IX</t>
  </si>
  <si>
    <t>Tổng cộng (A+B)</t>
  </si>
  <si>
    <t>Xã Sin Suối Hồ và xã Lản Nhì Thàng</t>
  </si>
  <si>
    <t xml:space="preserve">Nâng cấp, cải tạo các công trình đường GTNT: Tỉnh lộ 132 đến bản Tả Lèng Sung và đường từ bản Bản Lang 2 - khu sản xuất Vàng Ý Chí - bản Sàng Giang, xã Bản Lang </t>
  </si>
  <si>
    <t>Sửa chữa, nâng cấp cụm công trình thủy lợi xã Tung Qua Lìn</t>
  </si>
  <si>
    <t>Sửa chữa, nâng cấp cụm công trình thủy lợi xã Nậm Xe</t>
  </si>
  <si>
    <t>Sửa chữa, nâng cấp cụm công trình thủy lợi  xã Sin Suối Hồ</t>
  </si>
  <si>
    <t>Sửa chữa, nâng cấp cụm công trình thủy lợi xã Mồ Sì San</t>
  </si>
  <si>
    <t>Sửa chữa, nâng cấp cụm công trình thủy lợi xã Pa Vây Sử</t>
  </si>
  <si>
    <t>Sửa chữa, nâng cấp cụm công trình thủy lợi xã Hoang Thèn</t>
  </si>
  <si>
    <t>Nâng cấp, cải tạo các công trình đường GTNT: Trung tâm chợ - bản Phố Vây và đường từ bản Xin Chải đến bản Phố Vây, xã Sì Lở Lầu</t>
  </si>
  <si>
    <t>Ban QLDA đầu tư xây dựng các công trình Dân dụng và Công nghiệp</t>
  </si>
  <si>
    <t>Đường giao thông đi khu sản xuất bản Pá Sập, xã Nậm Pì</t>
  </si>
  <si>
    <t>3km</t>
  </si>
  <si>
    <t>Nâng cấp, mở rộng nước sinh hoạt bản Lồng Ngài xã Nậm Hàng</t>
  </si>
  <si>
    <t>Nâng cấp trục đường liên bản Bãi Trâu - Nà Khum, đường ngõ bản, đường nội đồng, rãnh thoát nước bản Bãi Trâu</t>
  </si>
  <si>
    <t>3,6km</t>
  </si>
  <si>
    <t>Tu sửa đường nội</t>
  </si>
  <si>
    <t>3,5km</t>
  </si>
  <si>
    <t>Đường đi vào khu chuồng trại tập trung, Đường Vào khu sản xuất đồi chè, Đường vào khu sản xuất khu Bá khoa, đường nội đồng bản Thẳm</t>
  </si>
  <si>
    <t>Đường ngõ bản, đường nội đồng, hệ thống rãnh thoát nước bản Đông Pao2</t>
  </si>
  <si>
    <t>Đường trục bản Nà Can; bản Phiêng Hoi; Đường ngõ bản các bản xã Bản Bo (Hua Sẳng; Nậm Phát; Cò Nọt Mông; Nà Khuy; Phiêng Tiên; Cốc Phung; Nà Can); Đường nội đồng các bản xã Bản Bo (Hua Sẳng; Nậm Phát; Cò Nọt Mông; Nà Khuy: Phiêng Tiên; Cốc Phung; Nà Can)</t>
  </si>
  <si>
    <t>Đường liên bản San Tra Mán - Bản Phìn Ngan Xin Chải; Đường nội đồng, ngõ bản các bản xã Tả Lèng</t>
  </si>
  <si>
    <t>Đường giao thông liên bản Noong Luống-Nà San xã Bình Lư; đường trục bản, ngõ bản các bản (Nà Cà, Noong Luống, Nà San); Đường giao thông nội đồng các bản (Nà Đon, Nà Phát)</t>
  </si>
  <si>
    <t>Đường liên bản bản Chin Chu Chải - Sáy San 3</t>
  </si>
  <si>
    <t>Đường liên bản Nà Tăm đến bản Nà Vàn, Phiêng Giằng đến Coóc Cuông; Đường ngõ bản các bản xã Nà Tăm; Đường trục bản Nà Luồng, bản Nà Hiềng</t>
  </si>
  <si>
    <t>Đường trục các bản Giang Ma, bản Xin Chải, bản Sử Thàng; Đường ngõ bản các bản; Đường nội đồng các bản xã Giang Ma</t>
  </si>
  <si>
    <t>Đường trục bản Tẩn Phủ Nhiêu, Suối Thầu; Đường nội đồng bản Nà Bỏ, Cốc Pa</t>
  </si>
  <si>
    <t>Đường nội đồng các bản xã Thèn Sin (bản Sin Câu; bản Pan Khèo); đường ra khu sản xuất bản Na Đông, Đông Phong, Thèn Sin 1,2</t>
  </si>
  <si>
    <t xml:space="preserve">Nâng cấp các tuyến đường trục bản Huổi Ke, đường nội đồng các bản Huổi Ke, Tân Hợp, Đường nội đồng vùng chè Hua Bó, bản Tân Hợp </t>
  </si>
  <si>
    <t>Nâng cấp các tuyến đường nội đồng bản 46, Chu Va 6</t>
  </si>
  <si>
    <t>Sở Y tế (Sửa chữa, bổ sung trang thiết bị y tế)</t>
  </si>
  <si>
    <t>Sửa chữa, mua sắm bổ sung trang thiết bị y tế</t>
  </si>
  <si>
    <t>TTYT huyện Mường Tè</t>
  </si>
  <si>
    <t>Trạm Y tế Bum Tở</t>
  </si>
  <si>
    <t>Trạm Y tế Pa Ủ</t>
  </si>
  <si>
    <t>TTYT huyện Than Uyên</t>
  </si>
  <si>
    <t>Trạm Y tế Khoen On</t>
  </si>
  <si>
    <t>TTYT huyện Nậm Nhùn</t>
  </si>
  <si>
    <t>Trạm Y tế xã Nậm Ban</t>
  </si>
  <si>
    <t>Trạm Y tế xã Trung Chải</t>
  </si>
  <si>
    <t>Trạm Y tế xã Nậm Chà</t>
  </si>
  <si>
    <t>TTYT huyện Sìn Hồ</t>
  </si>
  <si>
    <t>Trạm Y tế xã Tả Ngảo</t>
  </si>
  <si>
    <t>Trạm Y tế xã Nậm Cuổi</t>
  </si>
  <si>
    <t>Trạm Y tế xã Ma Quai</t>
  </si>
  <si>
    <t>Trạm Y tế xã Tủa Sín Chải</t>
  </si>
  <si>
    <t>Mua sắm mới trang thiết bị y tế (Cho trạm đề nghị đầu tư mới)</t>
  </si>
  <si>
    <t>TTYT huyện Phong Thổ</t>
  </si>
  <si>
    <t>Trạm Y tế xã Bản Lang</t>
  </si>
  <si>
    <t>Trạm Y tế xã Nậm Pì</t>
  </si>
  <si>
    <t>Duy tu, bảo dưỡng công trình cơ sở hạ tầng trên địa bàn đặc biệt khó khăn</t>
  </si>
  <si>
    <t>Nâng cấp, cải tạo các công trình đường GTNT: Từ bản Pà Chải đến Hoàng Liên Sơn 1 và đường từ bản Van Hồ 2 đến bản Nậm Xe, xã Nậm Xe</t>
  </si>
  <si>
    <t>Nâng cấp, cải tạo các công trình đường GTNT: Bản Can Hồ, xã Sin Suối Hồ và đường đi bản Séo Xiên Pho (nhóm 2), xã Lản Nhì Thàng</t>
  </si>
  <si>
    <t>Nâng cấp, cải tạo các công trình đường GTNT: Bản Khoa San; đường ra khu sản xuất bản Nhóm 2, xã Vàng Ma Chải</t>
  </si>
  <si>
    <t>ĐẦU TƯ CÓ SỞ HẠ TẦNG THIẾT YẾU, PHỤC VỤ SẢN XUẤT, ĐỜI SỐNG TRONG VÙNG ĐỒNG BÀO DÂN TỘC THIỂU SỐ VÀ MIỀN NÚI (VỐN SỰ NGHIỆP)</t>
  </si>
  <si>
    <t>152</t>
  </si>
  <si>
    <t>0,2</t>
  </si>
  <si>
    <t>0,07</t>
  </si>
  <si>
    <t>150</t>
  </si>
  <si>
    <t>0,5</t>
  </si>
  <si>
    <t>0,19</t>
  </si>
  <si>
    <t>4,6</t>
  </si>
  <si>
    <t>26</t>
  </si>
  <si>
    <t>754</t>
  </si>
  <si>
    <t>0,28</t>
  </si>
  <si>
    <t>100</t>
  </si>
  <si>
    <t>0,11</t>
  </si>
  <si>
    <t>+ Chi Biên soạn tài liệu</t>
  </si>
  <si>
    <t>+ Chi đào tạo, tập huấn, bồi dưỡng nâng cao năng lực (184 lớp x 46.000.000đ/lớp)</t>
  </si>
  <si>
    <t>+ Chi đi thăm quan học tập kinh nghiệm (4 chuyến x 580.240.000đ/chuyến)</t>
  </si>
  <si>
    <t>+ Chi biên soạn tài liệu</t>
  </si>
  <si>
    <t>+) Tiền công viết tài liệu:</t>
  </si>
  <si>
    <t>+) Tiền công biên tập tổng thể</t>
  </si>
  <si>
    <t>+) Tiền công thẩm định và nhận xét</t>
  </si>
  <si>
    <t>+  Đào tạo, tập huấn, bồi dưỡng nâng cao năng lực</t>
  </si>
  <si>
    <t>+) Chi thù lao, bồi dưỡng</t>
  </si>
  <si>
    <t>Báo cáo viên</t>
  </si>
  <si>
    <t>Mức chi thù lao</t>
  </si>
  <si>
    <t>Phụ cấp tiền ăn</t>
  </si>
  <si>
    <t>Thuê phòng nghỉ</t>
  </si>
  <si>
    <t>Tiền chi phí đi lại</t>
  </si>
  <si>
    <t>+) Trợ giảng:</t>
  </si>
  <si>
    <t xml:space="preserve">Phụ cấp tiền ăn </t>
  </si>
  <si>
    <t>+) Tài liệu + bút, vở</t>
  </si>
  <si>
    <t>+) Hỗ trợ tiền ăn: 3 ngày x 50 người = 150 người</t>
  </si>
  <si>
    <t>+) Hỗ trợ đi lại: 2 lượt/8 người</t>
  </si>
  <si>
    <t>+) Nước uống:  3 ngày x 50 người = 150 người</t>
  </si>
  <si>
    <t>+) Thuê hội trường</t>
  </si>
  <si>
    <t>+) Chi phí thiết bị giảng dạy (Giấy A0, bút viết bảng)</t>
  </si>
  <si>
    <t>+) Chi tổ chức cho học viên đi thực tế</t>
  </si>
  <si>
    <t xml:space="preserve">Chi tiền thuê xe </t>
  </si>
  <si>
    <t>Chi tiền ăn cho học viên: 50 người x 1 ngày = 50 người</t>
  </si>
  <si>
    <t>Nước uống : 50 người x 1 ngày = 50 người</t>
  </si>
  <si>
    <t>+ Chi đi thăm quan học tập kinh nghiệm</t>
  </si>
  <si>
    <t>+) Tiền thuê xe: 13 ngày x 2 xe = 16 ngày</t>
  </si>
  <si>
    <t xml:space="preserve">+) Tiền ăn: 13 ngày x 58 người = 754 ngày                                              </t>
  </si>
  <si>
    <t xml:space="preserve">+) Tiền nước uống: 13 ngày x 58 người = 754 ngày                 </t>
  </si>
  <si>
    <t>+) Thuê phòng nghỉ : 13 tối x 58 người = 754 tối</t>
  </si>
  <si>
    <t>+) Chi phí khác (Thuốc y tế)</t>
  </si>
  <si>
    <t>+) Chi phí đưa, đón đại biểu</t>
  </si>
  <si>
    <t>Hỗ trợ đi lại: 2 lượt x 50 người = 100 lượt</t>
  </si>
  <si>
    <t xml:space="preserve">Hỗ trợ tiền ăn: 50 người x 2 ngày = 100 ngày                                                     </t>
  </si>
  <si>
    <t>Thuê phòng nghỉ : 2 tối x 50 người = 100 tối</t>
  </si>
  <si>
    <t>Hội Nông dân tỉnh</t>
  </si>
  <si>
    <t>Hỗ trợ xây dựng mô hình, tổ hợp tác liên kết sản xuất  phù hợp với phong tục, tập quán, nhu cầu của cộng đồng.</t>
  </si>
  <si>
    <t>mô hình</t>
  </si>
  <si>
    <t xml:space="preserve">Tổ chức các hội nghị tuyên truyền, vận động nâng cao nhận thức, ý thức tự giác chấp hành luật về tảo hôn và HNCHTcho người dân trong vùng đồng bào DTTS (53 hội nghị/53 xã/năm kinh/4năm, kinh phí 14triệu/hội nghị/60 người) </t>
  </si>
  <si>
    <t>Hoạt động</t>
  </si>
  <si>
    <t xml:space="preserve">Tổ chức các hội nghị tập huấn, bồi dưỡng kiến thức pháp luật; nâng cao kỹ năng tuyên truyền, vận động liên quan đến tảo hôn và HNCHT cho đội ngũ cán bộ tham gia thực hiện đề án (53 hội nghị/53 xã/năm/4 năm kinh phí 10triệu/hội nghị/45 người) </t>
  </si>
  <si>
    <t>Kiểm tra, đánh giá, việc thực hiện Mô hình, Dự án và thực hiện các chính sách.</t>
  </si>
  <si>
    <t xml:space="preserve"> Sơ kết việc thực hiện Mô hình, Dự án và thực hiện các chính sách</t>
  </si>
  <si>
    <t>Tổng kết việc thực hiện Mô hình, Dự án và thực hiện các chính sách</t>
  </si>
  <si>
    <t xml:space="preserve"> +</t>
  </si>
  <si>
    <t>Hợp đồng in</t>
  </si>
  <si>
    <t>Biên soạn, biên tập, thẩm định: 1 quyển x 4 năm</t>
  </si>
  <si>
    <t>Chủ đề: 6 chủ đề/năm x 4 năm (Mỗi xã 12 chuyên đề/1 năm, mỗi chuyên đề 10 trang)</t>
  </si>
  <si>
    <t>Cấp huyện: Làm điểm 2 huyện/1 năm x 4 năm</t>
  </si>
  <si>
    <t>Cấp xã: Mỗi huyện làm điểm 1 xã. Tổng 3xã/3huyện/năm x 4 năm</t>
  </si>
  <si>
    <t>cuộc</t>
  </si>
  <si>
    <t>Hội nghị tuyên truyền hạn chế tình trạng tảo hôn và hôn nhân cận huyết thống; tập huấn về kiến thức, kỹ năng  truyền thông, vận động, tư vấn pháp luật liên quan về hôn nhân và gia đìnhc ho đồng bào DTTS, thanh thiếu niên trên địa bàn</t>
  </si>
  <si>
    <t>Tổ chức các hoạt động can thiệp giảm tình trạng tảo hôn, kết hôn cận huyết thống tuyến huyện (hội nghị, hội thảo)</t>
  </si>
  <si>
    <t>Hội nghị chuyên đề tại xã</t>
  </si>
  <si>
    <t>Tổ chức các hoạt động truyền thông vận động các chính sách dân số, hôn nhân và gia đình</t>
  </si>
  <si>
    <t>Xã</t>
  </si>
  <si>
    <t>Tổ chức hội nghị tập huấn</t>
  </si>
  <si>
    <t>01 hội nghị x 1,5 triệu x 40 người x 4 năm</t>
  </si>
  <si>
    <t>Chuẩn ngày 10/5/2022</t>
  </si>
  <si>
    <t>Vốn sự nghiệp NSTW</t>
  </si>
  <si>
    <t>Vốn sự nghiệp NSĐP</t>
  </si>
  <si>
    <t>Cấp tỉnh thực hiện (Sở Y tế)</t>
  </si>
  <si>
    <t>Đào tạo nhân lực cho tuyến y tế các tỉnh khó chăm sóc sức khỏe ban đầu theo nguyên lý y học gia đình để quản lý các bệnh không lây nhiễm tại cộng đồng như tăng huyết áp, đái tháo đường và thực hiện lập hồ sơ quản lý sức khỏe cho người dân. Các hoạt động của Dự án thuộc chương trình mục tiêu quốc gia dân số sẽ giúp các địa phương triển khai thành công hoạt động này</t>
  </si>
  <si>
    <t>Tuyên truyền vận động thay đổi và nâng cao nhận thức, thái độ, hành vi của cộng đồng người dân tộc thiểu số trong việc thực hành sàng lọc bệnh thalassemia</t>
  </si>
  <si>
    <t>Tập huấn nâng cao chất lượng dịch vụ y tế trong việc chẩn đoán, điều trị, chăm sóc và tư vấn phòng bệnh, giảm thiểu các biến chứng của cơ sở y tế vùng đồng bào dân tộc thiểu số sinh sống</t>
  </si>
  <si>
    <t>Tổ chức các lớp tập huấn về Nâng cao chất lượng thẩm định tử vong mẹ, tử vong sơ sinh</t>
  </si>
  <si>
    <t>Tổ chức các lớp tập huấn về Nâng cao năng lực truyền thông cho cán bộ các các cấp bao gồm cán bộ y tế và ban, ngành, đoàn thể cấp cơ sở về công tác chăm sóc sức khỏe bà mẹ - Trẻ em</t>
  </si>
  <si>
    <t>CNSH Ngam Ca</t>
  </si>
  <si>
    <t>Cấp huyện thực hiện (Đầu tư trường PTDTBT)</t>
  </si>
  <si>
    <t>Nội dung 1: Bồi dưỡng kiến thức dân tộc</t>
  </si>
  <si>
    <t>Nội dung 2: Đào tạo dự bị đại học, đại học và sau đại học</t>
  </si>
  <si>
    <t>*</t>
  </si>
  <si>
    <t xml:space="preserve"> Đối với các hộ dân tộc thiểu số có khó khăn đặc thù: (Các dân tộc: Cống, Mảng)</t>
  </si>
  <si>
    <t xml:space="preserve"> Đối với các hộ dân tộc thiểu số có khó khăn đặc thù: (Các dân tộc: Cống, Mảng, Si La)</t>
  </si>
  <si>
    <t>Hỗ trợ bảo vệ và phát triển các dân tộc thiểu số có khó khăn đặc thù</t>
  </si>
  <si>
    <t xml:space="preserve">Đối với bà mẹ mang thai: tổ chức hoạt động tư vấn dinh dưỡng, hỗ trợ dinh dưỡng cho bà mẹ trước, trong và sau sinh; khám, quản lý thai nghén và chăm sóc y tế đối với phụ nữ mang thai, hỗ trợ phụ nữ mang thai được tầm soát các loại bệnh tật bẩm sinh phổ biến; hỗ trợ sinh con đúng chính sách dân số và phương tiện đi lại cho bà mẹ mang thai. </t>
  </si>
  <si>
    <t xml:space="preserve">         + Tổ chức hoạt động tư vấn dinh dưỡng tối thiểu 03 lần/thai kỳ</t>
  </si>
  <si>
    <t>Lần tư vấn</t>
  </si>
  <si>
    <t xml:space="preserve">         + Hỗ trợ cán bộ kỹ thuật khám, theo dõi và quản lý bà mẹ mang thai cho tới khi sinh con, tối đa không quá 04 lần đối với một thai phụ</t>
  </si>
  <si>
    <t xml:space="preserve">         + Hỗ trợ dinh dưỡng cho bà mẹ trước, trong và sau sinh</t>
  </si>
  <si>
    <t>Bà mẹ/thai kỳ</t>
  </si>
  <si>
    <t xml:space="preserve">         + Hỗ trợ phụ nữ mang thai thực hiện tầm soát, chẩn đoán một số bệnh tật bẩm sinh phổ biến theo Danh mục bệnh tật bẩm sinh phổ biến do Bộ Y tế quy định</t>
  </si>
  <si>
    <t>Bà mẹ</t>
  </si>
  <si>
    <t xml:space="preserve">         + Hỗ trợ chi phí đi lại cho phụ nữ mang thai đến cơ sở y tế khám thai và thực hiện tầm soát, chẩn đoán một số bệnh tật bẩm sinh phổ biến</t>
  </si>
  <si>
    <t xml:space="preserve">         + Hỗ trợ cho phụ nữ dân tộc thiểu số có khó khăn đặc thù sinh con đúng chính sách dân số</t>
  </si>
  <si>
    <t xml:space="preserve">Đối với trẻ em dưới 05 tuổi: hỗ trợ trẻ sơ sinh được tầm soát các loại bệnh bẩm sinh phổ biến; điều trị, cung cấp bổ sung dinh dưỡng cho trẻ em dưới 5 tuổi; hỗ trợ đảm bảo bữa ăn dinh dưỡng công thức (cơm/ cháo dĩnh dưỡng công thức ăn liền) cân đối hợp lý và sữa học đường cho trẻ tại các cơ sở giáo dục mầm non công lập. </t>
  </si>
  <si>
    <t xml:space="preserve">         + Hỗ trợ trẻ sơ sinh thực hiện tầm soát, chẩn đoán, điều trị các loại bệnh bẩm sinh phổ biến theo Danh mục bệnh tật bẩm sinh phổ biến do Bộ Y tế quy định. Mức chi theo giá dịch vụ khám bệnh, chữa bệnh tại các cơ sở y tế công lập do cấp có thẩm quyền quy định tại thời điểm thực hiện dịch vụ;</t>
  </si>
  <si>
    <t xml:space="preserve">         + Hỗ trợ 01 lần chi phí đi lại cho trẻ đến cơ sở y tế thực hiện tầm soát các loại bệnh tật bẩm sinh</t>
  </si>
  <si>
    <t xml:space="preserve">         +  Hỗ trợ điều trị suy dinh dưỡng cho trẻ bị suy dinh dưỡng cấp tính nặng</t>
  </si>
  <si>
    <t xml:space="preserve">         +  Hỗ trợ đảm bảo bữa ăn dinh dưỡng cân đối hợp lý cho trẻ tại các cơ sở giáo dục mầm non công lập</t>
  </si>
  <si>
    <t>Tháng/trẻ</t>
  </si>
  <si>
    <t>Xây dựng mô hình nâng cao chất lượng dân số tại thôn, bản tập trung các dân tộc thiểu số có khó khăn đặc thù.</t>
  </si>
  <si>
    <t xml:space="preserve">         +   Hỗ trợ xây dựng mô hình, nâng cao chất lượng dân số tại thôn, bản phù hợp với phong tục, tập quán, nhu cầu của cộng đồng được cấp có thẩm quyền phê duyệt</t>
  </si>
  <si>
    <t>Mô hình/Giai đoạn</t>
  </si>
  <si>
    <t xml:space="preserve">         +  Chi xây dựng và quản lý mô hình: mức tối đa 5% tổng dự toán kinh phí thực hiện mô hình.</t>
  </si>
  <si>
    <t>200</t>
  </si>
  <si>
    <t>24</t>
  </si>
  <si>
    <t>1508</t>
  </si>
  <si>
    <t>780</t>
  </si>
  <si>
    <t>Định kỳ tổ chức (2 năm/lần đối với cấp huyện và cấp tỉnh; 5 năm/lần đối với cấp Trung ương) các hoạt động biểu dương, tôn vinh, vinh danh đối với các điển hình tiên tiến (Già làng, trưởng bản, người có uy tín, cán bộ cốt cán; nhân sỹ, trí thức, doanh nhân, học sinh, sinh viên, thanh niên tiêu biểu người dân tộc thiểu số và các đối tượng khác) trong vùng đồng bào dân tộc thiểu số và miền núi;</t>
  </si>
  <si>
    <t>Tổ chức các hội nghị, hội thảo, hoạt động giao lưu, học tập kinh nghiệm, gặp mặt, tọa đàm, tặng quà, biểu dương, tôn vinh điển hình tiên tiến trên một số lĩnh vực của đời sống xã hội theo khu vực, vùng miền (định kỳ 3 năm/lần tổ chức hoạt động giao lưu, học tập kinh nghiệm theo khu vực, vùng miền: miền núi phía Bắc, Duyên hải miền trung, Tây Nguyên, Tây Nam bộ, khu vực biên giới,...)</t>
  </si>
  <si>
    <t xml:space="preserve">Hợp đồng in: 4.780 quyển x 4 năm </t>
  </si>
  <si>
    <t>Thẩm định sở thông tin truyền thông: 1 quyển x 4 năm</t>
  </si>
  <si>
    <t>Tin nhắn</t>
  </si>
  <si>
    <t>Pha Mu</t>
  </si>
  <si>
    <t>Tà Mung</t>
  </si>
  <si>
    <t>Giang Ma</t>
  </si>
  <si>
    <t>Nà Tăm</t>
  </si>
  <si>
    <t>Sơn Bình</t>
  </si>
  <si>
    <t>Tả Lèng</t>
  </si>
  <si>
    <t>Bản Lang</t>
  </si>
  <si>
    <t>Hoang Thèn</t>
  </si>
  <si>
    <t>Mồ Sì San</t>
  </si>
  <si>
    <t>Mù Sang</t>
  </si>
  <si>
    <t>Nậm Xe</t>
  </si>
  <si>
    <t>Pa Vây Sử</t>
  </si>
  <si>
    <t>Sin Súi Hồ</t>
  </si>
  <si>
    <t>Tung Qua Lìn</t>
  </si>
  <si>
    <t>Vàng Ma Chải</t>
  </si>
  <si>
    <t>Làng Mô</t>
  </si>
  <si>
    <t>Ma Quai</t>
  </si>
  <si>
    <t>Nậm Cha</t>
  </si>
  <si>
    <t>Noong Hẻo</t>
  </si>
  <si>
    <t>Pa Khóa</t>
  </si>
  <si>
    <t>Pa Tần</t>
  </si>
  <si>
    <t>Sà Dề Phìn</t>
  </si>
  <si>
    <t>Tủa Sín Chải</t>
  </si>
  <si>
    <t>Kan Hồ</t>
  </si>
  <si>
    <t xml:space="preserve">Mở lớp tập huấn kiến thưc  già làng, trưởng bản  người có uy tín cộng đồng  tại các xã </t>
  </si>
  <si>
    <t>Tổng số  gồm 80 xã , mỗi lớp tập huấn chia theo cụm gồm 5 xã , mỗi  xã 12 trưởng bản. Như vậy tổ chức 16 hội nghị tập huân, mỗi hôi nghị 60 người già làng, trưởng bản đều là đối tượng không hưởng lương từ ngân sách nhà nước, mồi lớp tập huấn 2 ngày</t>
  </si>
  <si>
    <t>Kinh phí cho người thực hiện: gồm 2 người ( 01  báo cáo viên, 01 người chuẩn bị hỗ trợ) là người trung tâm trợ giúp pháp lý  theo chế độ công tác phí, chế độ chi tiêu hội nghị  tại thông tư 40/2017/TT-BTC</t>
  </si>
  <si>
    <t>Dự toán chi cho một lớp, cụ thể như sau:</t>
  </si>
  <si>
    <t xml:space="preserve">        + Tiền công tác phí cho người thực hiện: Phụ cấp công  tác phí 02 người x 03 ngày x 200.000 đ/ ngày  = 1200.000 đồng/ lớp x 10 lớp </t>
  </si>
  <si>
    <t xml:space="preserve">        + Tiền đi lại cho người  thực hiện: 2 người x 80 km x 6000đ/1 km ( tương ứng 0.2lit xăng / 1km) =960.000 đông/ lớp x 10 lớp  </t>
  </si>
  <si>
    <t xml:space="preserve">        + Tiền thuê phòng nghỉ  người thực hiện: 250.000đ/ phòng x 2 phòng x 2 tối = 1000.000 đồng x 10 lớp </t>
  </si>
  <si>
    <t xml:space="preserve">        + Hỗ trợ  tiền ăn cho đại biểu là khách mời không hưởng lương từ ngân sách : 60 người x 100.000đ/ ngày   x 02 ngày / lớp x 10 lớp /năm </t>
  </si>
  <si>
    <t xml:space="preserve">        + Chi tiền nước uống, giải khát : 10.000 đ/ người x 60 người / lớp x 10 lớp </t>
  </si>
  <si>
    <t xml:space="preserve">        + Chi tiền thuê hôi trường , tăng âm loa đài khánh tiết: 3000.000 đồng/ ngày x 2 ngày / lớp x 10 lớp </t>
  </si>
  <si>
    <t xml:space="preserve">        + Chi hỗ trợ tiền đi lại cho đại biểu cả đi lần  về từ điểm bản đến hôi nghị tập huấn theo mức bình quân : 30km x 01 người x 0.2 lít xăng x 30.000đ/ lít x 50 người / lớp x 10 lớp </t>
  </si>
  <si>
    <t xml:space="preserve">        + Chi tiền sao chup tài liệu: 60 bộ/ lớp x 25.000đ/ bộ x 10 lớp </t>
  </si>
  <si>
    <t xml:space="preserve">        +  Chi khác: tiền thuốc, tiền phục vụ dọn dẹp : 500.000đ/ hội nghị x 10 lớp </t>
  </si>
  <si>
    <t xml:space="preserve">        + Chi tiền báo cáo viên: 3 buổi / lớp x 500.000đ / buỗi 10 lớp</t>
  </si>
  <si>
    <t xml:space="preserve">        +  Chi tiền soạn bài nội dung   Điểm c khoản 1 điều 4 Thông tư 123/2009/TT- BTC: 70.000đ/ trang x 20 trang = 1400.000 đ ( viết 1 bài giảng  10 lớp) </t>
  </si>
  <si>
    <t>Thực hiện truyền thông pháp luật về trợ giúp pháp lý  thực hiện theo thông tư 14/2014/TTLT/ TBC- BTP ngày 27/01/2014</t>
  </si>
  <si>
    <t>Xã</t>
  </si>
  <si>
    <t>Gồm 60 xã  mỗi xã 1 đợt gồm 2 người thực hiện 3 ngày  tại các điểm bản ( mỗi bản 50 đến 60 người dân)</t>
  </si>
  <si>
    <t>Dự toán chi cho một xã, cụ thể như sau:</t>
  </si>
  <si>
    <t xml:space="preserve">        + Tiền giảng bài hội nghị truyền thông : 02 buổi / đợt /01 xã  x 300.000 đ/ buổi x 60 xã </t>
  </si>
  <si>
    <t xml:space="preserve">        + Chi tiền nước uống : 10.000 đ/ người x 50 người / ngày x 60 xã </t>
  </si>
  <si>
    <t xml:space="preserve">        + Tiền  phụ cấp công tác phí cho người thưc hiện  truyền thông : 02 người x 3 ngày / đợt / xã x 200.000đ/ ngày  60 xã </t>
  </si>
  <si>
    <t xml:space="preserve">        + Khoán tiền thuê phòng nghỉ: 02 người x 2 tối x 150.00 đ / tối  / đợt x 80 xã </t>
  </si>
  <si>
    <t xml:space="preserve">        + Tiền đi lại cho người thưc hiện tính bình quân 150km từ trung tâm đến các điêm bản x 0.2lit xăng x 30.000 đ/ lít x 60 xã </t>
  </si>
  <si>
    <t xml:space="preserve">        + Chi thuê dọn dẹp hội trường và khánh tiết : 500.000đ/ 01 xã x 60 xã </t>
  </si>
  <si>
    <t>In ấn tờ gấp pháp luật phát miễn phí cho các xã , các thôn bản</t>
  </si>
  <si>
    <t xml:space="preserve">Khổ giấy A4  3 gấp chất liệu giấy  Couche - Màu in: 4 màu / 2 mặt - Gia công: Bế gân gấp, xén thành phẩm - Đóng gói: Thùng carton </t>
  </si>
  <si>
    <t xml:space="preserve">Tiền biên soạn, biên tập và thẩm định: 1000.000 đông  theo thông tư 14/2014 Bộ tư pháp </t>
  </si>
  <si>
    <t>Tiền in ấn : số lượng 80 xã x 1000 tờ/ xã x 5 năm =   400.000 tờ</t>
  </si>
  <si>
    <t xml:space="preserve"> Đăng tin bài trên đài truyền hình tỉnh lai Châu: Hai  tuần 1 tin thời lượng 3 phút x 900.000đ/ phút x12 tin / năm </t>
  </si>
  <si>
    <t xml:space="preserve">Hỗ trợ, tạo điều kiện về vật chất, kịp thời động viên và có biện pháp bảo vệ phù hợp trong công tác vận động, phát huy vai trò của người có uy tín trên các lĩnh vực của đời sống xã hội </t>
  </si>
  <si>
    <t>Tổ chức hội nghị cung cấp thông tin</t>
  </si>
  <si>
    <t>Hội nghị tuyên truyền</t>
  </si>
  <si>
    <t>Sở Thông tin và Truyền thông</t>
  </si>
  <si>
    <t>Hỗ trợ thiết lập các điểm hỗ trợ đồng bào DTTS ứng dụng CNTT tại UBND cấp xã để phục vụ phát triển kinh tế xã hội và đảm bảo an ninh trật tự (54 xã vùng đồng bào dân tộc thiểu số ĐBKK)</t>
  </si>
  <si>
    <t>Thiết lập cơ sở hạ tầng CNTT cho văn phòng UBND xã</t>
  </si>
  <si>
    <t xml:space="preserve">       + Máy vi tính</t>
  </si>
  <si>
    <t xml:space="preserve">       +  Máy in</t>
  </si>
  <si>
    <t xml:space="preserve">       + Máy photocopy</t>
  </si>
  <si>
    <t xml:space="preserve">       + Thiết bị USB 3G/4G bao gồm cước 5 năm sử dụng</t>
  </si>
  <si>
    <t xml:space="preserve">       + Trang thiết bị khác + phụ kiện</t>
  </si>
  <si>
    <t>Thiết lập điểm truy cập ​internet công cộng cho đồng bào DTTS</t>
  </si>
  <si>
    <t xml:space="preserve">       + Máy vi tính;</t>
  </si>
  <si>
    <t xml:space="preserve">       + Máy in;</t>
  </si>
  <si>
    <t xml:space="preserve">       + Thiết bị mạng;</t>
  </si>
  <si>
    <t xml:space="preserve">       + Đường truyền Internet hoặc USB 3G/4G đã bao gồm cước 5 năm sử dụng;</t>
  </si>
  <si>
    <t xml:space="preserve">       + Vật tư thiết lập mạng, bàn ghế văn phòng;..</t>
  </si>
  <si>
    <t>Cơ cấu vốn</t>
  </si>
  <si>
    <t>Nhóm 1: Cơ quan thường trực (Ban Dân tộc)</t>
  </si>
  <si>
    <t>Nhóm 2: Ủy ban MTTQ tỉnh</t>
  </si>
  <si>
    <t>Cấp tỉnh thực hiện (Sở Thông tin và Truyền thông)</t>
  </si>
  <si>
    <t>Thiết bị</t>
  </si>
  <si>
    <t xml:space="preserve">Ban Dân tộc </t>
  </si>
  <si>
    <t>Ủy ban Mặt trận Tổ quốc Việt Nam</t>
  </si>
  <si>
    <t>Sở Giáo dục và Đào tạo</t>
  </si>
  <si>
    <t>Sở Văn hóa, Thể thao và Du lịch</t>
  </si>
  <si>
    <t>Hội liên hiệp Phụ nữ tỉnh</t>
  </si>
  <si>
    <t>Sở Tài chính</t>
  </si>
  <si>
    <t>Sở Kế hoạch và Đầu tư</t>
  </si>
  <si>
    <t>Liên minh Hợp tác xã</t>
  </si>
  <si>
    <t>CHI TIẾT VỐN ĐẦU TƯ TIỂU DỰ ÁN 2 - DỰ ÁN 10</t>
  </si>
  <si>
    <t xml:space="preserve">Tổ chức hội nghị tuyên truyền trực tiếp vận động nhân dân vùng đồng bào dân tộc thiểu số và miền núi nâng cao nhân thức cho người dân tộc thiểu số </t>
  </si>
  <si>
    <t xml:space="preserve">Tập huấn nâng cao năng lực, hướng dẫn vận hành và quản lý Tổ truyền thông theo Sổ tay hướng dẫn </t>
  </si>
  <si>
    <t>Xây dựng mạng lưới truyền thông trên nền tảng số zalo, facebook của Hội..</t>
  </si>
  <si>
    <t>Hội thi tìm kiếm sáng kiến, mô hình, giải pháp truyền thông hiệu quả thay đổi “Nếp nghĩ, cách làm” góp phần xóa bỏ định kiến giới, bạo lực gia đình, và mua bán phụ nữ và trẻ em</t>
  </si>
  <si>
    <t>Tư liệu hóa các sáng kiến, mô hình, giải pháp hiệu quả từ Hội thi và tuyên truyền, nhân rộng tại địa phương (dưới dạng video, clip, tài liệu…)</t>
  </si>
  <si>
    <t>Video</t>
  </si>
  <si>
    <t>Xây dựng Sổ tay hướng dẫn thành lập và vận hành tổ TKVVTB.</t>
  </si>
  <si>
    <t>Tập huấn hướng dẫn thành lập và vận hành tổ TKVVTB, tổ TKVVTB và tài chính chính thức (TKVVTB&amp; TCCT), tổ TKVVTB &amp; sinh kế (TKVVTB&amp;SK) theo Sổ tay hướng dẫn của Trung ương.</t>
  </si>
  <si>
    <t>Tập huấn về quản lý chất lượng, xây dựng thương hiệu, đăng ký các tiêu chuẩn theo quy định cho các sản phẩm cho các nhóm sinh kế, tổ hợp tác xã, hợp tác xã có phụ nữ làm chủ hoặc đồng làm chủ tại tỉnh</t>
  </si>
  <si>
    <t>Xây dựng Sổ tay hướng dẫn: về tổ chức đối thoại chính sách ở cấp cơ sở (dựa trên các tài liệu hiện hành về đối thoại chính sách</t>
  </si>
  <si>
    <t xml:space="preserve">Thực hiện giám sát các hoạt động theo chủ đề/vấn đề do Hội chủ động đề xuất, chủ trì hoặc phối hợp thực hiện </t>
  </si>
  <si>
    <t>Tổ chức tập huấn hướng dẫn cán bộ huyện, xã tổ chức Đối thoại chính sách ở cấp cơ sở theo Sổ tay hướng dẫn của Trung ương</t>
  </si>
  <si>
    <t>Hội nghị đánh giá kết quả hoạt động của Dự án</t>
  </si>
  <si>
    <t>Tổ chức 02 đợt tập huấn bồi dưỡng kiến thức, nâng cao năng lực cho phụ nữ dân tộc thiểu số tham gia ứng cử, vận đồng bầu cử vào các cơ quan dân cử. Tổng số 16 lớp:  Mỗi đợt 8 lớp/8 huyện; số lượng 554 người (Cấp huyện 3, cấp xã 5); 03 ngày/lớp; Giảng viên: Cán bộ Sở Lao động - TBXH. Chi tiết:</t>
  </si>
  <si>
    <t>Chi phí cho một đợt, gồm:</t>
  </si>
  <si>
    <t xml:space="preserve">Chi Tổ chức lớp học </t>
  </si>
  <si>
    <t xml:space="preserve"> - Thuê Hội trường</t>
  </si>
  <si>
    <t xml:space="preserve"> - Tài liệu</t>
  </si>
  <si>
    <t xml:space="preserve"> - Nước uống</t>
  </si>
  <si>
    <t xml:space="preserve"> - VPP</t>
  </si>
  <si>
    <t xml:space="preserve"> - Thù lao giảng viên</t>
  </si>
  <si>
    <t xml:space="preserve"> - Quản lý lớp, trợ giảng</t>
  </si>
  <si>
    <t>Chi hỗ trợ giảng viên, trợ giảng: 02 người</t>
  </si>
  <si>
    <t xml:space="preserve"> - Tiền đi lại (thanh toán khoán đi lại 580km): 580km x 2 người  x 2 lượt = 2.320 km</t>
  </si>
  <si>
    <t xml:space="preserve"> - Tiền công tác phí: 28 ngày/người x 2 người = 56 ngày</t>
  </si>
  <si>
    <t xml:space="preserve"> - Tiền ngủ: 21 tối/người x 2 người = 42 tối</t>
  </si>
  <si>
    <t xml:space="preserve">Chi hỗ trợ học viên không thuộc diện hưởng lương (Trên 10km cách địa điểm tổ chức lớp tập huấn) </t>
  </si>
  <si>
    <t xml:space="preserve"> - Tiền đi lại (thanh toán trung bình 25 km x 2 lượt  x 261 người  = 13.050 km</t>
  </si>
  <si>
    <t xml:space="preserve"> - Tiền ngủ: 261 người x 3 tối = 783 tối</t>
  </si>
  <si>
    <t xml:space="preserve"> - Tiền ăn: 261 người x 3 ngày = 783 ngày</t>
  </si>
  <si>
    <t>Tổ chức các lớp đào tạo, tập huấn nâng cao năng lực làm công tác bình đẳng giới cấp huyện, cấp xã trong Chương trình phát triển năng lực lồng ghép giới cho cán bộ các cấp. Tổng số 32 lớp: Mỗi năm 8 lớp/8 huyện; số lượng 456 người (Cấp huyện 4, cấp xã 4); 03 ngày/lớp; Giảng viên: Cán bộ Sở Lao động - TBXH. Chi tiết:</t>
  </si>
  <si>
    <t>Chi phí cho một lớp gồm:</t>
  </si>
  <si>
    <t>Chi Tổ chức lớp học</t>
  </si>
  <si>
    <t xml:space="preserve"> - Tiền đi lại (thanh toán khoán đi lại 580km x 2 lượt x  2 người = 2.320 km</t>
  </si>
  <si>
    <t xml:space="preserve"> - Tiền công tác phí: 2 người x 35 ngày = 70 ngày</t>
  </si>
  <si>
    <t xml:space="preserve"> - Tiền ngủ: 2 người x 28 tối = 56 tối</t>
  </si>
  <si>
    <t>Chi hoạt động kiểm tra giám sát thực hiện chương trình: mỗi năm 01 đợt, mỗi huyện 02 ngày, 4 người cả lái xe.</t>
  </si>
  <si>
    <t xml:space="preserve"> - Tiền đi lại (xăng xe): 580km x 0,23l x 4 người  = 533,6l</t>
  </si>
  <si>
    <t>Lit xăng</t>
  </si>
  <si>
    <t xml:space="preserve"> - Tiền công tác phí: 28 ngày x 4 người  x 4 đợt = 448 ngày</t>
  </si>
  <si>
    <t xml:space="preserve"> - Tiền ngủ: 21 tối x 4 người x 4 đợt = 336 tối</t>
  </si>
  <si>
    <t>Tổ chức sự kiện truyền thông tại cơ sở</t>
  </si>
  <si>
    <t>Sự kiện</t>
  </si>
  <si>
    <t xml:space="preserve">Tổ chức tập huấn cho cán bộ cấp huyện, cấp xã theo Chương trình 2 về phát triển năng lực LGG </t>
  </si>
  <si>
    <t>ẩn</t>
  </si>
  <si>
    <t>Khảo sát thống kê, thu thập thông tin để bảo tồn phát huy các loại hình văn hóa truyền thống của các dân tộc thiểu số rất ít người: Cống, Mảng, Si La, Lự</t>
  </si>
  <si>
    <t>Dân tộc</t>
  </si>
  <si>
    <t>Sản xuất phim tài liệu phục vụ công tác bảo tồn và tuyên truyền quảng bá về văn hóa truyền thống của các dân tộc thiểu số rất ít người: Cống, Mảng, Si La, Lự (Dự kiến 1 phim tài liệu : 120 phút)</t>
  </si>
  <si>
    <t>Mua vật tư, nguyên vật liệu, dụng cụ, tài liệu, tư liệu, số liệu, sách, báo, tạp chí tham khảo, thiết kế, phần mềm, công nghệ phục vụ hoạt động các loại hình văn hóa truyền thống của các dân tộc thiểu số rất ít người</t>
  </si>
  <si>
    <t>Tổ chức lớp tập huấn, truyền dạy các loại hình văn hóa truyền thống: 3 lớp x 4 dân tộc
 + Nghệ thuật trình diễn dân gian: 1 lớp x 4 dân tộc
 + Ngữ văn dân gian: 1 lớp x 4 dân tộc
 + Nghề thủ công truyền thống: 1 lớp x 4 dân tộc</t>
  </si>
  <si>
    <t>Tổ chức biểu diễn, tái hiện các loại hình văn hóa truyền thống 4 dân tộc 
 + Tái hiện Lễ hội : 4 lễ hội của 4 dân tộc
 + Biểu diễn nghệ thuật trình diễn dân gian; ngữ văn dân gian: 4 chương trình cho 4 dân tộc</t>
  </si>
  <si>
    <t>Thông tin, tuyên truyền phục vụ bảo tồn, phát huy các loại hình văn hóa truyền thống của các dân tộc thiểu số rất ít người</t>
  </si>
  <si>
    <t>Ứng dụng công nghệ thông tin trong hoạt động bảo tồn, phát huy các loại hình văn hóa truyền thống của các dân tộc thiểu số rất ít người.</t>
  </si>
  <si>
    <t>Phần mềm</t>
  </si>
  <si>
    <t xml:space="preserve">Theo QĐ 18/QĐ-BVHTTDL ngày 06/1/2022 của Bộ VHTTDL về việc ban hành kế hoạch thực hiện CTMTQG phát triển KTXH vùng đồng bào dân tộc thiểu số và miền núi giai đoạn 2021-2030; Giai đoạn 1 từ 2021-2025: cả nước có 100 chương trình cho 53 tỉnh, dự kiến bình quân 2 chương trình /tỉnh 
  + Tuyên truyền quảng bá ẩm thực, văn hóa truyền thống dân tộc Thái: 1 chương trình
  + Tuyên truyền quảng bá văn hóa truyền thống dân tộc Lự : 1 chương trình
  + Tuyên truyền quảng bá xúc tiến du lịch : 2 chương trình </t>
  </si>
  <si>
    <t>320 lớp/53 tỉnh; bình quân 6 lớp/tỉnh
 + Tổ chức lớp truyền dạy " Sử thi Phì Ca Na Ca" dân tộc Hà Nhì, Huyện Mường Tè: 01 lớp
 + Tổ chức lớp truyền dạy " Chế tác và sử dụng Khèn Mông" huyện Phong Thổ: 01 lớp.
 + Tổ chức lớp tập huấn chuyên môn cho đối tượng công chức văn hóa cấp xã: 01 lớp
 + Tổ chức lớp tập huấn chuyên môn cho đối tượng nghệ nhân, trưởng bản, người có uy tín: 01 lớp
 + Tổ chức lớp tập huấn kỹ năng homestay: 01 lớp
 + Tổ chức lớp tập huấn quản lý điểm du lịch: 01 lớp.</t>
  </si>
  <si>
    <t>Theo QĐ 18/QĐ-BVHTTDL ngày 06/1/2022 của Bộ VHTTDL về việc ban hành kế hoạch thực hiện CTMTQG phát triển KTXH vùng đồng bào dân tộc thiểu số và miền núi giai đoạn 2021-2030; Giai đoạn 1 từ 2021-2025: thành lập 800 CLB/53 tỉnh thành/5 năm = 15 CLB/ tỉnh. Tỉnh Lai châu đề xuất 13 CLB cho 13 dân tộc</t>
  </si>
  <si>
    <t>Xây dựng Câu lạc bộ Pí kẻo dân tộc Giáy Thành phố Lai Châu</t>
  </si>
  <si>
    <t>Xây dựng Câu lạc bộ dân ca dân vũ dân tộc Lự Huyện Tam Đường</t>
  </si>
  <si>
    <t>Xây dựng Câu lạc bộ dân ca dân vũ dân tộc Kháng Huyện Tam Đường</t>
  </si>
  <si>
    <t>Xây dựng Câu lạc bộ dân ca dân vũ dân tộc Lào Huyện Tân Uyên</t>
  </si>
  <si>
    <t>Xây dựng Câu lạc bộ hát Then đàn Tính dân tộc Thái Huyện Phong Thổ</t>
  </si>
  <si>
    <t>Xây dựng Câu lạc bộ Khèn dân tộc Mông Huyện Phong Thổ</t>
  </si>
  <si>
    <t>Xây dựng Câu lạc bộ dân ca dân vũ dân tộc Dao Huyện Sìn Hồ</t>
  </si>
  <si>
    <t>Xây dựng câu lạc bộ dân ca dân vũ dân tộc Khơ Mú Huyện Than Uyên</t>
  </si>
  <si>
    <t>Xây dựng Câu lạc bộ dân ca dân vũ dân tộc Mảng huyện Nâm Nhùn</t>
  </si>
  <si>
    <t>Xây dựng Câu lạc bộ dân ca dân vũ dân tộc Cống huyện Nâm Nhùn</t>
  </si>
  <si>
    <t>Xây dựng Câu lạc bộ dân ca dân vũ dân tộc La Hủ Huyện Mường tè</t>
  </si>
  <si>
    <t>Xây dựng Câu lạc bộ dân ca dân vũ dân tộc Hà Nhì huyện Mường Tè</t>
  </si>
  <si>
    <t>Xây dựng Câu lạc bộ dân ca dân vũ dân tộc Si La huyện Mường Tè</t>
  </si>
  <si>
    <t>1800 thiết chế/53 tỉnh/5 năm, bình quân 34 trang thiết bị/1 tỉnh.</t>
  </si>
  <si>
    <t>Theo QĐ 18/QĐ-BVHTTDL ngày 06/1/2022 của Bộ VHTTDL về việc ban hành kế hoạch thực hiện CTMTQG phát triển KTXH vùng đồng bào dân tộc thiểu số và miền núi giai đoạn 2021-2030; Giai đoạn 1 từ 2021-2025: cả nước có 200 chương trình cho 53 tỉnh, dự kiến bình quân 4 chương trình/tỉnh): Dân tộc Khơ Mú huyện Than Uyên</t>
  </si>
  <si>
    <t>Theo QĐ 18/QĐ-BVHTTDL ngày 06/1/2022 của Bộ VHTTDL về việc ban hành kế hoạch thực hiện CTMTQG phát triển KTXH vùng đồng bào dân tộc thiểu số và miền núi giai đoạn 2021-2030; Giai đoạn 1 từ 2021-2025: Hỗ trợ 9000 đội văn nghệ/53 tỉnh/5 năm, bình quân 170 đội văn nghệ/tỉnh; Tương ứng 18% số thôn, bản trực thuộc huyện, thành phố.</t>
  </si>
  <si>
    <t>Phục hồi, bảo tồn trò chơi "Én cáy" dân tộc Thái</t>
  </si>
  <si>
    <t>Mô hình di sản kết nối gắn với các hành trình du lịch di sản để phát triển cộng đồng các dân tộc thiểu số có di sản tương đồng: Dân tộc Thái (Di sản Then)</t>
  </si>
  <si>
    <t>Mô hình Dân tộc Dao</t>
  </si>
  <si>
    <t>Xây dựng mô hình xây dựng đời sống văn hóa dân tộc Cống</t>
  </si>
  <si>
    <t>Bản Sì Thâu Chải - xã Hồ Thầu - Tam Đường</t>
  </si>
  <si>
    <t>Bản Lao Chải I - xã Khun Há, Tam Đường.</t>
  </si>
  <si>
    <t>Hỗ trợ đầu tư bảo tồn làng, bản văn hóa truyền thống tiêu biểu của các dân tộc thiểu số</t>
  </si>
  <si>
    <t>Dân tộc Si La (Bản Seo Hai, xã Can Hồ, huyện Mường Tè)</t>
  </si>
  <si>
    <t>Dân tộc Giáy (bản San Thàng, thành phố Lai Châu)</t>
  </si>
  <si>
    <t>Dân tộc Lự (Bản Thẳm, xã Bản Hon, huyện Tam Đường)</t>
  </si>
  <si>
    <t>Nhà văn hóa Bản Lùng Than, xã San Thàng.</t>
  </si>
  <si>
    <t>Nhà văn hoá bản Hua Cưởm 1, xã Trung Đồng</t>
  </si>
  <si>
    <t>Nhà văn hoá bản Thào xã Hố Mít</t>
  </si>
  <si>
    <t>Nhà văn hoá bản Hua Ít, xã Nậm Sỏ</t>
  </si>
  <si>
    <t>Nhà văn hoá bản Nà Pè, xã Mường Khoa</t>
  </si>
  <si>
    <t>Nhà Văn hóa Bản Tả Cu Tỷ - xã Giang Ma</t>
  </si>
  <si>
    <t>Nhà văn hóa bản Sáy San I - Xã Nùng Nàng</t>
  </si>
  <si>
    <t>Nhà văn hóa bản Nà Đông - xã Thèn Sin</t>
  </si>
  <si>
    <t>Nhà văn hóa bản Phan Khèo - xã Thèn Sin</t>
  </si>
  <si>
    <t>Nhà văn hóa bản Sin Câu - xã Thèn Sin</t>
  </si>
  <si>
    <t>Nhà văn hóa bản Nà Can - xã Bản Bo</t>
  </si>
  <si>
    <t>Nhà văn hóa bản Nà Khương - xã Bản Bo</t>
  </si>
  <si>
    <t>Nhà văn hóa bản Nà Khuy - xã Bản Bo</t>
  </si>
  <si>
    <t>Nhà văn hóa bản Hồ Pên - xã Tả Lèng</t>
  </si>
  <si>
    <t>Nhà văn hóa bản Nậm Đích - xã Khun Há</t>
  </si>
  <si>
    <t>Nhà văn hóa bản Sàn Phàng Cao - xã Khun Há</t>
  </si>
  <si>
    <t>Nhà văn hóa bản Ma Sao Phìn Thấp - xã Khun Há</t>
  </si>
  <si>
    <t xml:space="preserve"> Xã Giang Ma</t>
  </si>
  <si>
    <t>Nhà Văn hóa bản Hoang Thèn - xã Vàng Ma Chải</t>
  </si>
  <si>
    <t>Nhà Văn hóa bản San Dì - xã Nậm Xe</t>
  </si>
  <si>
    <t>Nhà Văn hóa TDP Hòa Bình - Thị trấn Phong Thổ</t>
  </si>
  <si>
    <t>Nhà Văn hóa Bản Cang - xã Mường So</t>
  </si>
  <si>
    <t>Nhà Văn hóa bản Nậm Cung - xã Mường So</t>
  </si>
  <si>
    <t>Nhà Văn hóa bản Phiêng Đanh - xã Mường So</t>
  </si>
  <si>
    <t>Nhà Văn hóa bản Sín Chải - xã Sì Lở Lầu</t>
  </si>
  <si>
    <t>Xây dựng các thiết chế văn hóa, thể thao và trang thiết bị tại các bản</t>
  </si>
  <si>
    <t>Nhà văn hóa bản Ta Pưn - Xã Noong Hẻo</t>
  </si>
  <si>
    <t>Nhà văn hóa bản Pắn Ngọi - Xã Noong Hẻo</t>
  </si>
  <si>
    <t>Nhà văn hóa bản Cuổi Tở 2 - Xã Nậm Cuổi</t>
  </si>
  <si>
    <t>Nhà văn hóa bản Nậm Hoi - Xã Nậm Cuổi</t>
  </si>
  <si>
    <t>Nhà văn hóa bản Nậm Cọ - Xã Nậm Cuổi</t>
  </si>
  <si>
    <t>Nhà văn hóa bản Co Sản - Xã Nậm Hăn</t>
  </si>
  <si>
    <t>Nhà văn hóa bản Huổi Pha 2 - Xã Nậm Hăn</t>
  </si>
  <si>
    <t>Nhà văn hóa bản Hay - Xã Nậm Hăn</t>
  </si>
  <si>
    <t>Nhà văn hóa bản Nậm Tảng, xã Hua Bum</t>
  </si>
  <si>
    <t>Nhà văn hóa bản Nậm Cười, xã Hua Bum</t>
  </si>
  <si>
    <t>Nhà văn hóa bản Nậm Vạc 1, xã Nậm Ban</t>
  </si>
  <si>
    <t>Nhà văn hóa bản Nậm Sảo 2, xã Trung Chải</t>
  </si>
  <si>
    <t>Nhà văn hóa bản Nậm Nó 2, xã Trung Chải</t>
  </si>
  <si>
    <t>Nhà văn hóa bản Nậm Pì, xã Nậm Pì</t>
  </si>
  <si>
    <t>Nhà văn hóa bản Huổi Van, xã Nậm Hàng</t>
  </si>
  <si>
    <t>Nhà văn hóa bản Nậm Sảo 1, xã Trung Chải</t>
  </si>
  <si>
    <t>Nhà văn hóa bản Lồng Ngài, xã Nậm Hàng</t>
  </si>
  <si>
    <t>Nhà văn hóa bản  Tổng Pịt, xã Mường Mô</t>
  </si>
  <si>
    <t>Nhà văn hóa bản Nậm Chà, xã Nậm Chà</t>
  </si>
  <si>
    <t xml:space="preserve"> Xã Nậm Hàng</t>
  </si>
  <si>
    <t>Các bản</t>
  </si>
  <si>
    <t>Hỗ trợ đầu tư xây dựng điểm đến du lịch tiêu biểu</t>
  </si>
  <si>
    <t>Thực hiện trên địa bàn Thành phố Lai Châu</t>
  </si>
  <si>
    <t>Thực hiện trên địa bàn các huyện còn lại</t>
  </si>
  <si>
    <t xml:space="preserve"> Thực hiện trên địa bàn các huyện còn lại</t>
  </si>
  <si>
    <t xml:space="preserve"> Thực hiện trên địa bàn Thành phố Lai Châu</t>
  </si>
  <si>
    <t>Sửa chữa, biên tập tổng thể chương trình đối với trình độ trung cấp (60.000đ/giờ); 14 chương trình đào tạo, mỗi chương trình bình quân 1.850 giờ tương đương với 70 tín chỉ</t>
  </si>
  <si>
    <t>Biên soạn mới chương trình trình độ cao đẳng (110.000đ/giờ): 05 chương trình, mỗi chương trình bình quân 2.500 giờ</t>
  </si>
  <si>
    <t>Biên soạn mới chương trình trình độ trung cấp (100.000đ/giờ): 05 chương trình, mỗi chương trình bình quân 1.850 giờ</t>
  </si>
  <si>
    <t>Viết giáo trình trình độ trung cấp (85.000đ/trang chuẩn): 10 bộ giáo trình, mỗi bộ khoảng 700 trang</t>
  </si>
  <si>
    <t>Thẩm định, nhận xét, đánh giá giáo trình trình độ trung cấp</t>
  </si>
  <si>
    <t>Mua sắm bổ sung thiết bị nghề Vận hành máy thi công nền để đảm bảo thiết bị đào tạo tối thiểu theo quy định tại phụ lục 25a, Thông tư 27/2019/TT-BLĐTBXH (đầu tư bổ sung thiết bị cho 5 phòng học chưc năng, 02 phòng học chung với nghề khác)</t>
  </si>
  <si>
    <t>Mua sắm mới thiết bị đào tạo nghề kỹ thuật xây dựng theo danh mục thiết bị đào tạo tối thiểu được quy định tại phụ lục số 16a, Thông tư 27/2019/TT-BLĐTBXH (đầu tư mới thiết bị cho 07 phòng  học chức năng, 03 phòng học chung với các nghề khác)</t>
  </si>
  <si>
    <t>Mua sắm mới thiết bị đào tạo nghề Công nghệ ô tô theo danh mục thiết bị đào tạo tối thiểu quy định tại phụ lục 9b, Thông tư 27/2019/TT-BLĐTBXH (đầu tư mới thiết bị 09 phòng học chức năng, 02 phòng học chung với nghề khác)</t>
  </si>
  <si>
    <t xml:space="preserve">Tuyên truyền, tư vấn hướng nghiệp, khởi nghiệp, học nghề, việc làm </t>
  </si>
  <si>
    <t xml:space="preserve">Giám sát, đánh giá quá trình thực hiện dự án </t>
  </si>
  <si>
    <t>Chi khác</t>
  </si>
  <si>
    <t xml:space="preserve"> Phát triển, đào tạo bồi dưỡng đội ngũ nhà giáo, cán bộ quản lý, người dạy nghề;</t>
  </si>
  <si>
    <t xml:space="preserve">Phát triển chương trình, giáo trình, tài liệu giảng dạy (10 bộ chương trình, giáo trình, trong đó: 5 chương trình, giáo trình 2 tháng; 05 chương trình, giáo trình sơ cấp 3 tháng. Kinh phí chỉnh sửa, bổ sung chương trình, giáo trình 2 tháng; kinh phí chỉnh sửa, bổ sung chương trình, giáo trình sơ cấp 3 tháng) </t>
  </si>
  <si>
    <t>Hỗ trợ sửa chữa, bảo dưỡng một số hạng mục công trình nhà xưởng, phòng học, ký túc xá và công trình phục vụ sinh hoạt, tập luyện cho người học</t>
  </si>
  <si>
    <t>Giám sát, đánh giá quá trình thực hiện dự án</t>
  </si>
  <si>
    <t>Phát triển, đào tạo bồi dưỡng đội ngũ nhà giáo, cán bộ quản lý, người dạy nghề;</t>
  </si>
  <si>
    <t xml:space="preserve">Nội dung số 02: Đào tạo dự bị đại học, đại học và sau đại học </t>
  </si>
  <si>
    <t>Cấp tỉnh thực hiện (Sở Giáo dục và đào tạo)</t>
  </si>
  <si>
    <t xml:space="preserve">Đào tạo đại học </t>
  </si>
  <si>
    <t>Năm 2022</t>
  </si>
  <si>
    <t>Lượt sinh viên</t>
  </si>
  <si>
    <t>Năm 2023</t>
  </si>
  <si>
    <t>Năm 2024</t>
  </si>
  <si>
    <t>Năm 2025</t>
  </si>
  <si>
    <t>Nội dung số 01: Bồi dưỡng kiến thức dân tộc</t>
  </si>
  <si>
    <t>Chi tiết tại các biểu 4-1 và biểu 4-2</t>
  </si>
  <si>
    <t>Sở Công thương (Triển khai thúc đẩy tiêu thụ sản phẩm vùng đồng bào dân tộc thiểu số và miền núi)</t>
  </si>
  <si>
    <t xml:space="preserve">Hỗ trợ kết nối tiêu thụ sản phẩm nông sản tỉnh Lai Châu vào siêu thị, trung tâm thương mại  </t>
  </si>
  <si>
    <t>Tổ chức các hội chợ, triển khai thúc đẩy tiêu thụ sản phẩm vùng đồng bào dân tộc thiểu số và miền núi.</t>
  </si>
  <si>
    <t xml:space="preserve">Tổ chức các hoạt động kết nối tiêu thụ, các phiên chợ văn hóa, các lễ hội gắn thương mại với du lịch, các hoạt động quảng bá, xây dựng cẩm nang giới thiệu các sản phẩm của vùng ĐBDTTS&amp;MN… </t>
  </si>
  <si>
    <t>Thực hiện các hoạt động truyền thông (xây dựng chuyên trang, chuyên mục, bản tin, truyền hình, phòng sự…) nhằm quảng bá các sản phẩm của vùng dân tộc thiểu số và miền núi; tổ chức cuộc thi thiết kế biểu tượng chợ vùng ĐBDTTS&amp;MN. Dự kiến kinh phí</t>
  </si>
  <si>
    <t>Hỗ trợ xây dựng một số mô hình nhằm tiêu thụ sản phẩm của vùng đồng bào dân tộc thiểu số và miền núi và cung ứng các mặt hàng thiết yếu cho địa phương: mô hình sinh kế cộng đồng; các mô hình thương mại hai chiều</t>
  </si>
  <si>
    <t>Tập huấn phát triển nguồn nhân lực thương mại tại vùng ĐBDTTS &amp;MN</t>
  </si>
  <si>
    <t>Tổ chức các hội chợ, triển khai thúc đẩy tiêu thụ sản phẩm vùng đồng bào dân tộc thiểu số và miền núi</t>
  </si>
  <si>
    <t>Hỗ trợ xây dựng một số mô hình nhằm tiêu thụ sản phẩm của vùng đồng bào dân tộc thiểu số và miền núi và cung ứng các mặt hàng thiết yếu cho địa phương: mô hình sinh kế cộng đồng; các mô hình thương mại hai chiều…</t>
  </si>
  <si>
    <t>Tổ chức các hoạt động kết nối tiêu thụ, các phiên chợ văn hóa, các lễ hội gắn thương mại với du lịch, các hoạt động quảng bá, xây dựng cẩm nang giới thiệu các sản phẩm của vùng ĐBDTTS&amp;MN…</t>
  </si>
  <si>
    <t>Biểu 3.2-B</t>
  </si>
  <si>
    <t>Hỗ trợ chi phí chuyển giao, ứng dụng khoa học kỹ thuật mới, áp dụng quy trình kỹ thuật và quản lý chất lượng đồng bộ theo chuỗi;</t>
  </si>
  <si>
    <t>TIỂU DỰ ÁN 1: PHÁT TRIỂN KINH TẾ NÔNG, LÂM NGHIỆP GẮN VỚI BẢO VỆ VÀ NÂNG CAO THU NHẬP CHO NGƯỜI DÂN</t>
  </si>
  <si>
    <t>Nôị dung thực hiện</t>
  </si>
  <si>
    <t>Hỗ trợ khoán bảo vệ rừng</t>
  </si>
  <si>
    <t>Hỗ trợ bảo vệ rừng</t>
  </si>
  <si>
    <t>Hỗ trợ KNXTTS tự nhiên có trồng bổ sung</t>
  </si>
  <si>
    <t>Hỗ trợ trồng rừng sản xuất</t>
  </si>
  <si>
    <t>Trồng rừng phòng hộ</t>
  </si>
  <si>
    <t>Trợ cấp gạo cho hộ gia đình nghèo, hộ đồng bào dân tộc thiểu số tham gia  trồng rừng sản xuất, phát triển lâm sản ngoài gỗ, trồng rừng phòng hộ</t>
  </si>
  <si>
    <t>Kinh phí quản lý, kiểm tra, nghiệm thu = ((4) + (5)) x 7%</t>
  </si>
  <si>
    <t>Số vốn chưa phân bổ</t>
  </si>
  <si>
    <t>Đối với các hộ dân tộc thiểu số có khó khăn đặc thù:</t>
  </si>
  <si>
    <t>ĐT</t>
  </si>
  <si>
    <t>Ban QLDA đầu tư xây dựng các công trình NN&amp;PTNT</t>
  </si>
  <si>
    <t>III.1</t>
  </si>
  <si>
    <t>Tiểu dự án 1</t>
  </si>
  <si>
    <t>III.2</t>
  </si>
  <si>
    <t>Tiểu dự án 2</t>
  </si>
  <si>
    <t>Nội dung số 01 + 03</t>
  </si>
  <si>
    <t>Nôi dung số 02</t>
  </si>
  <si>
    <t>Dược liệu quý</t>
  </si>
  <si>
    <t>V.1</t>
  </si>
  <si>
    <t>V.2</t>
  </si>
  <si>
    <t>Nội dung 2:  Đào tạo dự bị đại học, đại học sau đại học</t>
  </si>
  <si>
    <t>V.3</t>
  </si>
  <si>
    <t>Tiểu dự án 3</t>
  </si>
  <si>
    <t>Trường cao đẳng cộng đồng</t>
  </si>
  <si>
    <t>V.4</t>
  </si>
  <si>
    <t>Tiểu dự án 4</t>
  </si>
  <si>
    <t>IX.1</t>
  </si>
  <si>
    <t>IX.2</t>
  </si>
  <si>
    <t>X</t>
  </si>
  <si>
    <t>X.1</t>
  </si>
  <si>
    <t>X.2</t>
  </si>
  <si>
    <t>X.3</t>
  </si>
  <si>
    <t>Vốn phân bổ vốn ngân sách trung ương giai đoạn 2021 - 2025 (theo đơn vị thực hiện)</t>
  </si>
  <si>
    <t>Sở Thông tin - Truyền thông</t>
  </si>
  <si>
    <t xml:space="preserve">Sửa chữa các công trình cơ sở hạ tầng </t>
  </si>
  <si>
    <t>Duy tu sửa chữa các công trình cơ sở hạ tầng tại các thôn tập trung đông đồng bào dân tộc thiểu số có khó khăn đặc thù, có tỷ lệ hộ nghèo cao</t>
  </si>
  <si>
    <t>Dự án hỗ trợ máy nông cụ</t>
  </si>
  <si>
    <t>Dự án hỗ trợ trồng cây ăn quả  ( táo mèo, mận, đào...)</t>
  </si>
  <si>
    <t>1.5</t>
  </si>
  <si>
    <t>1.6</t>
  </si>
  <si>
    <t>1.7</t>
  </si>
  <si>
    <t>C</t>
  </si>
  <si>
    <t>500</t>
  </si>
  <si>
    <t>Sở Văn hoá - Thể thao và Du lịch</t>
  </si>
  <si>
    <t>Nhóm 3: Các sở chủ trì dự án (Sở Nông nghiệp và PTNT, Sở Giáo dục và Đào tạo, Sở Lao động - Thương binh và Xã hội, Sở Văn hoá - Thể thao và Du lịch, Sở Y tế, Hội Liên hiệp Phụ nữ tỉnh)</t>
  </si>
  <si>
    <t>Nhóm 4: Các cơ quan liên quan (Sở Tài chính, Sở Kế hoạch và Đầu tư, Sở Tư pháp, Sở Công thương, Liên minh Hợp tác xã tỉnh, Hội Nông dân tỉnh)</t>
  </si>
  <si>
    <t>Hỗ trợ nghiên cứu, phục hồi, bảo tồn, phát huy giá trị văn hóa phi vật thể các dân tộc thiểu số có nguy cơ mai một (các hình thức sinh hoạt văn hóa, tập quán xã hội, nhạc cụ, kiến trúc truyền thông, trang phục truyền thống, các môn thể thao truyền thống, tiếng nói, chữ viết và các giá trị khác văn hóa khác). Dân tộc Khơ Mú huyện Than Uyên</t>
  </si>
  <si>
    <t>Tổ chức bảo tồn lễ hội truyền thống tại các địa phương khai thác, xây dựng sản phẩm phục vụ phát triển du lịch. Lễ hội Then Kin Pang, Xã Khổng Lào, huyện Phong Thổ</t>
  </si>
  <si>
    <t>Hỗ trợ nghiên cứu, phục hồi, bảo tồn, phát huy giá trị văn hóa phi vật thể các dân tộc thiểu số có nguy cơ mai một (các hình thức sinh hoạt văn hóa, tập quán xã hội, nhạc cụ, kiến trúc truyền thông, trang phục truyền thống, các môn thể thao truyền thống, tiếng nói, chữ viết và các giá trị khác văn hóa khác). Phục hồi, bảo tồn trò chơi "Én cáy" dân tộc Thái</t>
  </si>
  <si>
    <t>Nhà văn hóa Bản Vạ Pù, xã Tá Bạ</t>
  </si>
  <si>
    <t>Nhà văn hóa Bản Là Si, xã Tá Bạ</t>
  </si>
  <si>
    <t>Nhà văn hóa Bản Nhóm Pố, xã Tá Bạ</t>
  </si>
  <si>
    <t>Nhà văn hóa Bản Tà Tổng, xã Tà Tổng</t>
  </si>
  <si>
    <t>Nhà văn hóa Bản U Na, xã Tà Tổng</t>
  </si>
  <si>
    <t>Nhà văn hóa Bản Nậm Dính, xã Tà Tổng</t>
  </si>
  <si>
    <t>Nhà văn hóa Bản A Mé, xã Tà Tổng</t>
  </si>
  <si>
    <t>Nhà văn hóa Bản Tia Ma Mủ, xã Tà Tổng</t>
  </si>
  <si>
    <t>Nhà văn hóa Bản Cao Chải, xã Tà Tổng</t>
  </si>
  <si>
    <t>Nhà văn hóa Bản Pà Khà, xã Tà Tổng</t>
  </si>
  <si>
    <t>Nhà văn hóa Bản Là Si, xã Thu Lũm</t>
  </si>
  <si>
    <t>Nhà văn hóa Bản Xà Hồ, xã Pa Ủ</t>
  </si>
  <si>
    <t>Nhà văn hóa Bản Pha Bu, xã Pa Ủ</t>
  </si>
  <si>
    <t>Nhà văn hóa Bản Nhú Ma, xã Pa Ủ</t>
  </si>
  <si>
    <t>Nhà văn hóa Bản Ứ Ma, xã Pa Ủ</t>
  </si>
  <si>
    <t>Nhà văn hóa Bản Hà Xi, xã Pa Ủ</t>
  </si>
  <si>
    <t>Nhà văn hóa Bản Chà Kế, xã Pa Ủ</t>
  </si>
  <si>
    <t>Nhà văn hóa Bản Seo Thèn, xã Pa Vệ Sủ</t>
  </si>
  <si>
    <t>Nhà văn hóa Bản Sín Chải B, xã Pa Vệ Sủ</t>
  </si>
  <si>
    <t>Nhà văn hóa Bản Sín Chải A, xã Pa Vệ Sủ</t>
  </si>
  <si>
    <t>Nhà văn hóa Bản Sín Chải C, xã Pa Vệ Sủ</t>
  </si>
  <si>
    <t>Nhà văn hóa Bản Khoang Thèn, xã Pa Vệ Sủ</t>
  </si>
  <si>
    <t xml:space="preserve"> Xã Thu Lũm</t>
  </si>
  <si>
    <t/>
  </si>
  <si>
    <t>Nội dung 2: Vùng trồng dược liệu quý</t>
  </si>
  <si>
    <t>Nội dung 01 + 03:  Đầu tư phát triển sản xuất theo chuỗi giá trị, thúc đẩy khởi sự kinh doanh, khởi nghiệp và thu hút đầu tư</t>
  </si>
  <si>
    <t>1.8</t>
  </si>
  <si>
    <t>Sở Văn hóa - Thể thao và Du lịch</t>
  </si>
  <si>
    <t xml:space="preserve">CẤP TỈNH THỰC HIỆN </t>
  </si>
  <si>
    <t>Hội thi sân khấu hóa</t>
  </si>
  <si>
    <t xml:space="preserve">- </t>
  </si>
  <si>
    <t>Hội thi thể thao</t>
  </si>
  <si>
    <t xml:space="preserve">Gặp mặt biểu dương </t>
  </si>
  <si>
    <t>Phóng sự chuyên đề, phim tài liệu về phụ nữ nhân dịp 8/3 và 20/10,…</t>
  </si>
  <si>
    <t xml:space="preserve">Tạp chí phụ nữ và trẻ em phát thanh truyền hình tiếng phổ thông và phát thanh truyền hình 4 tiếng Dân tộc: 30 phút/CT x 4CT/tháng x 36 tháng = 720 chương trình </t>
  </si>
  <si>
    <t>Tiền công biên dịch phát thanh 3 thứ tiếng</t>
  </si>
  <si>
    <t>Biên tập và xây dựng ấn phẩm truyền thông tuyên truyền trên trang facebook của hội</t>
  </si>
  <si>
    <t>Tập huấn cho cán bộ Trạm y tế xã, TTYT huyện về cung cấp các gói dịch vụ (huyện thực hiện)</t>
  </si>
  <si>
    <t>Tọa đàm thúc đẩy bình đẳng giới và giải quyết những vấn đề cấp thiết của phụ nữ và trẻ em  01 buổi tại tỉnh</t>
  </si>
  <si>
    <t>Tập huấn các tổ nhóm sinh kế, tổ hợp tác, hợp tác xã có phụ nữ làm chủ hoặc đồng làm chủ sẽ phải đối ứng phần chi phí còn lại để thực hiện, duy trì bền vững mô hình ( Mỗi xã 01 mô hình)</t>
  </si>
  <si>
    <t>Tập huấn cho cán bộ hội và chủ nhà của các ĐCAT hỗ trợ nạn nhân tại tỉnh</t>
  </si>
  <si>
    <t xml:space="preserve">Tổ chức Hội nghị đối thoại chính sách với phụ nữ (1 cuộc/năm/huyện x 4 năm) mỗi huyện 1 cuộc  tại huyện </t>
  </si>
  <si>
    <t>Tọa đàm đảm bảo tiếng nói và sự tham gia thực chất của phụ nữ và trẻ em trong các hoạt động phát triển kinh tế-xã hội của cộng đồng tại tỉnh</t>
  </si>
  <si>
    <t xml:space="preserve">Hội nghị tuyên truyền các vấn đề cấp thiết về trẻ em tại tỉnh (diễn đàn, giao lưu, sự kiện truyền thông cộng đồng) </t>
  </si>
  <si>
    <t>Tổ chức tập huấn hướng dẫn hướng dẫn đánh giá về BĐG trong thực hiện CTMTQG tại tỉnh</t>
  </si>
  <si>
    <t xml:space="preserve">Tập huấn cho cán bộ hội trong quy hoạch vào các vị trí lãnh đạo trong hệ thống chính trị ở cấp xã và cấp huyện </t>
  </si>
  <si>
    <t xml:space="preserve">Thăm quan học tập kinh nghiệm </t>
  </si>
  <si>
    <t xml:space="preserve">Tập huấn </t>
  </si>
  <si>
    <t>Xây dựng bộ công cụ vận hành câu lạc bộ thủ linh</t>
  </si>
  <si>
    <t xml:space="preserve"> Tài liệu xây dựng CLB cấp xã (mỗi CLB 01 bộ 01 bộ)</t>
  </si>
  <si>
    <t xml:space="preserve"> Tổ chức 01 buổi xuống xã gặp mặt chia sẻ về Câu lạc bộ (02 người x 03 ngày/xã x 17 xã)</t>
  </si>
  <si>
    <t>Công tác phí: (02 người x 03 ngày/xã x 17 xã) =</t>
  </si>
  <si>
    <t>Ngủ: (02 người x 02 tối/xã x 17 xã) =</t>
  </si>
  <si>
    <t>tối</t>
  </si>
  <si>
    <t xml:space="preserve">Đi lại: </t>
  </si>
  <si>
    <t xml:space="preserve"> Lấy phiếu khảo sát thăm dò ý kiến (2000 phiếu )</t>
  </si>
  <si>
    <t>Phiếu</t>
  </si>
  <si>
    <t>Tập huấn nâng cao vai trò của trẻ em gái trong phát triển kinh tế - xã hội của cộng đồng thông qua mô hình Câu lạc bộ “thủ lĩnh của sự thay đổi” Tại 5 huyện (Than Uyên, Tân Uyên, Tam Đường, Nậm Nhùn, Mường Tè, Sìn Hồ, Phong Thổ, Thành phố)</t>
  </si>
  <si>
    <t>Thanh toán tiền CTP cho giảng viên</t>
  </si>
  <si>
    <t xml:space="preserve"> - Tiền đi lại (thanh toán khoán đi lại km):1000km x 2 người  x 2 lượt = 4000 km</t>
  </si>
  <si>
    <t xml:space="preserve"> - Tiền công tác phí: 104 ngày/người x 2 người = 208 ngày</t>
  </si>
  <si>
    <t xml:space="preserve"> - Tiền ngủ: 65 tối/người x 2 người = 130 tối</t>
  </si>
  <si>
    <t xml:space="preserve"> - Tiền đi lại (thanh toán trung bình 80 km x 2 lượt  x 1040 người  = 43680 km</t>
  </si>
  <si>
    <t xml:space="preserve"> - Tiền ngủ: 1040người x 2 tối = 2080 tối</t>
  </si>
  <si>
    <t xml:space="preserve"> - Tiền ăn: 1040 người x 1 ngày = 1.040 ngày</t>
  </si>
  <si>
    <t>Chi hỗ trợ đại biểu không hưởng lương (dưới 10km cách địa điểm tập huấn)</t>
  </si>
  <si>
    <t xml:space="preserve"> - Tiền ăn: 585 người x 2 ngày = 1170 ngày</t>
  </si>
  <si>
    <t>Cung cấp một số trang thiết bị, đồ dùng, đồ chơi cho các Câu lạc bộ hoạt động (mỗi xã 02 Câu lạc bộ)</t>
  </si>
  <si>
    <t xml:space="preserve">Công tác giám sát, kiểm tra và đánh giá </t>
  </si>
  <si>
    <t xml:space="preserve"> + </t>
  </si>
  <si>
    <t>Giám sát, đánh giá công tác bình đẳng giới trong thực hiện chương trình</t>
  </si>
  <si>
    <t>Giám sát, đánh giá công tác trẻ em trong thực hiện chương trình</t>
  </si>
  <si>
    <t>Chi hoạt động kiểm tra giám sát thực hiện hoạt động: mỗi năm 01 đợt, mỗi huyện 04 ngày, 4 người cả lái xe.</t>
  </si>
  <si>
    <t xml:space="preserve"> - Tiền đi lại (xăng xe): 912km x 0,23l =210</t>
  </si>
  <si>
    <t xml:space="preserve"> - Tiền công tác phí: 16 ngày x 4 người  64</t>
  </si>
  <si>
    <t xml:space="preserve"> - Tiền ngủ: 12 tối x 4 người 48</t>
  </si>
  <si>
    <t>Cung cấp một số trang thiết bị cơ bản (micro, loa cầm tay, loa kéo…) trên cơ sở rà soát lại những thiết bị truyền thông đã được trang bị tại cấp thôn bản (6 bản)</t>
  </si>
  <si>
    <t xml:space="preserve">         Bản tin truyền hình tiếng Dân tộc: 10 phút/CT x 2CT/tháng x 36 tháng = 720 chương trình</t>
  </si>
  <si>
    <t xml:space="preserve">        Chương trình truyền hình tiếng việt; chuyên mục phóng sự chính luận: 10CT x 2CT/tháng x 36 tháng = 720 chương trình </t>
  </si>
  <si>
    <t xml:space="preserve">       Tiền công biên dịch phát thanh 3 thứ tiếng</t>
  </si>
  <si>
    <t>Công</t>
  </si>
  <si>
    <t>Cung cấp một số trang thiết bị cơ bản (micro, loa cầm tay, loa kéo…) trên cơ sở rà soát lại những thiết bị truyền thông đã được trang bị tại cấp thôn bản (17 bản)</t>
  </si>
  <si>
    <t xml:space="preserve">         Bản tin truyền hình tiếng Dân tộc: 10 phút/CT x 1 CT/tháng x 36 tháng = 720 chương trình</t>
  </si>
  <si>
    <t xml:space="preserve">Tổ chức lớp tập huấn </t>
  </si>
  <si>
    <t>Cung cấp một số trang thiết bị cơ bản (micro, loa cầm tay, loa kéo…) trên cơ sở rà soát lại những thiết bị truyền thông đã được trang bị tại cấp thôn bản (15 bản)</t>
  </si>
  <si>
    <t xml:space="preserve">         Bản tin truyền hình tiếng phổ thông: 10 - 15 phút/CT x 1 CT/tháng x 36 tháng = 360 chương trình</t>
  </si>
  <si>
    <t>Tổ chức lớp tập huấn</t>
  </si>
  <si>
    <t>Cung cấp một số trang thiết bị cơ bản (micro, loa cầm tay, loa kéo…) trên cơ sở rà soát lại những thiết bị truyền thông đã được trang bị tại cấp thôn bản (33 bản)</t>
  </si>
  <si>
    <t>Khảo sát thực tế tại địa bàn có tỷ lệ sinh con tại nhà cao, địa bàn có những nhóm dân tộc thiểu số rất ít người sinh sống (ĐBKK)</t>
  </si>
  <si>
    <t>Cung cấp một số trang thiết bị cơ bản (micro, loa cầm tay, loa kéo…) trên cơ sở rà soát lại những thiết bị truyền thông đã được trang bị tại cấp thôn bản (118 bản, 17 xã)</t>
  </si>
  <si>
    <t xml:space="preserve">        Chương trình phát thanh tiếng việt; chuyên mục phóng sự chính luận: 10CT x 2CT/tháng x 36 tháng = 720 chương trình </t>
  </si>
  <si>
    <t>Cung cấp một số trang thiết bị cơ bản (micro, loa cầm tay, loa kéo…) trên cơ sở rà soát lại những thiết bị truyền thông đã được trang bị tại cấp thôn bản (143 bản)</t>
  </si>
  <si>
    <t>Cung cấp một số trang thiết bị cơ bản (micro, loa cầm tay, loa kéo…) trên cơ sở rà soát lại những thiết bị truyền thông đã được trang bị tại cấp thôn bản ( 46 bản)</t>
  </si>
  <si>
    <t>-  Xây dựng các loại sổ tay hướng dẫn (hướng dẫn truyền thông dựa vào cộng đồng, vận hành và quản lý các tổ truyền thông cộng đồng; hướng dẫn thành lập và vận hành tổ TKVVTB; hướng dẫn mô hình địa chỉ an toàn ở cộng đồng; hướng dẫn về tổ chức đối thoại chính sách ở cấp cơ sở; hướng dẫn thành lập và vận hành CLB thủ lĩnh của sự thay đổi trên cơ sở tổng kết các mô hình CLB;  hướng dẫn giám sát đánh giá về bình đẳng giới. Để đồng nhất nội dung trong toàn tỉnh.</t>
  </si>
  <si>
    <t>- Xây dựng các chương trình phát thanh, truyền hình, truyền thanh, Hội thi, Hội thao: Thực hiện tại cả cấp tỉnh và cấp huyện đảm bảo thực hiện xây dựng các chiến dịch truyền thông thực hiện hàng năm từ 2022-2025 theo chủ đề hàng năm.</t>
  </si>
  <si>
    <t>- Số hoá các mô hình truyền thông dựa vào cộng đồng và các chương trình phát thanh, truyền hình dưới dạng các đĩa DVD, video clip, và các dạng tài liệu phù hợp để chia sẻ rộng rãi qua các nền tảng truyền thông xã hội: Đảm bảo thực hiện xây dựng các chiến dịch truyền thông thực hiện hàng năm từ 2022-2025 theo chủ đề hàng năm.</t>
  </si>
  <si>
    <t>- Hội thi/liên hoan các mô hình sáng tạo và hiệu quả trong xóa bỏ định kiến giới, bạo lực gia đình và mua bán phụ nữ và trẻ em tại huyện: Nhằm lựa chọn được tiết mục có chất lượng tham dự vòng thi chung kết toàn quốc.</t>
  </si>
  <si>
    <t>- Tập huấn các lớp tập huấn (Tập huấn cho cán bộ trạm y tế xã, trung tâm y tế huyện về cung cấp các gói dịch vụ; Tổ chức lớp tập huấn cho cán bộ cấp huyện và xã,  thôn bản (tại huyện về xây dựng và triển khai thực hiện mô hình tiết kiệm và tín dụng tự quản; Tập huấn cho cán bộ hội và chủ nhà của các ĐCAT hỗ trợ nạn nhân; Tổ chức lớp tập huấn cho cán bộ huyện và xã đã tham gia Chương trình 3 trong số các chương trình xây dựng năng lực để phổ biến Sổ tay tại tỉnh; Tổ chức tập huấn hướng dẫn tổ chức đối thoại chính sách ở cấp cơ sở tại tỉnh cho cán bộ có lương; Tổ chức tập huấn hướng dẫn hướng dẫn đánh giá về BĐG trong thực hiện CTMTQG tại tỉnh cho cán bộ có lương; Tập huấn cho cán bộ cơ sở về cách thức thành lập và vận hành Câu lạc bộ thủ lĩnh của sự thay đổi; Tập huấn đội ngũ giảng viên nguồn về lồng ghép giới, nâng cao năng lực cho các cấp làm công tác bình đẳng giới): Nội dung tập huấn cần được thống nhất trong toàn tỉnh; mời giảng viên có kinh nghiệm và  trình độ chuyên môn cao.</t>
  </si>
  <si>
    <t>- Tổ chức các cuộc tọa đàm (Tọa đàm thúc đẩy bình đẳng giới và giải quyết những vấn đề cấp thiết của phụ nữ và trẻ em; Tọa đàm đảm bảo tiếng nói và sự tham gia thực chất của phụ nữ và trẻ em trong các hoạt động phát triển kinh tế-xã hội của cộng đồng): Có một số nội dung tọa đàm cần được tọa đàm tập trung tại tỉnh, nhằm chia sẻ những kinh nghiệm, những vướng mắc khó khăn giúp cho cấp cơ sở tìm ra cách làm hay nhất.</t>
  </si>
  <si>
    <t>- Tổ chức Hội nghị đánh giá kết quả thực hiện mục tiêu bình đẳng giới trong Chương trình: Thảo luận, đánh giá và đưa các giải pháp giúp cho cấp cơ sở tìm ra cách làm hay nhất, đảm bảo phù hợp, hiệu quả.</t>
  </si>
  <si>
    <t>- Thăm quan học tập kinh nghiệm: Những người trực tiếp tham mưu triển khai dự án 8 để học tập cách làm hay, chia sẻ cách làm của tỉnh, để điều chỉnh cách làm cho phù hợp.</t>
  </si>
  <si>
    <t>TDA1</t>
  </si>
  <si>
    <t>- Khảo sát, kiểm kê, sưu tầm, tư liệu hóa di sản văn hóa truyền thống của đồng bào dân tộc thiểu số: 13 dân tộc cư trú trên địa bàn tình nên không thể giao riêng cho từng huyện</t>
  </si>
  <si>
    <t>- Hỗ trợ tuyên truyền, quảng bá rộng rãi giá trị văn hóa truyền thống tiêu biểu của các dân tộc thiểu số; chương trình quảng bá, xúc tiến du lịch tại các vùng đồng bào dân tộc thiểu số và miền núi kết hợp với nghiên cứu, khảo sát tiềm năng du lịch, lựa chọn xây dựng các sản phẩm du lịch đặc trưng cho các vùng đồng bào dân tộc thiểu số và miền núii: Thực hiện tại tỉnh để đảm bảo phù hợp chủ trương, định hướng về phát triển du lịch và công tác tuyên truyền quảng bá du lịch của tỉnh</t>
  </si>
  <si>
    <t>- Khảo sát, điều tra, thống kê, thu thập thông tin để bảo tồn, phát huy các loại hình văn hóa truyền thống của các dân tộc thiểu số rất ít người: Cống, Mảng, Si La, Lự:  Cân thực hiện điều tra thống kê theo dân tộc cứ trú trên toàn tỉnh.</t>
  </si>
  <si>
    <t>-Sản xuất phim tài liệu phục vụ công tác bảo tồn và tuyên truyền quảng bá về văn hóa truyền thống của các dân tộc thiểu số rất ít người: Cống, Mảng, Si La, Lự: Phục vụ công tác tuyên truyền về văn hóa, quảng bá du lịch của tỉnh phù hợp với định hướng bảo tồn, phát triển văn hóa du lịch của tỉnh</t>
  </si>
  <si>
    <t>- Tổ chức lớp tập huấn, bồi dưỡng chuyên môn, nghiệp vụ, truyền dạy văn hóa phi vật thể: Tập huấn, bồi dưỡng về chuyên môn, nghiệp vụ bảo tồn, phát huy giá trị văn hóa truyền thống vùng đồng bào dân tộc thiểu số và miền núi (cho đối tượng nghệ công chức văn hóa cấp xã, nghệ nhân, trưởng bản, người có uy tín): Nội dung tập huấn cần được thống nhất trong toàn tỉnh; mời giảng viên có kinh nghiệm và  trình độ chuyên môn cao.</t>
  </si>
  <si>
    <t>- Xây dựng câu lạc bộ sinh hoạt văn hóa dân gian tại các thôn vùng đồng bào dân tộc thiểu số và miền núi, vùng di dân tái định cư: Cơ quan chuyên môn cấp tỉnh xây dựng mô hình điểm từ đó để địa phương nhân rộng trên địa bàn</t>
  </si>
  <si>
    <t>- Hỗ trợ đầu tư xây dựng thiết chế văn hóa, thể thao và trang thiết bị tại các thôn vùng đồng bào dân tộc thiểu số và miền núi: Thống nhất danh mục trang thiết bị nhà văn hóa trong toàn tỉnh, đồng thời thực hiện tốt công tác quản lý, giám sát</t>
  </si>
  <si>
    <t>Đường giao thông từ bản Pa Thắng đi A Chè</t>
  </si>
  <si>
    <t>Lồng ghép vốn NS huyện 9.600 tr.đ và NS tỉnh 8.000 tr.đ</t>
  </si>
  <si>
    <t>Lồng ghép vốn NS huyện 4.340 tr.đ</t>
  </si>
  <si>
    <t>Biểu 10-2.1</t>
  </si>
  <si>
    <t xml:space="preserve">- Nội dung số 02, phổ biến, giáo dục pháp luật và tuyên truyền, vận động đồng bào dân tộc thiểu số: </t>
  </si>
  <si>
    <t xml:space="preserve">Tuyên truyền, truyền thông, vận động Nhân dân vùng đồng bào dân tộc thiểu số và miền núi, biên giới tham gia tổ chức, triển khai thực hiện Đề án </t>
  </si>
  <si>
    <t>Duy trì và triển khai mô hình tại các xã/huyện/trường có tỷ lệ tảo hôn và hôn nhân cận huyết thống cao; nhân rộng các mô hình phù hợp nhằm thay đổi hành vi, khả năng tiếp cận thông tin và huy động sự tham gia của cộng đồng thực hiện ngăn ngừa, giảm thiểu tảo hôn và hôn nhân cận huyết thống.</t>
  </si>
  <si>
    <t>Chi tiết tại biểu 9.2</t>
  </si>
  <si>
    <t>ĐẦU TƯ PHÁT TRIỂN NHÓM DÂN TỘC THIỂU SỐ RẤT ÍT NGƯỜI VÀ NHÓM DÂN TỘC CÒN NHIỀU KHÓ KHĂN</t>
  </si>
  <si>
    <t>Biểu 1.1</t>
  </si>
  <si>
    <t>Biểu 9.1-A</t>
  </si>
  <si>
    <t>Biểu 3.2-A</t>
  </si>
  <si>
    <t>Biểu 3.2-C</t>
  </si>
  <si>
    <t>- Kế hoạch số 3612/KH-UBND ngày 05/11/2021 của UBND tỉnh Lai Châu về việc Xúc tiến xuất khẩu hàng hóa giai đoạn sau Covid-19.
- Công văn số 246/UBND-KTN ngày 24/01/2022 về việc phối hợp tháo gỡ khó khăn, tạo thuận lợi, thúc đẩy tiêu thụ nông sản; Công văn số 353/UBND-KTN ngày 10/2/2022 về việc hỗ trợ kết nối cung cầu hàng hóa nông nghiệp và sản phẩm OCOP của tỉnh, trong đó giao Sở Công Thương triển khai nhiệm vụ hỗ trợ kết nối tiêu thụ các sản phẩm nông sản của tỉnh</t>
  </si>
  <si>
    <t>NỘI DUNG 1: ĐẦU TƯ CƠ SỞ HẠ TẦNG CHO CÁC XÃ, THÔN ĐẶC BIỆT KHÓ KHĂN (VỐN ĐẦU TƯ)</t>
  </si>
  <si>
    <t>Biểu 5</t>
  </si>
  <si>
    <t>Biểu 5.1-A</t>
  </si>
  <si>
    <t>Biểu 5.1-B</t>
  </si>
  <si>
    <t>Chi tiết tại các biểu 5.1-A và 5.1-B</t>
  </si>
  <si>
    <t>TIỂU DỰ ÁN 1: ĐỔI MỚI HOẠT ĐỘNG, CỦNG CỐ PHÁT TRIỂN CÁC TRƯỜNG PHỔ THÔNG DÂN TỘC NỘI TRÚ, TRƯỜNG PHỔ THÔNG DÂN TỘC BÁN TRÚ, TRƯỜNG PTDT CÓ HỌC SINH Ở BÁN TRÚ VÀ XÓA MÙ CHỮ CHO NGƯỜI DÂN VÙNG ĐỒNG BÀO DTTS (VỐN ĐẦU TƯ)</t>
  </si>
  <si>
    <t>TIỂU DỰ ÁN 1: ĐỔI MỚI HOẠT ĐỘNG, CỦNG CỐ PHÁT TRIỂN CÁC TRƯỜNG PHỔ THÔNG DÂN TỘC NỘI TRÚ, TRƯỜNG PHỔ THÔNG DÂN TỘC BÁN TRÚ, TRƯỜNG PTDT CÓ HỌC SINH Ở BÁN TRÚ VÀ XÓA MÙ CHỮ CHO NGƯỜI DÂN VÙNG ĐỒNG BÀO DTTS (VỐN SỰ NGHIỆP)</t>
  </si>
  <si>
    <t>Biểu 5.2-A</t>
  </si>
  <si>
    <t>Biểu 5.2-B</t>
  </si>
  <si>
    <t>TIỂU DỰ ÁN 2: BỒI DƯỠNG KIẾN THỨC DÂN TỘC; ĐÀO TẠO DỰ BỊ ĐẠI HỌC, ĐẠI HỌC VÀ SAU ĐẠI HỌC ĐÁP ỨNG NHU CẦU NHÂN LỰC CHO VÙNG ĐỒNG BÀO DÂN TỘC THIỂU SỐ</t>
  </si>
  <si>
    <t>Biểu 5.3</t>
  </si>
  <si>
    <t>Chi tiết tại biểu 5.2-A và 5.2-B</t>
  </si>
  <si>
    <t>TIỂU DỰ ÁN 3: DỰ ÁN PHÁT TRIỂN GIAO DỤC NGHỀ NGHIỆP VÀ GIẢI QUYẾT VIỆC LÀM CHO NGƯỜI LAO ĐỘNG VÙNG DÂN TỘC THIỂU SỐ VÀ MIỀN NÚI</t>
  </si>
  <si>
    <t>Biểu 5.4</t>
  </si>
  <si>
    <t>TIỂU DỰ ÁN 4: ĐÀO TẠO NÂNG CAO NĂNG LỰC CHO CỘNG ĐỒNG VÀ CÁN BỘ TRIỂN KHAI CHƯƠNG TRÌNH Ở CÁC CẤP</t>
  </si>
  <si>
    <t>Giai đoạn 2016-2020, Ban Dân tộc tỉnh được UBND tỉnh giao làm chủ đầu tư thực hiện Tiểu dự án 3 - Dự án 2 (Chương trình 135) thuộc Chương trình mục tiêu quốc gia giảm nghèo (tiểu dự án nâng cao năng lực cộng động và cán bộ cơ sở các xã đặc biệt khó khăn, xã biên giới, các thôn bản đặc biệt khó khăn) tại Thông tư số 01/2017/TT-UBDT ngày 10/5/2017 của Ủy ban Dân tộc và Quyết định số 1174/QĐ-UBND ngày 04/10/2017 của UBND tỉnh Lai Châu. Hiện nay, Tiểu dự án 3 - Dự án 2 (Chương trình 135) được tích hợp trong Quyết định số 1719/QĐ-TTg ngày 14/10/2021 của Thủ tướng Chính phủ là chính là Tiểu dự án 4 - dự án 5 thuộc Chương trình MTQG phát triển KT - XH vùng đồng bào DTTS và miền núi.
Theo Điều 75 dự thảo Thông tư hướng dẫn của Ủy ban Dân tộc quy định về cơ chế thực hiện nâng cao năng lực có ghi:“Cơ quan giúp việc Ban Chỉ đạo cấp tỉnh là chủ đầu tư tiểu dự án nâng cao năng lực trên địa bàn tỉnh”.</t>
  </si>
  <si>
    <t>Biểu 6</t>
  </si>
  <si>
    <t>Biểu 6.1 và 6.2</t>
  </si>
  <si>
    <t>Biểu 6.2</t>
  </si>
  <si>
    <t>Biểu 7.1 và 7.2</t>
  </si>
  <si>
    <t>Biểu 7.1</t>
  </si>
  <si>
    <t>CHI TIẾT VỐN ĐẦU TƯ DỰ ÁN 6</t>
  </si>
  <si>
    <t>CHI TIẾT VỐN ĐẦU TƯ DỰ ÁN 7</t>
  </si>
  <si>
    <t>Biểu 7.2</t>
  </si>
  <si>
    <t>CHI TIẾT VỐN SỰ NGHIỆP DỰ ÁN 7</t>
  </si>
  <si>
    <t>CHI TIẾT VỐN SỰ NGHIỆP DỰ ÁN 6</t>
  </si>
  <si>
    <t>Biểu 9</t>
  </si>
  <si>
    <t>Chi tiết các tại biểu 9.1-A và 9.1-B</t>
  </si>
  <si>
    <t>Biểu 9.1-B</t>
  </si>
  <si>
    <t>TIỂU DỰ ÁN 1: ĐẦU TƯ XÂY DỰNG, NÂNG CẤP, CẢI TỌA CƠ SỞ HẠ TẦNG CÁC THÔN TẬP TRUNG ĐÔNG ĐỒNG BÀO DÂN TỘC THIỂU SỐ CÓ KHÓ KHĂN ĐẶC THÙ</t>
  </si>
  <si>
    <t>CHI TIẾT VỐN SỰ NGHIỆP TIỂU DỰ ÁN 1 - DỰ ÁN 9</t>
  </si>
  <si>
    <t>CHI TIẾT VỐN ĐẦU TƯ TIỂU DỰ ÁN 1 - DỰ ÁN 9</t>
  </si>
  <si>
    <t>CHI TIẾT VỐN ĐẦU TƯ TIỂU DỰ ÁN 1 - DỰ ÁN 4</t>
  </si>
  <si>
    <t>CHI TIẾT VỐN SỰ NGHIỆP TIỂU DỰ ÁN 1 - DỰ ÁN 4</t>
  </si>
  <si>
    <t>GIẢM THIỂU TÌNH TRẠNG TẢO HÔN VÀ HÔN NHÂN CẬN HUYẾT THỐNG TRONG VÙNG ĐỒNG BÀO DTTS&amp;MN</t>
  </si>
  <si>
    <t>Biểu 10</t>
  </si>
  <si>
    <t>Biểu 10.1</t>
  </si>
  <si>
    <t>CHI TIẾT VỐN SỰ NGHIỆP TIỂU DỰ ÁN 2 - DỰ ÁN 9</t>
  </si>
  <si>
    <t>CHI TIẾT VỐN SỰ NGHIỆP TIỂU DỰ ÁN 1 - DỰ ÁN 10</t>
  </si>
  <si>
    <t>BIỂU DƯƠNG, TÔN VINH ĐIỂN HÌNH TIÊN TIẾN, PHÁT HUY VAI TRÒ CỦA NGƯỜI CÓ UY TÍN; PHỔ BIẾN, GIÁO DỤC PHÁP LUẬT VÀ TUYÊN TRUYỀN, VẬN ĐỘNG ĐỒNG BÀO</t>
  </si>
  <si>
    <t>Biểu 10.2-A</t>
  </si>
  <si>
    <t>ỨNG DỤNG CÔNG NGHỆ THÔNG TIN HỖ TRỢ PHÁT TRIỂN KINH TẾ - XÃ HỘI VÀ ĐẢM BẢO AN NINH TRẬT TỰ VÙNG ĐỒNG BÀO DTTS&amp;MN</t>
  </si>
  <si>
    <t>Vốn đầu tư chi tiết tại biểu 10.2-A và 10.2-B</t>
  </si>
  <si>
    <t>Biểu 10.2-B</t>
  </si>
  <si>
    <t>CHI TIẾT VỐN SỰ NGHIỆP TIỂU DỰ ÁN 2 - DỰ ÁN 10</t>
  </si>
  <si>
    <t>Biểu 10.3</t>
  </si>
  <si>
    <t>KIỂM TRA, GIÁM SÁT, ĐÁNH GIÁ VIỆC TỔ CHỨC THỰC HIỆN CHƯƠNG TRÌNH</t>
  </si>
  <si>
    <t>Biểu 7</t>
  </si>
  <si>
    <t>Trường Tiểu học Tả Phìn</t>
  </si>
  <si>
    <t>Trường Tiểu học Làng Mô</t>
  </si>
  <si>
    <t>Xã Tả Phìn</t>
  </si>
  <si>
    <t>Nhà văn hoá bản Hua Sỏ, xã Nậm Sỏ</t>
  </si>
  <si>
    <t>Nhà văn hoá bản Ui Dạo, xã Nậm Sỏ</t>
  </si>
  <si>
    <t>Nhà văn hoá bản Hua Pầu, thị trấn Tân Uyên</t>
  </si>
  <si>
    <t>Nhà văn hoá bản Hô Be, thị trấn Tân Uyên</t>
  </si>
  <si>
    <t>Nhà văn hóa bản Nà Hum - xã Bình Lư</t>
  </si>
  <si>
    <t>Nhà văn hóa bản Pá Mu, xã Hua Bum</t>
  </si>
  <si>
    <t>Nhà văn hóa Bản Pá Hạ, xã Pa Vệ Sủ</t>
  </si>
  <si>
    <t>Nhà văn hóa Bản Chà Gá, xã Pa Vệ Sủ</t>
  </si>
  <si>
    <t>Nhà văn hóa Bản Xá Phìn, xã Pa Vệ Sủ</t>
  </si>
  <si>
    <t>Nhà văn hóa Bản Bó, xã Mường Tè</t>
  </si>
  <si>
    <t xml:space="preserve"> Nhà văn hóa Bản Sì Thau Trải, xã Can Hồ</t>
  </si>
  <si>
    <t>Huyện Mường Tè (Dự kiến thực hiện trồng 32 ha Sâm lai châu (05 dự án) tại các xã Pa Vệ Sủ, Tá Pạ, Thu Lũm, Ka Lăng)</t>
  </si>
  <si>
    <t>Chi mua sắm trang thiết bị trong hàng rào dự án</t>
  </si>
  <si>
    <t>(1)</t>
  </si>
  <si>
    <t xml:space="preserve">Hỗ trợ kinh phí cải tạo cơ sở hạ tầng (bao gồm 50 triệu/ha xây dựng cơ sở hạ tầng) </t>
  </si>
  <si>
    <t>(2)</t>
  </si>
  <si>
    <t>(3)</t>
  </si>
  <si>
    <t>(4)</t>
  </si>
  <si>
    <t>Hỗ trợ kinh phí thực hiện đề tài nghiên cứu khoa học, mua bản quyền công nghệ, mua công nghệ …</t>
  </si>
  <si>
    <t>(5)</t>
  </si>
  <si>
    <t>(6)</t>
  </si>
  <si>
    <t>Huyện Nậm Nhùn (Dự kiến thực hiện trồng 7 ha Sâm lai châu (01 dự án) tại các xã Hua Bum, Nậm Ban, Trung Chải, Nậm Pì)</t>
  </si>
  <si>
    <t xml:space="preserve">Biên tập các nội dung truyền thông tại cộng đồng 
</t>
  </si>
  <si>
    <t>Nói chuyện chuyên đề Đảm bảo tiếng nói và sự tham gia thực chất của trẻ em trong các hoạt động phát triển kinh tế - xã hội của cộng đồng, giám sát và phản biện; hỗ trợ phụ nữ tham gia lãnh đạo trong hệ thống chính trị</t>
  </si>
  <si>
    <t>Biên tập các nội dung truyền thông tại cộng đồng (tin, bài)</t>
  </si>
  <si>
    <t>NSH bản Noong Thăng, Sam Sẩu, Sắp Ngua, Che Bó, Nâm Vai xã Phúc Than</t>
  </si>
  <si>
    <t>NSH bản Huồi cầy xã Ta Gia</t>
  </si>
  <si>
    <t>NSH bản Hô Ta, bản Mở, Đán Tọ, bản Pá Liềng xã Tà Mung</t>
  </si>
  <si>
    <t>NSH bản Hua Đán, bản Tà Lồm,  bản Chế Hạng xã Khoen On</t>
  </si>
  <si>
    <t>Công trình NSH bản Thào, xã Hố Mít</t>
  </si>
  <si>
    <t>Sửa chữa NSH bản Lao Chải, nhóm hộ bản Gia Khâu bản Phố Vây, xã Sì Lở Lầu</t>
  </si>
  <si>
    <t>Sửa chữa NSH bản Hợp II, xã Dào San</t>
  </si>
  <si>
    <t>Sửa chữa NSH bản Ma Ly Pho, xã Ma Ly Pho</t>
  </si>
  <si>
    <t>NSH bản Phi Én, xã Tủa Sín Chải</t>
  </si>
  <si>
    <t>NSH bản Nậm Phìn, xã Căn Co</t>
  </si>
  <si>
    <t>NSH trung tâm xã (bản Tân Lập, Cuổi tở 1+2, Cuổi Nưa, Ná Lạnh và các đơn vị xã ), xã Nậm Cuổi</t>
  </si>
  <si>
    <t>Nước sinh hoạt bản Ma Sang</t>
  </si>
  <si>
    <t>Nước sinh hoạt bản Ứ Ma; sửa chữa NSH tập trung các bản Nhú Ma, Tân Biên, Hà Xi  xã Pa Ủ, huyện Mường Tè</t>
  </si>
  <si>
    <t>NSH bản Muông, bản Huổi Hằm,  bản Phiêng Cẩm xã Mường Cang</t>
  </si>
  <si>
    <t>NSH bản Là 1+2,  Nà É, bản Khiểt, Thẩm Phé  xã Mường Kim</t>
  </si>
  <si>
    <t>NSH bản Hua Chít, Noong Ỏ,  Noong Ma xã Tà Hừa</t>
  </si>
  <si>
    <t>Công trình NSH bản Khâu Hỏm; bản Hua Sỏ; bản Hô Cả xã Nậm Sỏ</t>
  </si>
  <si>
    <t>Công trình NSH bản Nà Nọi; bản Hô Be thị trấn Tân Uyên</t>
  </si>
  <si>
    <t>NSH bản Háng Lìa Hồng Thứ - Tìa Chí Lư, xã Tủa Sín Chải</t>
  </si>
  <si>
    <t>NSH bản Dền Thàng, xã Tả Ngảo</t>
  </si>
  <si>
    <t>NC, SC NSH bản Lao Hu San, xã Căn Co</t>
  </si>
  <si>
    <t>NSH liên bản Phiêng Trạng, Nậm Há, Ná Sái, Ta Pưn, Pắn Ngọi, xã Noong Hẻo</t>
  </si>
  <si>
    <t>Nước sinh hoạt bản Huổi Van xã Nậm Hàng</t>
  </si>
  <si>
    <t>Nước sinh hoạt bản Huổi Lĩnh, xã Nậm Chà</t>
  </si>
  <si>
    <t>TT Tân Uyên</t>
  </si>
  <si>
    <t xml:space="preserve">Huyện Tam Đường (Dự kiến trồng 20 ha Sâm Lai Châu (03 dự án) tại các xã Khun Há, Giang Ma, Hồ Thầu) </t>
  </si>
  <si>
    <t xml:space="preserve">Huyện Phong Thổ (Dự kiến trồng 20 ha Sâm Lai Châu (03 dự án) tại các xã Sì Lở Lầu, Mồ Sì San, Pa Vây Sử, Tung Qua Lìn, Dào San, Sin Suối Hồ) </t>
  </si>
  <si>
    <t>Huyện Sìn Hồ (Dự kiến thực hiện trồng 20 ha Sâm lai châu (03 dự án) tại các xã Sà Dề Phìn, Phăng Sô Lin, Tả Ngảo, Tủa Sín Chải,  Làng Mô, Tả Phìn, Thị trấn Sìn Hồ)</t>
  </si>
  <si>
    <t>Phát triển Chuỗi giá trị gạo Tẻ râu theo quy trình VietGap tại Tam Đường, Phong thổ, Thành phố (quy mô 100 ha)</t>
  </si>
  <si>
    <t>Phát triển Chuỗi giá trị chè hữu cơ Phong thổ, Sìn Hồ  (quy mô 100 ha)</t>
  </si>
  <si>
    <t>Phát triển Chuỗi giá trị chè hữu cơ Tân Uyên, Than Uyên  (quy mô 100 ha)</t>
  </si>
  <si>
    <t>Dự án Liên kết sản xuất phát triển chăn nuôi lợn đảm bảo an toàn sinh học trên địa bàn huyện Tam Đường và Phong Thổ.</t>
  </si>
  <si>
    <t>Dự án chăn nuôi gà thương phẩm gắn với liên kết tiêu thụ sản hẩm trên địa bàn huyện Tam Đường, Than Uyên và Tân Uyên”.</t>
  </si>
  <si>
    <t xml:space="preserve"> Dự án liên kết sản xuất và tiêu thụ cá Rô phi theo tiêu chuẩn VietGAP trên địa bàn tỉnh Lai Châu”.</t>
  </si>
  <si>
    <t>Dự án liên kết sản xuất và tiêu thụ cá Tầm trong lồng trên hồ thủy điện Bản Chát huyện Than Uyên.</t>
  </si>
  <si>
    <t>Dự án liên kết trồng ớt trung đoàn (các xã Ka Lăng, Thu Lũm)</t>
  </si>
  <si>
    <t>Dự án liên kết trồng khoai sọ (các xã Kan Hồ, Bum Tở, Nậm Khao)</t>
  </si>
  <si>
    <t>Dự án liên kết chăn nuôi gia súc (trâu, bò, ngựa  các xã Kan Hồ, Tà Tổng)</t>
  </si>
  <si>
    <t>Dự án hỗ trợ chăn nuôi gia súc (trâu, bò, lợn...)</t>
  </si>
  <si>
    <t>Dự án hỗ trợ trồng cây ăn quả(xoài)</t>
  </si>
  <si>
    <t>Dự án hỗ trợ chăn nuôi gia súc, gia cầm</t>
  </si>
  <si>
    <t>Dự án hỗ trợ trồng  (Thất diệp nhất chi hoa, lan kim tuyến…)</t>
  </si>
  <si>
    <t>Dự án hỗ trợ chăn nuôi gia súc (bò, dê...)</t>
  </si>
  <si>
    <t>Dự án trồng trọt (trồng gừng, dong, riềng...)</t>
  </si>
  <si>
    <t>Dự án trồng cây ăn quả (mận, lê, xoài…)</t>
  </si>
  <si>
    <t>Dự án hỗ trợ chăn nuôi gia súc (dê, dúi….)</t>
  </si>
  <si>
    <t>Dự án trồng trọt (xoài, dong, riềng…)</t>
  </si>
  <si>
    <t>Dự án hỗ trợ chăn nuôi (dúi, dê, bò…)</t>
  </si>
  <si>
    <t>Dự án hỗ trợ chăn nuôi (bò, dê, dúi…)</t>
  </si>
  <si>
    <t>Dự án trồng trọt (trồng gừng, dong, riềng, mận, lê...)</t>
  </si>
  <si>
    <t>Dự án hỗ trợ chăn nuôi  (bò, dê, dúi, lợn...)</t>
  </si>
  <si>
    <t>Dự án trồng cây ăn quả ôn đới</t>
  </si>
  <si>
    <t>Dự án hỗ trợ trồng cây ăn quả  ( Xoài...)</t>
  </si>
  <si>
    <t>Dự án Chăn nuôi gia súc</t>
  </si>
  <si>
    <t>Dự án trồng dược liệu (Thất diệp nhất chi hoa, lan kim tuyến…)</t>
  </si>
  <si>
    <t>Dự án liên kết trồng và tiêu thụ Mía chất lượng cao tại xã Trung Chải</t>
  </si>
  <si>
    <t>Hỗ trợ trồng và tiêu thụ địa lan xã Nậm Pì</t>
  </si>
  <si>
    <t>Hỗ trợ phát triển chăn nuôi gia súc (chuồng trại, trồng cỏ, con giống trâu, bò, lợn,..) và hỗ trợ phát triển đàn Ong</t>
  </si>
  <si>
    <t>Hỗ trợ nguyên liệu, giống cây trồng, vật tư kỹ thuật : Xoài;  nhà xưởng, máy móc thiết bị, lao động,..kỹ thuật sơ chế, bảo quản nông sản,...</t>
  </si>
  <si>
    <t>Hỗ trợ phát triển chăn nuôi gia súc (chuồng trại, trồng cỏ, con giống trâu, bò) và hỗ trợ phát triển đàn Ong</t>
  </si>
  <si>
    <t>Hỗ trợ nguyên liệu, giống con, vật tư kỹ thuật: Giống mía,  hỗ trợ cơ sở chế biến các sản phẩm chăn nuôi,  nâng cao năng lực sơ chế, chế biến và phát triển thị trường,...</t>
  </si>
  <si>
    <t>Hỗ trợ phát triển chăn nuôi gia súc (chuồng trại, trồng cỏ, con giống trâu, bò.….) và hỗ trợ phát triển đàn Ong</t>
  </si>
  <si>
    <t>Hỗ trợ nguyên liệu, giống cây, vật tư kỹ thuật : Giống Địa lan, tập huấn kỹ thuật trồng, chăm sóc, kỹ thuật chăn nuôi; hỗ trợ nhà lướt, nhà màng,..và các trang thiết bị sản xuất khác,... nâng cao năng lực sơ chế, chế biến và phát triển thị trường,...</t>
  </si>
  <si>
    <t>Hỗ trợ phát triển chăn nuôi gia súc (chuồng trại, trồng cỏ, con giống trâu, bò,….) và hỗ trợ phát triển đàn Ong</t>
  </si>
  <si>
    <t>Hỗ trợ nguyên liệu, giống cây, con, vật tư kỹ thuật : Mắc ca, nhà xưởng, trang thiết bị sản xuất,...hỗ trợ cơ sở chế biến các sản phẩm chăn nuôi,  nâng cao năng lực sơ chế, chế biến và phát triển thị trường,...</t>
  </si>
  <si>
    <t>Hỗ trợ nguyên liệu, giống cây,  vật tư kỹ thuật: Đại lan,  nâng cao năng lực sơ chế, chế biến và phát triển thị trường,...</t>
  </si>
  <si>
    <t>Hỗ trợ nguyên liệu, giống cây, vật tư kỹ thuật: Xoài, nhà xưởng, trang thiết bị phục vụ sản xuất, tiêu thụ sản phẩm, lao động, nâng cao năng lực sơ chế, chế biến, hỗ trợ áp dụng kỹ thuật, phát triển thị trường,...</t>
  </si>
  <si>
    <t>Hỗ trợ nguyên liệu, giống cây, vật tư kỹ thuật: Giống cây xoài, hỗ trợ cơ sở chế biến các sản phẩm chăn nuôi,  nâng cao năng lực sơ chế, chế biến và phát triển thị trường,...</t>
  </si>
  <si>
    <t>Hỗ trợ phát triển chăn nuôi gia súc (chuồng trại, trồng cỏ, con giống trâu, bò,...) và hỗ trợ phát triển đàn Ong</t>
  </si>
  <si>
    <t>Hỗ trợ nguyên liệu, giống cây,  vật tư kỹ thuật : Giống xoài, mắc ca, các con giống cá chủ lực, nâng cao năng lực sơ chế, chế biến và phát triển thị trường,...</t>
  </si>
  <si>
    <r>
      <t>Dự án liên kết trồng và tiêu thụ (</t>
    </r>
    <r>
      <rPr>
        <i/>
        <sz val="10"/>
        <rFont val="Times New Roman"/>
        <family val="1"/>
      </rPr>
      <t>Lúa, Chanh leo….</t>
    </r>
    <r>
      <rPr>
        <sz val="10"/>
        <rFont val="Times New Roman"/>
        <family val="1"/>
      </rPr>
      <t>.) xã Dào San</t>
    </r>
  </si>
  <si>
    <r>
      <t>Dự án liên kết trồng và tiêu thụ (</t>
    </r>
    <r>
      <rPr>
        <i/>
        <sz val="10"/>
        <rFont val="Times New Roman"/>
        <family val="1"/>
      </rPr>
      <t>Lúa, Mía, Chanh leo, Dứa….</t>
    </r>
    <r>
      <rPr>
        <sz val="10"/>
        <rFont val="Times New Roman"/>
        <family val="1"/>
      </rPr>
      <t>), xã Bản Lang</t>
    </r>
  </si>
  <si>
    <r>
      <t>Dự án liên kết trồng và tiêu thụ  (</t>
    </r>
    <r>
      <rPr>
        <i/>
        <sz val="10"/>
        <rFont val="Times New Roman"/>
        <family val="1"/>
      </rPr>
      <t>Lúa, Chanh leo….</t>
    </r>
    <r>
      <rPr>
        <sz val="10"/>
        <rFont val="Times New Roman"/>
        <family val="1"/>
      </rPr>
      <t>), xã Sin Suối Hồ</t>
    </r>
  </si>
  <si>
    <r>
      <t xml:space="preserve">Dự án liên kết trồng và tiêu thụ </t>
    </r>
    <r>
      <rPr>
        <i/>
        <sz val="10"/>
        <rFont val="Times New Roman"/>
        <family val="1"/>
      </rPr>
      <t>(Lúa, Mía, Dứa, Chanh leo…....), Nậm Xe</t>
    </r>
  </si>
  <si>
    <r>
      <t xml:space="preserve">Dự án liên kết trồng và tiêu thụ </t>
    </r>
    <r>
      <rPr>
        <i/>
        <sz val="10"/>
        <rFont val="Times New Roman"/>
        <family val="1"/>
      </rPr>
      <t>(Mía, dứa, Chanh leo…), Hoang Thèn</t>
    </r>
  </si>
  <si>
    <r>
      <t>Dự án liên kết trồng và tiêu thụ (</t>
    </r>
    <r>
      <rPr>
        <i/>
        <sz val="10"/>
        <rFont val="Times New Roman"/>
        <family val="1"/>
      </rPr>
      <t>Lúa, Mía, Chanh leo, Dứa…</t>
    </r>
    <r>
      <rPr>
        <sz val="10"/>
        <rFont val="Times New Roman"/>
        <family val="1"/>
      </rPr>
      <t>..), xã Mù Sang</t>
    </r>
  </si>
  <si>
    <r>
      <t>Dự án liên kết trồng và tiêu thụ (</t>
    </r>
    <r>
      <rPr>
        <i/>
        <sz val="10"/>
        <rFont val="Times New Roman"/>
        <family val="1"/>
      </rPr>
      <t>Chanh leo, dứa…</t>
    </r>
    <r>
      <rPr>
        <sz val="10"/>
        <rFont val="Times New Roman"/>
        <family val="1"/>
      </rPr>
      <t>.) xã Lản Nhì Thàng</t>
    </r>
  </si>
  <si>
    <t>Hỗ trợ cây trồng (Dong riềng, Trồng chuối, cây Lê, đậu tương…)</t>
  </si>
  <si>
    <t xml:space="preserve">Hỗ trợ phát triển chăn nuôi gia súc (Con giống: Trâu, bò, ngựa, lợn….; chuồng trại, trồng cỏ….) </t>
  </si>
  <si>
    <t>Hỗ trợ cây trồng (Dong riềng, cây Lê, đậu tương…)</t>
  </si>
  <si>
    <t>Hỗ trợ cây trồng (Cây Lê, đậu tương, …)</t>
  </si>
  <si>
    <t>Hỗ trợ cây trồng (Dong riềng, cây Mắc ca, cây Lê…)</t>
  </si>
  <si>
    <t>Hỗ trợ cây trồng (Mắc ca, Dong riềng, Xoài, Chuối…......)</t>
  </si>
  <si>
    <t>Hỗ trợ cây trồng (Dong Riềng, Cây Mắc ca, Lê…..)</t>
  </si>
  <si>
    <t>Hỗ trợ cây trồng (Dong riềng, Xoài, Cây Mắc ca…......)</t>
  </si>
  <si>
    <t>Hỗ trợ cây trồng (Mắc ca, chuối, xoài…)</t>
  </si>
  <si>
    <t>Hỗ trợ cây trồng (Dong riềng, chuối, xoài…)</t>
  </si>
  <si>
    <t>Hỗ trợ trồng (Dong riềng, Xoài, Mắc ca…..)</t>
  </si>
  <si>
    <t>Hỗ trợ cây trồng (chuối, mía, xoài, chanh leo, dứa…....)</t>
  </si>
  <si>
    <t>Hỗ trợ cây trồng (Xoài, dong riềng, mía…)</t>
  </si>
  <si>
    <t xml:space="preserve">Hỗ trợ phát triển chăn nuôi gia súc (Con giống: lợn….; chuồng trại….) </t>
  </si>
  <si>
    <t>Liên kết sản xuất và tiêu thụ sản phẩm dong riềng tại các xã thị trấn trên địa bàn huyện</t>
  </si>
  <si>
    <t>Liên kết sản xuất và tiêu thụ sản phẩm mắc ca trồng xen chè  tại các xã thị trấn trên địa bàn huyện</t>
  </si>
  <si>
    <t>Tên dự án năm 2025: Hỗ trợ mô hình trồng dong riềng</t>
  </si>
  <si>
    <t>Chuỗi liên kết sản xuất, tiêu thụ sản phẩm rau củ quả (ngô ngọt) tại các xã Tà Mung, Mường Than, Phúc Than, Mường Kim</t>
  </si>
  <si>
    <t>Chuỗi liên kết sản xuất, tiêu  thụ sản phẩm Xoài tại các xã Mường Than, Hua Nà, Mường Cang, Khoen On, Tà Hừa, Mường Kim</t>
  </si>
  <si>
    <t>Chuỗi liên kết sản xuất, tiêu thụ sản phẩm chanh leo tại các xã Mường Than, Mường Kim, Ta Gia, Khoen On, Tà Hừa, Pha Mu</t>
  </si>
  <si>
    <t>Chuỗi liên kết sản xuất, tiêu thụ sản phẩm mật ong tại các xã Phúc Than, Mường Than, Hua Nà, Mường Cang, Mường Kim, Tà Mung, Ta Gia, Khoen On, Pha Mu, Tà Hừa</t>
  </si>
  <si>
    <t>Hỗ trợ phát triển sản xuất theo chuỗi liên kết sản xuất, tiêu thụ sản phẩm cây  Mắc ca</t>
  </si>
  <si>
    <t>Hỗ trợ phát triển sản xuất theo chuỗi liên kết sản xuất, tiêu thụ cây Hoa Địa Lan</t>
  </si>
  <si>
    <t xml:space="preserve"> Hỗ trợ phát triển sản xuất theo chuỗi liên kết sản xuất, tiêu thụ Cá Lồng</t>
  </si>
  <si>
    <t xml:space="preserve">Hỗ trợ phát triển sản xuất theo chuỗi liên kết sản xuất, tiêu thụ cây ôn đới ( Cây Lê) </t>
  </si>
  <si>
    <t xml:space="preserve"> Hỗ trợ phát triển sản xuất theo chuỗi liên kết sản xuất, tiêu thụ sản xuất  Chè an toàn;  cây Dong Riềng.</t>
  </si>
  <si>
    <t>Dự án Trồng và tiêu thụ sản phẩm quả dứa theo chuỗi giá trị tại xã Nậm Cuổi</t>
  </si>
  <si>
    <t>Dự án  Trồng và tiêu thụ sản phẩm quả dứa theo chuỗi giá trị tại xã  Nậm Hăn</t>
  </si>
  <si>
    <t>Dự án Trồng và tiêu thụ sản phẩm quả dứa theo chuỗi giá trị tại xã Nậm Cha</t>
  </si>
  <si>
    <t>Dự án Trồng và tiêu thụ sản phẩm quả dứa theo chuỗi giá trị tại xã  Căn Co</t>
  </si>
  <si>
    <t>Dự án hỗ trợ trồng cây ăn quả (Lê, Chuối); phát triển chăn nuôi gia súc (trâu, dê, lợn) tại xã Phìn Hồ</t>
  </si>
  <si>
    <t>Dự án  hỗ trợ trồng cây ăn quả (Lê); trồng rau hữu cơ, nuôi ong lấy mật tại xã Sà Dề Phìn</t>
  </si>
  <si>
    <t>Dự án  hỗ trợ trồng cây ăn quả (Xoài, Chuối); phát triển chăn nuôi gia súc (trâu, dê, lợn) tại xã Hồng Thu</t>
  </si>
  <si>
    <t>Dự án  hỗ trợ trồng cây ăn quả (Lê), trồng Dược liệu (Đương quy) tại xã Làng Mô</t>
  </si>
  <si>
    <t>Dự án  hỗ trợ trồng cây ăn quả (Lê); trồng cây dược liệu (đương quy, actiso); tại xã Phăng Sô Lin</t>
  </si>
  <si>
    <t>Dự án  hỗ trợ trồng cây ăn quả (Lê); trồng dược liệu (Đương quy, actiso); nuôi ong lấy mật tại xã Tả Ngảo</t>
  </si>
  <si>
    <t>Dự án  hỗ trợ  trồng cây ăn quả (Lê); trồng dược liệu (Đương quy, actiso) tại xã Tả Phìn</t>
  </si>
  <si>
    <t>Dự án  hỗ trợ trồng cây ăn quả (Lê); trồng dược liệu (Đương quy, actiso) tại xã Tủa Sín Chải</t>
  </si>
  <si>
    <t>Dự án  hỗ trợ  trồng dược liệu (Đương quy, actiso); trồng rau hữu cơ tại Thị trấn Sìn Hồ</t>
  </si>
  <si>
    <t>Dự án phát triển chăn nuôi gia súc (trâu, bò, lợn) tại xã Nậm Cuổi</t>
  </si>
  <si>
    <t>Dự án phát triển chăn nuôi gia súc (trâu, bò, lợn) tại xã  Nậm Hăn</t>
  </si>
  <si>
    <t>Dự án  phát triển chăn nuôi gia súc (trâu, bò, lợn) tại xã Căn Co</t>
  </si>
  <si>
    <t>Dự án  hỗ trợ  trồng cây ăn quả (Dứa); nuôi ong lấy mật tại xã Pa Khóa</t>
  </si>
  <si>
    <t>Dự án  hỗ trợ trồng cây ăn quả (Xoài), phát triển chăn nuôi gia súc (trâu, dê, lợn ) tại xã Ma Quai</t>
  </si>
  <si>
    <t>Dự án  nuôi cá lồng lòng hồ thủy điện tại xã Nậm Cha</t>
  </si>
  <si>
    <t>Dự án  hỗ trợ nuôi ong lấy mật; phát triển chăn nuôi gia súc (trâu, bò, lợn) tại xã Noong Hẻo</t>
  </si>
  <si>
    <t>Dự án  hỗ trợ trồng cây ăn quả (Chuối, xoài), phát triển chăn nuôi gia súc (trâu, dê, lợn) tại xã Pa Tần</t>
  </si>
  <si>
    <t>Dự án  hỗ trợ nuôi ong lấy mật; phát triển chăn nuôi gia súc (trâu, bò, lợn) tại xã Pu Sam Cáp</t>
  </si>
  <si>
    <t>Dự án  hỗ trợ  nuôi ong lấy mật; phát triển chăn nuôi gia súc (trâu, lợn) tại xã Chăn Nưa</t>
  </si>
  <si>
    <t>Dự án  hỗ trợ nuôi ong lấy mật; phát triển chăn nuôi gia súc (trâu, bò, lợn) tại Lùng Thàng</t>
  </si>
  <si>
    <t>Dự án  hỗ trợ trồng cây ăn quả (Dứa); phát triển chăn nuôi gia súc (trâu, bò, lợn) tại xã Nậm Tăm</t>
  </si>
  <si>
    <t xml:space="preserve">Hỗ trợ phát triển cây dong riềng tại 02 bản (Sin Chải, Căn Câu) xã Sùng Phài </t>
  </si>
  <si>
    <t>Hỗ trợ phát triển chăn nuôi đại gia súc tại 03 bản (Suối Thầu, Trung Chải, Tả Chải) xã Sùng Phài</t>
  </si>
  <si>
    <t>Huyện Tân Uyên (Dự kiến thực hiện trồng 7 ha Sâm lai châu (01 dự án) tại xã Mường Khoa, Hố Mít)</t>
  </si>
  <si>
    <t>Biên soạn sổ tay nghiệp vụ tuyên truyền dành cho đội ngũ thực hiện công tác tuyên truyền 956 thôn x 5 cuốn ( điều 56 Thông tư 15/2022/TT-BTC ngày 04/3/2022)</t>
  </si>
  <si>
    <t>Phát hành áp phic về tác hại của tảo hôn dành và sản xuất phóng sự truyền hình tuyên truyền cho học sinh trung học cơ sở (thời gian triển khai năm 2022)</t>
  </si>
  <si>
    <t xml:space="preserve">Tờ </t>
  </si>
  <si>
    <t>Phát hành tờ rơi về tác hại của tảo hôn dành và sản xuất phóng sự truyền hình tuyên truyền cho học sinh trung học cơ sở (thời gian triển khai năm 2022)</t>
  </si>
  <si>
    <t>Mua sắm trang thiết bị cho các trường phổ thông DTNT, bán trú, có học sinh bán trú</t>
  </si>
  <si>
    <t>Hỗ trợ người dân tham gia học xoá mù chữ</t>
  </si>
  <si>
    <t>Bồi dưỡng, tập huấn, truyền thông, tuyên truyền</t>
  </si>
  <si>
    <t>Hỗ trợ tài liệu học tập, sách giáo khoa, văn phòng phẩm</t>
  </si>
  <si>
    <t>Trồng Quế</t>
  </si>
  <si>
    <t>Kinh phí quản lý, kiểm tra, nghiệm thu</t>
  </si>
  <si>
    <t>Sắp xếp ổn định dân cư bản Khu Bình An (bản Mán Tiển) xã Bản Lang</t>
  </si>
  <si>
    <t>Sắp xếp ổn định dân cư vùng biên giới bản A Chè, xã Thu Lũm, huyện Mường Tè</t>
  </si>
  <si>
    <t>Sắp xếp ổn định dân cư vùng thiên tai bản Chà Dì, xã Bum Tở huyện Mường Tè</t>
  </si>
  <si>
    <t>Sắp xếp ổn định dân cư bản Ma Sang, xã Nậm Pì</t>
  </si>
  <si>
    <t>Sắp xếp, bố trí, ổn định dân cư bản Huổi Pha xã Nậm Hăn</t>
  </si>
  <si>
    <t>Bố trí sắp xếp ổn định dân cư tập trung vùng thiên tai bản Căn Câu - xã Sin Suối Hồ</t>
  </si>
  <si>
    <t>Dự án bố trí ổn định dân cư tập trung vùng đặc biệt khó khăn bản Sin Chải, xã Sùng Phài, thành phố Lai Châu</t>
  </si>
  <si>
    <t>Sắp xếp ổn định dân cư xen ghép vùng đặc biệt khó khăn tại xã Tà Mung</t>
  </si>
  <si>
    <t>Sắp xếp di chuyển dân cư tập trung ra khỏi vùng nguy cơ thiên tai Bản Ngam Ca, xã Nậm Sỏ</t>
  </si>
  <si>
    <t>3.1</t>
  </si>
  <si>
    <t xml:space="preserve">Hoạt động tuyên truyền giáo dục pháp luật liên quan về lĩnh vực hôn nhân, về tác hại của tảo hôn và hôn nhân cận huyết thống về sức khỏe sinh sản… </t>
  </si>
  <si>
    <t>+</t>
  </si>
  <si>
    <t>Phát hành áp phic về tác hại của tảo hôn và hôn nhân cận huyết thống, về sức khỏe sinh sản…  dành dành cho học sinh trường DTNT (thời gian triển khai năm 2022-2023)</t>
  </si>
  <si>
    <t>Phát hành tờ rơi tuyên truyền cho học sinh, cha mẹ học sinh trường DTNT về tác hại của tảo hôn và hôn nhân cận huyết thống về sức khỏe sinh sản…  dành dành cho học sinh trường DTNT (thời gian triển khai năm 2022-2023)</t>
  </si>
  <si>
    <t>Sản xuất chương trình, xây dựng video (ghi đĩa, usb) tuyên truyền tác hại của tảo hôn, hôn nhân cận huyết thống và sức khỏe sinh sản… dành cho học sinh trường DTNT (thời gian triển khai năm 2022-2023)</t>
  </si>
  <si>
    <t>Tổ chức hoạt động truyền thông tại trường DTNT về tác hại tảo hôn (8 trường x 1 cuộc/năm x 4 năm, )</t>
  </si>
  <si>
    <t>Pano truyền thông (biển hiệu) khu vực cổng trưởng/khuôn viên trường học (THPT, PTDTNT)</t>
  </si>
  <si>
    <t>Tổ chức cuộc thi cấp trường về tác hại của tảo hôn và hôn nhân cận huyết thống về sức khỏe sinh sản…</t>
  </si>
  <si>
    <t>Tổ chức cuộc thi cấp tỉnh (đối với các trường DTNT) về tác hại của tảo hôn và hôn nhân cận huyết thống về sức khỏe sinh sản…</t>
  </si>
  <si>
    <t>3.2</t>
  </si>
  <si>
    <t>Nâng cao nhận thức học sinh</t>
  </si>
  <si>
    <t>Tổ chức Hội thi viết cấp tỉnh danh cho đối tượng học sinh THCS, THPT tìm hiểu về về tác hại của tảo hôn và hôn nhân cận huyết thống (thời gian thực hiện năm năm 2023-2024)</t>
  </si>
  <si>
    <t>Hội nghị tuyên truyền hạn chế tình trạng tảo hôn và hôn nhân cận huyết thống; tập huấn về kiến thức, kỹ năng  truyền thông, vận động, tư vấn pháp luật liên quan về hôn nhân và gia đình cho đồng bào DTTS, thanh thiếu niên trên địa bàn</t>
  </si>
  <si>
    <t>Tổ chức hoạt động truyền thông tại trường về tác hại tảo hôn tại các nhà trường</t>
  </si>
  <si>
    <t>Pano truyền thông (biển hiệu) khu vực cổng trưởng/khuôn viên trường học</t>
  </si>
  <si>
    <t xml:space="preserve"> NSH bản Pắn Ngọi+Ta Pưn, xã Noong Hẻo</t>
  </si>
  <si>
    <t>Tỷ lệ (%) vốn giữa cấp tỉnh và cấp huyện so với vốn phân bổ ngân sách trung ương</t>
  </si>
  <si>
    <t>Sở Văn hóa, thể thao và du lịch</t>
  </si>
  <si>
    <t>Tổ chức hoạt động thi đấu thể thao truyền thống trong các ngày hội, liên hoan, giao lưu nhằm bảo tồn các môn thể thao truyền thống, các trò chơi dân gian của các dân tộc thiểu số</t>
  </si>
  <si>
    <t>Câu lạc bộ dân ca dân vũ dân tộc Lào huyện Tân Uyên</t>
  </si>
  <si>
    <t>Câu lạc bộdân ca dân vũ dân tộc Lự</t>
  </si>
  <si>
    <t>Câu lạc bộdân ca dân vũ dân tộc Kháng</t>
  </si>
  <si>
    <t>Câu lạc bộ hát then đàn tính dân tộc Thái</t>
  </si>
  <si>
    <t>Câu lạc bộ khèn dân tộc Mông</t>
  </si>
  <si>
    <t>Xây dựng câu lạc bộ dân ca dân vũ dân tộc Dao</t>
  </si>
  <si>
    <t>Câu lạc bộ hát dân ca dân vũ dân tộc Mảng</t>
  </si>
  <si>
    <t>Câu lạc bộ hát dân ca dân vũ dân tộc Cống</t>
  </si>
  <si>
    <t xml:space="preserve"> Câu lạc bộ dân ca dân vũ dân tộc La Hủ</t>
  </si>
  <si>
    <t xml:space="preserve"> Câu lạc bộ dân ca dân vũ dân tộc Hà Nhì</t>
  </si>
  <si>
    <t xml:space="preserve"> Câu lạc bộ dân ca dân vũ dân tộc Si La</t>
  </si>
  <si>
    <t>Xã Phúc Than
Huyện Than Uyên</t>
  </si>
  <si>
    <t>Xã Ta Gia
Huyện Than Uyên</t>
  </si>
  <si>
    <t>Xã Hua Nà
Huyện Than Uyên</t>
  </si>
  <si>
    <t>Xã Tà Mung
Huyện Than Uyên</t>
  </si>
  <si>
    <t xml:space="preserve"> Xã Khoen On
Huyện Than Uyên</t>
  </si>
  <si>
    <t>Xã Hố Mít
Huyện Tân Uyên</t>
  </si>
  <si>
    <t>Xã Sì Lở Lầu
Huyện Phong Thổ</t>
  </si>
  <si>
    <t>Xã Dào San
Huyện Phong Thổ</t>
  </si>
  <si>
    <t xml:space="preserve"> xã Tủa Sín Chải
Huyện Sìn Hồ</t>
  </si>
  <si>
    <t>xã Nậm Cuổi
Huyện Sìn Hồ</t>
  </si>
  <si>
    <t>xã Ka Lăng
Huyện Mường Tè</t>
  </si>
  <si>
    <t>xã Pa Ủ
Huyện Mường Tè</t>
  </si>
  <si>
    <t>Vốn ngân sách trung ương dự kiến thông báo (vòng 1)</t>
  </si>
  <si>
    <t>Vốn ngân sách trung ương (Tờ trình 134/TTr-CP; 517/NQ-UBTVQH15)</t>
  </si>
  <si>
    <t>Chênh lệch vốn đầu tư NSTW
tăng (+)
giảm (-)</t>
  </si>
  <si>
    <t>Vốn ngân sách trung ương (Tờ trình 134/TTr-CP; 517/NQ-UBTVQH15; Tờ trình 3466/TTr-BKHĐT)</t>
  </si>
  <si>
    <t>1 NVH</t>
  </si>
  <si>
    <t>Sắp xếp ổn định dân cư bản bản Huổi Van, xã Nậm Hàng</t>
  </si>
  <si>
    <t>Nhà văn hóa bản Noong Ma xã Tà Hừa</t>
  </si>
  <si>
    <t>Nhà văn hóa bản Hua Chít xã Tà Hừa</t>
  </si>
  <si>
    <t>Nhà Văn hóa bản Cáp Na 1 xã Tà Hừa</t>
  </si>
  <si>
    <t>Nhà văn hóa bản Cang Mường xã Mường Cang</t>
  </si>
  <si>
    <t>Nhà văn hóa bản Co Nọi xã Mường Cang</t>
  </si>
  <si>
    <t>Nhà văn hóa bản Pù Quải xã Mường Cang</t>
  </si>
  <si>
    <t>Nhà văn hóa bản Chế Hạng xã Khoen On</t>
  </si>
  <si>
    <t>Nhà Văn hóa bản Nà Khương xã Mường Kim</t>
  </si>
  <si>
    <t>Nhà văn hóa bản Lun 2 xã Tà Mung</t>
  </si>
  <si>
    <t>Nhà văn hóa bản Tu San xã Tà Mung</t>
  </si>
  <si>
    <t>Đường giao thông và hệ thống thoát nước bản Tả Chải</t>
  </si>
  <si>
    <t>Đường giao thông và hệ thống thoát nước bản Suối Thầu</t>
  </si>
  <si>
    <t>Đường giao thông và hệ thống thoát nước bản Sin Chải</t>
  </si>
  <si>
    <t>Xã Giang Ma
Huyện Tam Đường</t>
  </si>
  <si>
    <t>Xã Ma Ly Pho
Huyện Phong Thổ</t>
  </si>
  <si>
    <t>Xã Căn Co
Huyện Sìn Hồ</t>
  </si>
  <si>
    <t>Xã Noong Hẻo
Huyện Sìn Hồ</t>
  </si>
  <si>
    <t>Xã Hua Bum
Huyện Nậm Nhùn</t>
  </si>
  <si>
    <t>Xã Nậm Chà huyện Nậm Nhùn</t>
  </si>
  <si>
    <t>Xã Can Hồ
Huyện Mường Tè</t>
  </si>
  <si>
    <t>Xã Nà Tăm
Huyện Tam Đường</t>
  </si>
  <si>
    <t>Xã Nậm Manh huyện Nậm Nhùn</t>
  </si>
  <si>
    <t>Nâng cấp, cải tạo đường giao thông đến trung tâm xã Tung Qua Lìn</t>
  </si>
  <si>
    <t>Sở Lao động - Thương binh và xã hội</t>
  </si>
  <si>
    <r>
      <t>Tổ chức các lớp tập huấn nâng cao năng lực</t>
    </r>
    <r>
      <rPr>
        <b/>
        <sz val="10"/>
        <rFont val="Times New Roman"/>
        <family val="1"/>
      </rPr>
      <t xml:space="preserve"> </t>
    </r>
  </si>
  <si>
    <t>Các huyện Than Uyên, Thành Phố và huyện Mường Tè tỉnh Lai Châu</t>
  </si>
  <si>
    <t xml:space="preserve">Trường Tiểu học xã Khoen On </t>
  </si>
  <si>
    <t>Trường THCS xã Hố Mit</t>
  </si>
  <si>
    <t xml:space="preserve">Xây dựng cơ sở vật chất các trường Phổ thông dân tộc bán trú tiểu học Thèn Sin;  Phổ thông dân tộc bán trú tiểu học Tả Lèng và Phổ thông dân tộc bán trú tiểu học Bản Bo </t>
  </si>
  <si>
    <t xml:space="preserve">Trường Phổ thông dân tộc bán trú THCS xã Căn Co </t>
  </si>
  <si>
    <t>Xây dựng cơ sở vật chất các trường Tiểu học Phìn Hồ; Trường Phổ thông dân tộc bán trú tiểu học Nậm Hăn</t>
  </si>
  <si>
    <t xml:space="preserve">Xây dựng cơ sở vật chất các trường: Phổ thông dân tộc bán trú THCS Hoang Thèn; Phổ thông dân tộc bán trú THCS Sì Lở Lầu </t>
  </si>
  <si>
    <t>Trường Phổ thông dân tộc bán trú TH &amp; THCS Pa Vây Sử</t>
  </si>
  <si>
    <t xml:space="preserve">Xây dựng cơ sở vật chất các trường Phổ thông dân tộc bán trú Tiểu học và THCS Nậm Ban; Phổ thông dân tộc bán trú Tiểu học Hua Bum </t>
  </si>
  <si>
    <t xml:space="preserve">Xây dựng cơ sở vật chất các trường Phổ thông dân tộc bán trú Tiểu học Nậm Pì; Phổ thông dân tộc bán trú THCS Nậm Chà </t>
  </si>
  <si>
    <t>Xây dựng cơ sở vật chất các trường Phổ thông dân tộc bán trú TH&amp;THCS Vàng San; Phổ thông dân tộc bán trú THCS Mù Cả</t>
  </si>
  <si>
    <t>Trường Phổ thông dân tộc bán trú THCS Pa Ủ huyện Mường Tè</t>
  </si>
  <si>
    <t>Trường Phổ thông dân tộc bán trú Tiểu học Ka Lăng huyện Mường Tè</t>
  </si>
  <si>
    <t>Phòng học, nhà sinh hoạt văn hóa, bếp ăn, hạng mục phụ trợ…</t>
  </si>
  <si>
    <t>Phòng học; Phòng công vụ giáo viên; Phòng quản lý học sinh; Nhà kho chứa lương thực; Nhà vệ sinh, nước sạch và công trình phụ trợ khác; Công trình phụ trợ khác..</t>
  </si>
  <si>
    <t>Phòng học, hạng mục phụ trợ…</t>
  </si>
  <si>
    <t>Phòng học, bếp ăn, hạng mục phụ trợ…</t>
  </si>
  <si>
    <t>Phòng học; Phòng ở học sinh; Phòng quản lý học sinh; Nhà bếp, nhà ăn; Nhà kho chứa lương thực và hạng mục phụ trợ…</t>
  </si>
  <si>
    <t>Phòng học, nhà bán trú học sinh; Nhà bếp, ăn hạng mục phụ trợ…</t>
  </si>
  <si>
    <t>8 Phòng học bộ môn</t>
  </si>
  <si>
    <t>Phòng học, nhà bán trú, nhà bếp ăn, hạng mục phụ trợ…</t>
  </si>
  <si>
    <t>Phòng học, nhà bếp ăn, hạng mục phụ trợ…</t>
  </si>
  <si>
    <t>Phòng học, nhà công vụ giáo viên, nhà bán trú…</t>
  </si>
  <si>
    <t xml:space="preserve">Trường trung học cơ sở Tà Mung </t>
  </si>
  <si>
    <t>Trường trung học cơ sở Khoen On</t>
  </si>
  <si>
    <t xml:space="preserve">Trường tiểu học Tà Mung </t>
  </si>
  <si>
    <t>Trường THCS xã Nậm Sỏ</t>
  </si>
  <si>
    <t>Trường tiểu học xã Nậm Sỏ</t>
  </si>
  <si>
    <t>Trường tiểu học xã Mường Khoa</t>
  </si>
  <si>
    <t>Trường Phổ thông dân tộc bán trú tiểu học Giang Ma</t>
  </si>
  <si>
    <t>Trường Phổ thông dân tộc bán trú tiểu học Khun Há</t>
  </si>
  <si>
    <t>08 phòng học thông thường và bộ môn
01 nhà bếp, nhà ăn</t>
  </si>
  <si>
    <t>01 nhà bếp, nhà ăn</t>
  </si>
  <si>
    <t>Trường Phổ thông dân tộc bán trú THCS Phìn Hồ</t>
  </si>
  <si>
    <t>Trường Phổ thông dân tộc bán trú TH&amp;THCS Pu Sam Cáp</t>
  </si>
  <si>
    <t>04 phòng Bộ môn</t>
  </si>
  <si>
    <t>02 Nhà vệ sinh, nước sạch và công trình phụ trợ khác</t>
  </si>
  <si>
    <t>08 Phòng ở học sinh; 02 phòng Bộ môn; 01 Phòng quản lý học sinh</t>
  </si>
  <si>
    <t>10 Phòng ở học sinh; 01 Phòng quản lý học sinh; 02 phòng Bộ môn.</t>
  </si>
  <si>
    <t>Trường Phổ thông dân tộc bán trú tiểu học Vàng Ma Chải</t>
  </si>
  <si>
    <t>Trường Phổ thông dân tộc bán trú tiểu học Mù Sang</t>
  </si>
  <si>
    <t>Trường Phổ thông dân tộc bán trú THCS Sin Suối Hồ</t>
  </si>
  <si>
    <t>Trường Phổ thông dân tộc bán trú TH &amp; THCS Số 2 Bản Lang</t>
  </si>
  <si>
    <t>Trường Phổ thông dân tộc bán trú TH Lản Nhì Thàng</t>
  </si>
  <si>
    <t>Xã  Bản Lang</t>
  </si>
  <si>
    <t>01 Nhà bếp, nhà ăn; 01 Nhà vệ sinh, nước sạch và công trình phụ trợ khác; 02 công trình phụ trợ khác</t>
  </si>
  <si>
    <t>01 Nhà bếp, nhà ăn</t>
  </si>
  <si>
    <t>11 Phòng ở học sinh</t>
  </si>
  <si>
    <t>06 phòng học thông thường và bộ môn</t>
  </si>
  <si>
    <t>Trường Phổ thông dân tộc bán trú Tiểu học Trung Chải</t>
  </si>
  <si>
    <t>Trường Phổ thông dân tộc bán trú THCS Nậm Pì</t>
  </si>
  <si>
    <t>Trường Phổ thông dân tộc bán trú THCS Nậm Chà</t>
  </si>
  <si>
    <t>Trường Phổ thông dân tộc bán trú THCS Trung Chải</t>
  </si>
  <si>
    <t>Trường Phổ thông dân tộc bán trú THCS Nậm Manh</t>
  </si>
  <si>
    <t>01 Phòng quản lý học sinh; 07 Phòng công vụ giáo viên; 01 Nhà kho chứa lương thực</t>
  </si>
  <si>
    <t>01 Phòng quản lý học sinh; 01 Nhà kho chứa lương thực; 05 Phòng học thông thường và bộ môn</t>
  </si>
  <si>
    <t>01 Phòng quản lý học sinh; 01 Nhà bếp, nhà ăn; 02 Nhà vệ sinh, nước sạch và công trình phụ trợ khác; 04 Phòng học thông thường và bộ môn; 01 Công trình phụ trợ khác</t>
  </si>
  <si>
    <t>01 Phòng quản lý học sinh; 01 Nhà kho chứa lương thực</t>
  </si>
  <si>
    <t>Trường Phổ thông dân tộc bán trú TH&amp; THCS Bum Tở</t>
  </si>
  <si>
    <t>Trường Phổ thông dân tộc bán trú TH&amp;THCS Tà Tổng</t>
  </si>
  <si>
    <t>Trường Phổ thông dân tộc bán trú TH&amp;THCS Can Hồ</t>
  </si>
  <si>
    <t xml:space="preserve">Trường Phổ thông dân tộc bán trú TH&amp;THCS Tá Bạ </t>
  </si>
  <si>
    <t>Trường Phổ thông dân tộc bán trú TH&amp;THCS Nậm Khao</t>
  </si>
  <si>
    <t>Trường Phổ thông dân tộc bán trú Tiểu học Mù Cả</t>
  </si>
  <si>
    <t>Trường Phổ thông dân tộc bán trú THCS Pa Vệ Sủ</t>
  </si>
  <si>
    <t>Trường Phổ thông dân tộc bán trú tiểu học Pa Ủ</t>
  </si>
  <si>
    <t>01 Nhà bếp, nhà ăn; 02 Nhà vệ sinh, nước sạch và công trình phụ trợ khác</t>
  </si>
  <si>
    <t>01 Nhà bếp, nhà ăn; 02 Nhà vệ sinh, nước sạch và công trình phụ trợ khác; 01 Công trình phụ trợ khác</t>
  </si>
  <si>
    <t>01 Nhà bếp, nhà ăn; 01 Nhà vệ sinh, nước sạch và công trình phụ trợ khác</t>
  </si>
  <si>
    <t>01 Nhà bếp, nhà ăn; 02 Phòng học thông thường và bộ môn</t>
  </si>
  <si>
    <t>01 Nhà bếp, nhà ăn; 01 Nhà vệ sinh, nước sạch và công trình phụ trợ khác; 01 Công trình phụ trợ khác</t>
  </si>
  <si>
    <t>04 Phòng công vụ giáo viên; 01 Công trình phụ trợ khác</t>
  </si>
  <si>
    <t>12 Phòng ở học sinh; 01 Nhà vệ sinh, nước sạch và công trình phụ trợ khác</t>
  </si>
  <si>
    <t>01 Nhà bếp, nhà ăn; 04 Phòng công vụ giáo viên</t>
  </si>
  <si>
    <t>02 Phòng công vụ giáo viên; 01 Nhà bếp, nhà ăn; 01 Nhà kho chứa lương thực; 01 Nhà vệ sinh, nước sạch và công trình phụ trợ khác; 01 Công trình phụ trợ khác</t>
  </si>
  <si>
    <t xml:space="preserve">02 Phòng quản lý học sinh; 01 Nhà kho chứa lương thực; 01 Nhà vệ sinh, nước sạch và công trình phụ trợ khác; 01 Công trình phụ trợ; </t>
  </si>
  <si>
    <t>02 Nhà vệ sinh, nước sạch và công trình phụ trợ khác; 01 Công trình phụ trợ khác</t>
  </si>
  <si>
    <t>01 Nhà vệ sinh, nước sạch và công trình phụ trợ khác; 01 Công trình phụ trợ khác</t>
  </si>
  <si>
    <t>Xây dựng cơ sở vật chất các trường THPT DTNT Than Uyên, DTNT tỉnh, Phổ thông DTNT huyện Mường Tè, THPT Nậm Tăm, DTNT THPT Sìn Hồ, THPT Mường Tè</t>
  </si>
  <si>
    <t>Trường phổ thông DTNT huyện Tam Đường</t>
  </si>
  <si>
    <t>Phòng học, phòng bộ môn, nhà sinh hoạt văn hóa, nhà vệ sinh, nhà bếp ăn, hạng mục phụ trợ…</t>
  </si>
  <si>
    <t>Xây dựng cơ sở vật chất các trường: Phổ thông dân tộc bán trú THCS Vàng Ma Chải; Phổ thông dân tộc bán trú Tiểu học Sin Suối Hồ</t>
  </si>
  <si>
    <t>Nhà văn hóa bản Ta Pả - Xã Noong Hẻo</t>
  </si>
  <si>
    <t>Cấp tỉnh thực hiện (Ban QLDA đầu tư xây dựng các công trình Dân dụng và Công nghiệp)</t>
  </si>
  <si>
    <t>Cấp tỉnh thực hiện  (Ban QLDA đầu tư xây dựng các công trình Dân dụng và Công nghiệp)</t>
  </si>
  <si>
    <r>
      <t xml:space="preserve">Ghi chú: </t>
    </r>
    <r>
      <rPr>
        <i/>
        <sz val="10"/>
        <rFont val="Times New Roman"/>
        <family val="1"/>
      </rPr>
      <t>Số liệu theo nhu cầu được Ban Dân tộc, Sở Nông nghiệp và Phát triển nông thôn rà soát, tổng hợp</t>
    </r>
  </si>
  <si>
    <r>
      <rPr>
        <b/>
        <i/>
        <sz val="10"/>
        <rFont val="Times New Roman"/>
        <family val="1"/>
      </rPr>
      <t xml:space="preserve">Ghi chú: </t>
    </r>
    <r>
      <rPr>
        <i/>
        <sz val="10"/>
        <rFont val="Times New Roman"/>
        <family val="1"/>
      </rPr>
      <t>Số liệu theo nhu cầu được Sở Nông nghiệp và Phát triển nông thôn rà soát, tổng hợp</t>
    </r>
  </si>
  <si>
    <r>
      <t xml:space="preserve">Ghi chú: </t>
    </r>
    <r>
      <rPr>
        <i/>
        <sz val="10"/>
        <rFont val="Times New Roman"/>
        <family val="1"/>
      </rPr>
      <t>Số liệu theo nhu cầu được Sở Nông nghiệp và Phát triển nông thôn rà soát, tổng hợp</t>
    </r>
  </si>
  <si>
    <r>
      <rPr>
        <b/>
        <i/>
        <sz val="10"/>
        <rFont val="Times New Roman"/>
        <family val="1"/>
      </rPr>
      <t>Ghi chú:</t>
    </r>
    <r>
      <rPr>
        <i/>
        <sz val="10"/>
        <rFont val="Times New Roman"/>
        <family val="1"/>
      </rPr>
      <t xml:space="preserve"> Số liệu theo nhu cầu được Sở Nông nghiệp và Phát triển nông thôn rà soát, tổng hợp</t>
    </r>
  </si>
  <si>
    <t>Ghi chú: Số liệu theo nhu cầu được Sở Nông nghiệp và Phát triển nông thôn rà soát, tổng hợp</t>
  </si>
  <si>
    <t>Ghi chú: Số liệu theo nhu cầu được Sở Công thương rà soát, tổng hợp</t>
  </si>
  <si>
    <r>
      <rPr>
        <b/>
        <i/>
        <sz val="10"/>
        <rFont val="Times New Roman"/>
        <family val="1"/>
      </rPr>
      <t xml:space="preserve">Ghi chú: </t>
    </r>
    <r>
      <rPr>
        <i/>
        <sz val="10"/>
        <rFont val="Times New Roman"/>
        <family val="1"/>
      </rPr>
      <t>Số liệu theo nhu cầu được các đơn vị cấp tỉnh rà soát, tổng hợp theo tiêu chí:</t>
    </r>
  </si>
  <si>
    <t>- Sở Y tế rà soát, tổng hợp theo các tiêu chí trạm y tế xã.</t>
  </si>
  <si>
    <t>- Sở Công thương rà soát, tổng hợp theo các tiêu chí chợ vùng dân tộc thiểu số và miền núi; công trình hạ tầng lưới điện cho các xã biên giới, xã khu vực III, thôn đặc biệt khó khăn.</t>
  </si>
  <si>
    <t>- Sở Giao thông vận tải rà soát, tổng hợp theo các tiêu chí cứng hoá đường đến trung tâm xã, đường liên xã chưa được cứng hóa; công trình cầu giao thông kết nối các xã biên giới, xã khu vực III, thôn đặc biệt khó khăn</t>
  </si>
  <si>
    <r>
      <rPr>
        <b/>
        <sz val="10"/>
        <rFont val="Times New Roman"/>
        <family val="1"/>
      </rPr>
      <t>Ghi chú:</t>
    </r>
    <r>
      <rPr>
        <sz val="10"/>
        <rFont val="Times New Roman"/>
        <family val="1"/>
      </rPr>
      <t xml:space="preserve"> Số liệu theo nhu cầu được các đơn vị cấp tỉnh rà soát, tổng hợp:</t>
    </r>
  </si>
  <si>
    <t>- Tiểu dự án 1: Số liệu theo nhu cầu được Sở Giáo dục và Đào tạo rà soát, tổng hợp</t>
  </si>
  <si>
    <t>- Nội dung 1- Tiểu dự án 2: Bồi dưỡng kiến thức dân tộc số liệu theo nhu cầu được Sở Nội vụ rà soát, tổng hợp</t>
  </si>
  <si>
    <t>- Tiểu dự án 3: Số liệu theo nhu cầu được Sở Lao động - Thương binh và Xã hội rà soát, tổng hợp</t>
  </si>
  <si>
    <t>- Tiểu dự án 4: Số liệu theo nhu cầu được Ban Dân tộc rà soát, tổng hợp</t>
  </si>
  <si>
    <t>Đường giao thông đến trung tâm xã Pha Mu</t>
  </si>
  <si>
    <t>Đường từ bản Phìn Ngan Xin Chải đến trung tâm xã Tả Lèng</t>
  </si>
  <si>
    <t>Đường từ bản Giang Ma và bản Sin Câu đến trung tâm xã Giang Ma</t>
  </si>
  <si>
    <t>Nước sinh hoạt bản Huổi Han, xã Bum Tở, huyện Mường Tè</t>
  </si>
  <si>
    <t>Nâng cấp, sửa chữa NSH các bản Nậm Cấu, Tả Phìn, xã Bum Tở, huyện Mường Tè</t>
  </si>
  <si>
    <t>Nâng cấp, sửa chữa cụm NSH các bản Tó Khò, Xi Nế, Gò Cứ, Mò Su xã Mù Cả và các bản U Ma, Còong Khà, Thu Lũm 2, xã Thu Lũm</t>
  </si>
  <si>
    <t>Xã Mù Cả và xã Thu Lũm</t>
  </si>
  <si>
    <t xml:space="preserve">Xã Bum Nưa </t>
  </si>
  <si>
    <t>Đầu tư cơ sở hạ tầng bản Nậm Xuổng, xã Vàng San, huyện Mường Tè</t>
  </si>
  <si>
    <t>Ghi chú:  Số liệu theo nhu cầu được Sở Nội vụ rà soát, tổng hợp:</t>
  </si>
  <si>
    <t>- Nội dung 2 - Tiểu dự án 2: Đào tạo dự bị đại học, đại học và sau đại học số liệu theo nhu cầu được Sở Giáo dục và Đào tạo rà soát, tổng hợp</t>
  </si>
  <si>
    <t>Ghi chú: Số liệu theo nhu cầu được Sở Lao động - Thương binh và Xã hội rà soát, tổng hợp</t>
  </si>
  <si>
    <t>Ghi chú: Số liệu theo nhu cầu được Ban Dân tộc rà soát, tổng hợp:</t>
  </si>
  <si>
    <t>Ghi chú: Ghi chú: Số liệu theo nhu cầu được Sở Văn hóa - Thể thao và Du lịch rà soát, tổng hợp:</t>
  </si>
  <si>
    <r>
      <rPr>
        <b/>
        <sz val="10"/>
        <rFont val="Times New Roman"/>
        <family val="1"/>
      </rPr>
      <t xml:space="preserve">Ghi chú: </t>
    </r>
    <r>
      <rPr>
        <sz val="10"/>
        <rFont val="Times New Roman"/>
        <family val="1"/>
      </rPr>
      <t>Số liệu theo nhu cầu được Sở Y tế rà soát, tổng hợp</t>
    </r>
  </si>
  <si>
    <t>Ghi chú: Số liệu theo nhu cầu được Hội liên hiệp Phụ nữ tỉnh rà soát, tổng hợp</t>
  </si>
  <si>
    <r>
      <rPr>
        <b/>
        <sz val="10"/>
        <rFont val="Times New Roman"/>
        <family val="1"/>
      </rPr>
      <t>Ghi chú:</t>
    </r>
    <r>
      <rPr>
        <sz val="10"/>
        <rFont val="Times New Roman"/>
        <family val="1"/>
      </rPr>
      <t xml:space="preserve"> Số liệu theo đề xuất của UBND các Tam Đường, Sìn Hồ, Nậm Nhùn, Mường Tè tập trung đông đồng bào dân tộc thiểu số có khó khăn đặc thù (Si La, Cổng, Mảng, Lự)</t>
    </r>
  </si>
  <si>
    <r>
      <rPr>
        <b/>
        <sz val="10"/>
        <rFont val="Times New Roman"/>
        <family val="1"/>
      </rPr>
      <t xml:space="preserve">Ghi chú: </t>
    </r>
    <r>
      <rPr>
        <sz val="10"/>
        <rFont val="Times New Roman"/>
        <family val="1"/>
      </rPr>
      <t>Số liệu theo đề xuất của UBND các huyện, thành phố</t>
    </r>
  </si>
  <si>
    <t>Nội dung: Hỗ trợ phát triển sản xuất và sinh kế, đề nghị giao cho Ban Dân tộc thực hiện, Đề nghị giao Ban Dân tộc tỉnh thực hiện nội dung Hỗ trợ nâng cao kiến thức, trình độ năng lực sản xuất, tổ chức lớp tập huấn cho các hộ gia đình về kiến thức sản xuất tại thôn, bản và tham quan học tập trao đổi kinh nghiệm cho cộng đồng. Lý do: Nội dung này là một trong những nội dung hỗ trợ nâng cao kiến thức, trình độ năng lực sản xuất thuộc nội dung hỗ trợ phát triển sản xuất và sinh kế của đề án phát triển kinh tế - xã hội các dân tộc thiểu số rất ít người theo các Quyết định 2086/QĐ-TTg ngày 31/10/2016 và Quyết định số 1672/QĐ-TTg ngày 26/9/2011 của Thủ tướng Chính phủ đã được tích hợp thành nội dung của Tiểu dự án 1 - dự án 9 thuộc Quyết định số 1719/QĐ-TTg ngày 14/10/2021 của Thủ tướng Chính phủ. Ban Dân tộc là cơ quan Thường trực và là chủ đầu tư thực hiện các đề án thuộc quyết định số 2086/QĐ-TTg ngày 31/10/2016 và Quyết định số 1672/QĐ-TTg ngày 26/9/2011, được UBND tỉnh Lai Châu giao tại các theo các Quyết định: số 1695/QĐ-UBND ngày 30/12/2011; số 370/QĐ-UBND ngày 21/4/2015 và số 1168/QĐ-UBND ngày 03/10/2017.</t>
  </si>
  <si>
    <t>Ghi chú: Số liệu theo đề xuất của Ban dân tộc, Hội Nông dân tỉnh và UBND các huyện, thành phố</t>
  </si>
  <si>
    <t>Ghi chú: Số liệu theo nhu cầu được Sở Thông tin và Truyền thông rà soát, tổng hợp</t>
  </si>
  <si>
    <t>Xã Noong Hẻo-Căn Co-Nậm Hăn</t>
  </si>
  <si>
    <t>Nâng cấp đường từ tỉnh lộ 129 đến TT xã Tả Phìn</t>
  </si>
  <si>
    <t>Vốn ngân sách trung ương giai đoạn 2021 - 2025 (theo nội dung, tiểu dự án, dự án)</t>
  </si>
  <si>
    <t xml:space="preserve">Ghi chú: </t>
  </si>
  <si>
    <t>- Nội dung 1 và 2: Số liệu theo nhu cầu được Sở Nông nghiệp và Phát triển nông thôn rà soát, tổng hợp</t>
  </si>
  <si>
    <t>- Nội dung 3: Số liệu theo nhu cầu được Sở Công thương rà soát, tổng hợp</t>
  </si>
  <si>
    <t>Phân bổ cho Sở Nông nghiệp và PTNT thực hiện các dự án có quy mô liên huyện, dự án mới thử nghiệm, cụ thể: Đối với các dự án có cùng nội dung trên địa bàn các huyện thì rất cần một cơ quan cấp tỉnh là Sở Nông nghiệp và PTNT xây dựng, quản lý và triển khai thực hiện các dự án này để giảm chi phí quản lý, xây dựng và triển khai dự án. Đối với các dự án mới thử nghiệm: Do các cơ quan cấp huyện, cấp xã chưa có kinh nghiệm và chuyên môn sâu nên rất cần cơ quan chuyên mô cấp tỉnh là Sở Nông nghiệp và PTNT xây dựng, quản lý và triển khai thực hiện. Đối với các dự án quy mô liên xã, cấp xã phân cho cấp huyện, thành phố thực hiện.</t>
  </si>
  <si>
    <r>
      <rPr>
        <b/>
        <i/>
        <sz val="10"/>
        <rFont val="Times New Roman"/>
        <family val="1"/>
      </rPr>
      <t xml:space="preserve">Ghi chú: </t>
    </r>
    <r>
      <rPr>
        <i/>
        <sz val="10"/>
        <rFont val="Times New Roman"/>
        <family val="1"/>
      </rPr>
      <t>Số liệu theo nhu cầu được Sở Y tế rà soát, tổng hợp theo các tiêu chí trạm y tế xã.</t>
    </r>
  </si>
  <si>
    <r>
      <t xml:space="preserve">Ghi chú: </t>
    </r>
    <r>
      <rPr>
        <sz val="10"/>
        <rFont val="Times New Roman"/>
        <family val="1"/>
      </rPr>
      <t>Số liệu theo nhu cầu được Sở Giáo dục và Đào tạo rà soát, tổng hợp</t>
    </r>
  </si>
  <si>
    <r>
      <t>Định mức</t>
    </r>
    <r>
      <rPr>
        <b/>
        <vertAlign val="superscript"/>
        <sz val="10"/>
        <rFont val="Times New Roman"/>
        <family val="1"/>
      </rPr>
      <t xml:space="preserve"> </t>
    </r>
  </si>
  <si>
    <r>
      <rPr>
        <b/>
        <sz val="11"/>
        <rFont val="Times New Roman"/>
        <family val="1"/>
      </rPr>
      <t>Ghi chú:</t>
    </r>
    <r>
      <rPr>
        <sz val="11"/>
        <rFont val="Times New Roman"/>
        <family val="1"/>
      </rPr>
      <t xml:space="preserve"> Số liệu theo nhu cầu được Sở Giáo dục và Đào tạo rà soát, tổng hợp</t>
    </r>
  </si>
  <si>
    <r>
      <t xml:space="preserve">       </t>
    </r>
    <r>
      <rPr>
        <b/>
        <sz val="10"/>
        <rFont val="Times New Roman"/>
        <family val="1"/>
      </rPr>
      <t xml:space="preserve"> - Công tác tuyên truyền (Tuyên truyền, tư vấn hướng nghiệp, khởi nghiệp, học nghề, việc làm; tập huấn nâng cao năng lực; Tuyên truyền tư vấn công tác xuất khẩu lao động)</t>
    </r>
    <r>
      <rPr>
        <sz val="10"/>
        <rFont val="Times New Roman"/>
        <family val="1"/>
      </rPr>
      <t>: Thực hiện ở cả hai cấp, cấp tỉnh tuyên truyền đến cấp huyện, cấp huyện tuyên truyền đến cấp xã, thôn bản. Mục đích nhằm nâng cao năng lực cho cán bộ cấp huyện, cấp xã quản lý lĩnh vực giáo dục nghề nghiệp và thực hiện tuyên truyền, hướng nghiệp chính các chính sách hỗ trợ giáo dục nghề nghiệp đến người dân trên địa bàn tỉnh</t>
    </r>
  </si>
  <si>
    <r>
      <t xml:space="preserve">      </t>
    </r>
    <r>
      <rPr>
        <b/>
        <sz val="10"/>
        <rFont val="Times New Roman"/>
        <family val="1"/>
      </rPr>
      <t xml:space="preserve">  - Kiểm tra, giám sát đánh giá:  </t>
    </r>
    <r>
      <rPr>
        <sz val="10"/>
        <rFont val="Times New Roman"/>
        <family val="1"/>
      </rPr>
      <t>Thực hiện ở cả hai cấp, cấp tỉnh kiểm tra, giám sát, đánh giá cấp huyện, cấp huyện kiểm tra, giám sát, đánh giá cấp xã, thôn bản. Mục đích</t>
    </r>
    <r>
      <rPr>
        <b/>
        <sz val="10"/>
        <rFont val="Times New Roman"/>
        <family val="1"/>
      </rPr>
      <t xml:space="preserve"> </t>
    </r>
    <r>
      <rPr>
        <sz val="10"/>
        <rFont val="Times New Roman"/>
        <family val="1"/>
      </rPr>
      <t>để kịp thời phát hiện, tháo gỡ những khó khăn, vướng mắc</t>
    </r>
  </si>
  <si>
    <r>
      <t xml:space="preserve">     </t>
    </r>
    <r>
      <rPr>
        <b/>
        <sz val="10"/>
        <rFont val="Times New Roman"/>
        <family val="1"/>
      </rPr>
      <t xml:space="preserve">   - Nâng cao năng lực cho cán bộ làm công tác xuất khẩu lao động: </t>
    </r>
  </si>
  <si>
    <r>
      <t xml:space="preserve">    </t>
    </r>
    <r>
      <rPr>
        <b/>
        <sz val="10"/>
        <rFont val="Times New Roman"/>
        <family val="1"/>
      </rPr>
      <t xml:space="preserve">    - Đối với các nội dung dự kiến trường Cao đẳng cộng đồng thực hiện: </t>
    </r>
    <r>
      <rPr>
        <sz val="10"/>
        <rFont val="Times New Roman"/>
        <family val="1"/>
      </rPr>
      <t>Đó là những nhiệm vụ phục vụ cho công tác giảng dạy, đào tạo trình độ trung cấp, cao đẳng, trong khi trên địa bàn tỉnh duy nhất có 01 trường Cao đẳng Cộng đồng Lai Châu đào tạo trình độ trung cấp, cao đẳng</t>
    </r>
  </si>
  <si>
    <r>
      <rPr>
        <b/>
        <sz val="10"/>
        <rFont val="Times New Roman"/>
        <family val="1"/>
      </rPr>
      <t>Ghi chú:</t>
    </r>
    <r>
      <rPr>
        <sz val="10"/>
        <rFont val="Times New Roman"/>
        <family val="1"/>
      </rPr>
      <t xml:space="preserve"> Số liệu theo nhu cầu được Sở Văn hóa - Thể thao và Du lịch rà soát, tổng hợp</t>
    </r>
  </si>
  <si>
    <r>
      <t xml:space="preserve">Ghi chú: </t>
    </r>
    <r>
      <rPr>
        <sz val="10"/>
        <rFont val="Times New Roman"/>
        <family val="1"/>
      </rPr>
      <t>Số liệu theo nhu cầu được Sở Văn hóa - Thể thao và Du lịch rà soát, tổng hợp</t>
    </r>
  </si>
  <si>
    <r>
      <rPr>
        <b/>
        <sz val="10"/>
        <rFont val="Times New Roman"/>
        <family val="1"/>
      </rPr>
      <t>Ghi chú:</t>
    </r>
    <r>
      <rPr>
        <sz val="10"/>
        <rFont val="Times New Roman"/>
        <family val="1"/>
      </rPr>
      <t xml:space="preserve"> Số liệu theo nhu cầu được Sở Y tế rà soát, tổng hợp</t>
    </r>
  </si>
  <si>
    <r>
      <rPr>
        <b/>
        <sz val="10"/>
        <rFont val="Times New Roman"/>
        <family val="1"/>
      </rPr>
      <t>Ghi chú:</t>
    </r>
    <r>
      <rPr>
        <sz val="10"/>
        <rFont val="Times New Roman"/>
        <family val="1"/>
      </rPr>
      <t xml:space="preserve"> Số liệu theo đề xuất của Ban dân tộc, Sở Tư pháp, Sở Giáo dục và Đào tạo và UBND các huyện, thành phố</t>
    </r>
  </si>
  <si>
    <r>
      <t xml:space="preserve">- Nội dung số 01, biểu dương, tôn vinh điển hình tiên tiến, phát huy vai trò của người có uy tín </t>
    </r>
    <r>
      <rPr>
        <sz val="10"/>
        <rFont val="Times New Roman"/>
        <family val="1"/>
      </rPr>
      <t>(</t>
    </r>
    <r>
      <rPr>
        <b/>
        <sz val="10"/>
        <rFont val="Times New Roman"/>
        <family val="1"/>
      </rPr>
      <t>Ban Dân tộc</t>
    </r>
    <r>
      <rPr>
        <sz val="10"/>
        <rFont val="Times New Roman"/>
        <family val="1"/>
      </rPr>
      <t>)</t>
    </r>
    <r>
      <rPr>
        <b/>
        <sz val="10"/>
        <rFont val="Times New Roman"/>
        <family val="1"/>
      </rPr>
      <t>:</t>
    </r>
    <r>
      <rPr>
        <sz val="10"/>
        <rFont val="Times New Roman"/>
        <family val="1"/>
      </rPr>
      <t xml:space="preserve"> Ngày 21/4/2017, UBND tỉnh Ban hành Kế hoạch số 717/KH-UBND về việc thực hiện Quyết định số 2561/QĐ-TTg ngày 31/12/2016 của Thủ tướng Chính phủ về Đề án “Tăng cường vai trò của người có uy tín trong vùng dân tộc thiểu số” trên địa bàn tỉnh Lai Châu. Trong đó, UBND tỉnh giao Ban Dân tộc là cơ quan chủ trì, phối hợp với các sở, ban, ngành liên quan xây dựng Kế hoạch tập huấn, bồi dưỡng kiến thức; tổ chức các hoạt động toạ đàm, giao lưu, tham quan trao đổi kinh nghiệm trong và ngoài địa phương cho người có uy tín; tổ chức hội nghị trao đổi kinh nghiệm, biểu dương, khen thưởng cho người có uy tín có thành tích tiêu biểu, xuất sắc…</t>
    </r>
  </si>
  <si>
    <r>
      <rPr>
        <b/>
        <sz val="10"/>
        <rFont val="Times New Roman"/>
        <family val="1"/>
      </rPr>
      <t xml:space="preserve">+ Sở Tư pháp: </t>
    </r>
    <r>
      <rPr>
        <sz val="10"/>
        <rFont val="Times New Roman"/>
        <family val="1"/>
      </rPr>
      <t>Theo khoản 8, Điều 2, Thông tư số 07/2020/TT-BTP ngày 21/12/2020 về hướng dẫn chức năng, nhiệm vụ và quyền hạn của Sở Tư pháp thuộc UBND tỉnh có quy định về nhiệm vụ phổ biến giáo dục pháp luật trên địa bàn tỉnh.... có trách nhiệm tổ chức triển khai, thực hiện các kế hoạch, chương trình, đề án, hoạt động có liên quan đến công tác phổ biến giáo dục pháp luật. 
    Các hoạt động (Biên soạn tờ gấp, cẩm nang, phổ biến tuyên truyền trên sóng phát thanh, truyền hình, báo pháp luật) đề nghị giao cho Sở Tư pháp để thống nhất tài liệu phát hành, nội dung đồng bộ, bao phủ toàn tỉnh, nội dung được biên tập phù hợp với quy định của pháp luật, phù hợp với tình hình thực tế tại địa phương.
   Các hoạt động (Tổ chức Hội nghị nâng cao năng lực cho đội ngũ Tuyên truyền viên pháp luật báo cáo viên pháp luật ở cấp huyện; tổ chức truyền thông, phổ biến giáo dục pháp luật trực tiếp nâng cao nhận thức cho người dân tộc thiểu số tại cấp xã), Sở tư pháp đề nghị mở các hội nghị điểm tại các huyện và các xã để các huyện thành phố rút kinh nghiệm trong quá trình triển khai, để đạt yêu cầu đề ra, trong quá trình tổ chức hội nghị, Sở Tư pháp đánh giá được hiệu quả của việc triển khai của các huyện nên có những đánh giá, nhận xét trong việc tổng kết, khen thưởng, qua đó đánh giá được các mô hình hay, hiệu quả để các huyện, các xã khác tham khảo, thực hiện.
    Đối với hoạt động tổ chức cuộc thi, Sở Tư pháp đề nghị tổ chức cuộc thi cấp tỉnh để thu hút đông đảo mọi tầng lớp nhân dân, cán bộ, chiến sỹ, học sinh, sinh viên trên địa bàn tỉnh tham gia…Ban tổ chức cuộc thi do Chủ tịch UBND tỉnh thành lập gồm các lãnh đạo các sở, ngành nên tạo ra sức lan tỏa lớn, nêu cao tinh thần học hỏi, tìm hiểu pháp luật của nhân dân trên địa bàn tỉnh.</t>
    </r>
  </si>
  <si>
    <r>
      <t xml:space="preserve">+ Sở Thông tin và truyền thông: </t>
    </r>
    <r>
      <rPr>
        <sz val="10"/>
        <rFont val="Times New Roman"/>
        <family val="1"/>
      </rPr>
      <t>Căn cứ Kế hoạch số 53/KH-UBND ngày 7/1/2022 của UBND tỉnh Lai Châu  kế hoạch hoạt động thông tin đối ngoại quy định về nhiệm vụ của Sở TTTT "Thẩm định nội dung Thông tin đối ngoại của các chương trình, đề án theo phân công của UBND cấp tỉnh, hướng dẫn theo dõi nội dung thông tin đối ngoại cho các tổ chức trên địa bàn tỉnh". Do vậy để triển khai thực hiện tốt công tác quản lý nhà nước về thông tin đối ngoại trên địa bàn tỉnh, đồng thời giúp cho cơ quan quản lý và các đơn vị liên quan thực hiện tốt nhiệm vụ được giao, Sở TTTT đề xuất là đơn vị chủ trì nội dung Thông tin đối ngoại vùng đồng bào dân tộc thiểu số và miền núi để tập trung, thống nhất.</t>
    </r>
  </si>
  <si>
    <r>
      <t xml:space="preserve">+ Ban Dân tộc: </t>
    </r>
    <r>
      <rPr>
        <sz val="10"/>
        <rFont val="Times New Roman"/>
        <family val="1"/>
      </rPr>
      <t>Nội dung số 02 tiểu dự án 1 thuộc Dự án 10: Phổ biến, giáo dục pháp luật và tuyên truyền, vận động đồng bào dân tộc thiểu số trước đây là Quyết định số 1163/QĐ-TTg ngày 8/8/2017 của Thủ tướng Chính phủ về việc phê duyệt Đề án “Đẩy mạnh công tác phổ biến, giáo dục pháp luật và tuyên truyền, vận động đồng bào vùng dân tộc thiểu số và miền núi nay được tích hợp trong Quyết định số 1719/QĐ-TTg ngày 14/10/2021 của Thủ tướng Chính phủ.
    Căn cứ Kế hoạch số 2334/KH-UBND ngày 17/10/2019 của UBND tỉnh Lai Châu thực hiện Đề án “đẩy mạnh công tác phổ biến, giáo dục pháp luật và tuyên truyền, vận động đồng bào vùng dân tộc thiểu số và miền núi” năm 2020 - 2021 (Ban Dân tộc đang được UBND tỉnh giao trực tiếp tổ chức thực hiện nội dung này).</t>
    </r>
  </si>
  <si>
    <r>
      <t xml:space="preserve">+ Liên minh HTX: </t>
    </r>
    <r>
      <rPr>
        <sz val="10"/>
        <rFont val="Times New Roman"/>
        <family val="1"/>
      </rPr>
      <t>Trong Chương trình hỗ trợ phát triển kinh tế tập thể, hợp tác xã giai đoạn 2021-2025 theo Quyết định số 1804/QĐ-TTg ngày 13/11/2020 của Thủ tướng Chính phủ, tại phần IV quy định (1) về kinh phí “bố trí vốn đầu tư phát triển trong kế hoạch vốn đầu tư công trung hạn và kinh phí sự nghiệp giai đoạn 2021 - 2025 để thực hiện Chương trình; lồng ghép trong các Chương trình mục tiêu quốc gia giai đoạn 2021 – 2025”;(2) Giao hệ thống Liên minh HTX Việt Nam thực hiện nhiệm vụ “Tuyên truyền, tư vấn, hỗ trợ thành lập mới hợp tác xã; bồi dưỡng thành viên, người lao động hợp tác xã; xúc tiến thương mại, mở rộng thị trường”;
   Tại khoản 1, Điều 7, Chương II, Điều lệ Liên minh HTX tỉnh được UBND tỉnh phê duyệt tại Quyết định số 1415/QĐ-UBND ngày 26/10/2021 của UBND tỉnh Lai Châu, quy định nhiệm vụ “Tuyên truyền, phổ biến và tổ chức thực hiện các chủ trương của Đảng, chính sách và pháp luật của Nhà nước, của tỉnh về kinh tế tập thể, HTX
   Hiện nay, trên địa bàn toàn tỉnh có 54 xã đặc biệt khó khăn (khu vực III), trong các xã khu vực III hiện có 29 xã có HTX, THT đã được thành lập, 25 xã chưa thành lập HTX, THT hoạt động. Nhiệm vụ: Tổ chức các lớp tập huấn, tuyên truyền theo hình thức trực tiếp tại các xã, chưa có HTX, THT thành lập (25 xã): Căn cứ Kế hoạch số 2334/KH-UBND ngày 17/10/2019 của UBND tỉnh Lai Châu thực hiện Đề án “đẩy mạnh công tác phổ biến, giáo dục pháp luật và tuyên truyền, vận động đồng bào vùng dân tộc thiểu số và miền núi” năm 2020 - 2021 (Ban Dân tộc được giao trực tiếp tổ chức thực hiện).</t>
    </r>
  </si>
  <si>
    <r>
      <rPr>
        <b/>
        <sz val="10"/>
        <rFont val="Times New Roman"/>
        <family val="1"/>
      </rPr>
      <t xml:space="preserve">- Nội dung số 03, tăng cường, nâng cao khả năng tiếp cận và thụ hưởng hoạt động trợ giúp pháp lý chất lượng cho vùng đồng bào dân tộc thiểu số và miền núi: </t>
    </r>
    <r>
      <rPr>
        <sz val="10"/>
        <rFont val="Times New Roman"/>
        <family val="1"/>
      </rPr>
      <t>Tăng cường, nâng cao khả năng tiếp cận và thụ hưởng hoạt động trợ giúp pháp lý chất lượng cho vùng đồng bào dân tộc thiểu số và miền núi: giao cho Sở Tư pháp chủ trì thực hiện, không thực hiện tại cấp huyện. Lý do: Căn cứ Điều 1, Điều 2 và khoản 1, Điều 11 Luật trợ giúp pháp lý năm 2017 thì: Trợ giúp pháp lý là việc cung cấp dịch vụ pháp lý miễn phí cho người được trợ giúp pháp lý. Tổ chức thực hiện trợ giúp pháp lý; người thực hiện trợ giúp pháp lý; hoạt động trợ giúp pháp lý; trách nhiệm của cơ quan, tổ chức, cá nhân đối với hoạt động trợ giúp pháp lý được điều chỉnh bởi Luật trợ giúp pháp lý. Trung tâm trợ giúp pháp lý nhà nước là đơn vị sự nghiệp công lập trực thuộc Sở Tư pháp, do Ủy ban nhân dân cấp tỉnh thành lập, có tư cách pháp nhân, có con dấu, trụ sở và tài khoản riêng. Theo quy định của pháp luật Trung tâm trợ giúp pháp lý chỉ thành lập ở cấp tỉnh, không thành lập ở cấp huyện, theo phân cấp cơ quan hành chính nhà nước thì Trung tâm trợ giúp pháp lý chịu sự quản lý của Sở Tư pháp.</t>
    </r>
  </si>
  <si>
    <r>
      <rPr>
        <b/>
        <sz val="10"/>
        <rFont val="Times New Roman"/>
        <family val="1"/>
      </rPr>
      <t xml:space="preserve">Ghi chú: </t>
    </r>
    <r>
      <rPr>
        <sz val="10"/>
        <rFont val="Times New Roman"/>
        <family val="1"/>
      </rPr>
      <t>Số liệu theo nhu cầu được Sở Thông tin và Truyền thông rà soát, tổng hợp</t>
    </r>
  </si>
  <si>
    <r>
      <t>Ghi chú:</t>
    </r>
    <r>
      <rPr>
        <sz val="10"/>
        <rFont val="Times New Roman"/>
        <family val="1"/>
      </rPr>
      <t xml:space="preserve"> Số liệu theo nhu cầu được Sở Thông tin và Truyền thông rà soát, tổng hợp</t>
    </r>
  </si>
  <si>
    <t>Cụm công trình: NSH bản Cò Nọt Mông, NSH bản Nậm Phát, xã Bản Bo</t>
  </si>
  <si>
    <t>Sửa chữa NSH bản Giao Chản, xã Bản Lang</t>
  </si>
  <si>
    <t>Xã Bản Lang</t>
  </si>
  <si>
    <t>Sửa chữa NSH bản Nậm Xe bản Tà Chải bản Van Hồ 2, xã Nậm Xe</t>
  </si>
  <si>
    <t>Sửa chữa NSH bản Mồ Sì Câu, Xã Hoang Thèn</t>
  </si>
  <si>
    <t>Dự án hỗ trợ chăn nuôi, trồng trọt (trâu, bò, cây ăn quả…)</t>
  </si>
  <si>
    <t>Xã Bum Nưa</t>
  </si>
  <si>
    <t>Hội Liên hiệp phụ nữ tỉnh</t>
  </si>
  <si>
    <t>Tổ chức giám sát đánh giá kết quả thực hiện mục tiêu bình đẳng giới trong Chương trình</t>
  </si>
  <si>
    <t>Đường nội đồng bản Phô Hồ Thầu;  đường trục các bản Chù Lìn, Rừng Ổi-Khèo Thầu, Tà Chải</t>
  </si>
  <si>
    <t>Kiên cố hóa đường đến trung tâm xã Căn Co, Nậm Cuổi</t>
  </si>
  <si>
    <t>Xã Căn Co - Nậm Cuổi</t>
  </si>
  <si>
    <t>Vốn đầu tư giai đoạn 2021-2025</t>
  </si>
  <si>
    <t>Dự kiến tổng mức đầu tư</t>
  </si>
  <si>
    <t>Biểu 3.2.b</t>
  </si>
  <si>
    <t>ĐVT: Triệu đồng</t>
  </si>
  <si>
    <t>Kế hoạch giai đoạn 2021-2025</t>
  </si>
  <si>
    <t>Phụ lục III</t>
  </si>
  <si>
    <t>TỔNG SÔ</t>
  </si>
  <si>
    <t>DỰ ÁN 1 - HỖ TRỢ ĐẦU TƯ PHÁT TRIỂN HẠ TẦNG KINH TẾ - XÃ HỘI CÁC HUYỆN NGHÈO</t>
  </si>
  <si>
    <t>DỰ ÁN 4. PHÁT TRIỂN GIÁO DỤC NGHỀ NGHIỆP, VIỆC LÀM BỀN VỮNG</t>
  </si>
  <si>
    <t>Danh mục dự án</t>
  </si>
  <si>
    <t>Thời gian KC-HT</t>
  </si>
  <si>
    <t>Ngân sách nhà nước</t>
  </si>
  <si>
    <t>Nguồn vốn huy động</t>
  </si>
  <si>
    <t>NSTW</t>
  </si>
  <si>
    <t>HUYỆN NẬM NHÙN</t>
  </si>
  <si>
    <t>I.1</t>
  </si>
  <si>
    <t>Dự án hoàn thành trước 31/12/2020</t>
  </si>
  <si>
    <t>Đường giao thông bản Lồng Ngài đi Nậm Lay xã Nậm Hàng</t>
  </si>
  <si>
    <t>I.2</t>
  </si>
  <si>
    <t>Dự án khởi công mới</t>
  </si>
  <si>
    <t>Bổ sung cơ sở vật chất trường Tiểu học và Trung học cơ sở xã Pú Đao</t>
  </si>
  <si>
    <t>08 Phòng học; 04 Phòng học bộ môn; 05 Phòng đa chức năng; và các hạng mục phụ trợ</t>
  </si>
  <si>
    <t>Nâng cấp, cứng hóa tuyến đường từ trung tâm xã Pú Đao đến bản Nậm Đắc - Nậm Đoong - Khu du lịch Pú Đao</t>
  </si>
  <si>
    <t>11,5 km. GTNT - B</t>
  </si>
  <si>
    <t>Sửa chữa, cải tạo tuyến đường vào bản Nậm Pì, xã Pú Đao</t>
  </si>
  <si>
    <t>6,5 km GTNT-B</t>
  </si>
  <si>
    <t>Đường nội đồng Nậm Mô xã Mường Mô</t>
  </si>
  <si>
    <t>2,5 km</t>
  </si>
  <si>
    <t>Đường nội đồng bản Pa Kéo thị trấn Nậm Nhùn</t>
  </si>
  <si>
    <t>2 km</t>
  </si>
  <si>
    <t>Đường giao thông đi khu sản xuất bản Nậm Nhùn</t>
  </si>
  <si>
    <t>7 km</t>
  </si>
  <si>
    <t>Đường, rãnh thoát nước đi khu sản xuất bản Pa Kéo</t>
  </si>
  <si>
    <t>Biến đò xã Mường Mô</t>
  </si>
  <si>
    <t>2 ha</t>
  </si>
  <si>
    <t>Nâng cấp Thủy lợi Nậm Đắc, Nậm Đoong xã Pú Đao</t>
  </si>
  <si>
    <t>26 ha</t>
  </si>
  <si>
    <t>Bổ sung cơ sở vật chất trường Tiểu học và Trung học cơ sở xã Lê Lợi</t>
  </si>
  <si>
    <t>07 chức năng; 04 Phòng học và thiết bị khác …</t>
  </si>
  <si>
    <t>Đường lên bãi chăn thả gia súc tập trung xã Mường Mô</t>
  </si>
  <si>
    <t>5 km</t>
  </si>
  <si>
    <t>Đường nội đồng Huổi Phạ 2</t>
  </si>
  <si>
    <t>1,5 km</t>
  </si>
  <si>
    <t>Đường nội đồng Nậm Xuân xã Mường Mô</t>
  </si>
  <si>
    <t>3 km</t>
  </si>
  <si>
    <t>Nhà văn hóa xã Mường Mô</t>
  </si>
  <si>
    <t>200 m2</t>
  </si>
  <si>
    <t>Nhà văn hóa xã Lê Lợi</t>
  </si>
  <si>
    <t>Xây dựng điểm trường Tiểu học Bản Tổng Pịt - Trường PTDTBT TH xã Mường Mô</t>
  </si>
  <si>
    <t xml:space="preserve">02 phòng học, 1 phòng công vụ và các hạng mục phụ trợ </t>
  </si>
  <si>
    <t>Hạ tầng kỹ thuật khu trung tâm xã Nậm Pì</t>
  </si>
  <si>
    <t>Đường giao thông nội bộ, mặt bằng dân cư, sân vận động, …</t>
  </si>
  <si>
    <t>Hạ tầng kỹ thuật khu trung tâm xã Nậm Chà</t>
  </si>
  <si>
    <t>HUYỆN MƯỜNG TÈ</t>
  </si>
  <si>
    <t>Nâng cấp đường giao thông liên vùng từ trung tâm xã Tá Bạ - bản Lè Giằng - bản Là Si - bản Ka Lăng huyện Mường Tè.</t>
  </si>
  <si>
    <t>41 km</t>
  </si>
  <si>
    <t>Nâng cấp nước sinh hoạt trung tâm xã Mường Tè</t>
  </si>
  <si>
    <t>xã Mường Tè</t>
  </si>
  <si>
    <t xml:space="preserve">Cấp nước cho 515 hộ các bản Bó và bản Nậm củm và các công trình công cộng khu trung tâm xã. </t>
  </si>
  <si>
    <t>Kiên cố thủy lợi Na Cai Bảng bản Giẳng, xã Mường Tè</t>
  </si>
  <si>
    <t>15,3 ha</t>
  </si>
  <si>
    <t>Xây dựng sân thể thao xã Bum Nưa</t>
  </si>
  <si>
    <t xml:space="preserve"> 02ha</t>
  </si>
  <si>
    <t>Nhà lớp học bộ môn trường THCS xã Mường Tè, huyện Mường Tè</t>
  </si>
  <si>
    <t>Nhà cấp III, 02 tầng và các hạng mục phụ trợ</t>
  </si>
  <si>
    <t>Sửa chữa, nâng cấp, bổ sung các HMPT</t>
  </si>
  <si>
    <t>Hệ thống đường giao thông nội đồng các bản xã Bum Nưa, huyện Mường Tè</t>
  </si>
  <si>
    <t>xã Bum Nưa</t>
  </si>
  <si>
    <t>2,1 km</t>
  </si>
  <si>
    <t>Hệ thống đường giao thông nội đồng các bản xã Thu Lũm, huyện Mường Tè</t>
  </si>
  <si>
    <t>Sửa chữa nước sinh hoạt các bản xã Thu Lũm (bản Pa Thắng, bản Thu Lũm 1)</t>
  </si>
  <si>
    <t>155 hộ</t>
  </si>
  <si>
    <t>Thuỷ lợi Lọng Co Cu + Huổi Y Lin xã Mường Tè</t>
  </si>
  <si>
    <t>20 ha</t>
  </si>
  <si>
    <t>Thuỷ lợi Cư Phu Á Te bản Thu Lũm 1 xã Thu lũm</t>
  </si>
  <si>
    <t>18 ha</t>
  </si>
  <si>
    <t>Kiên cố thủy lợi Nà Cấu, xã Mường Tè</t>
  </si>
  <si>
    <t xml:space="preserve"> 58ha</t>
  </si>
  <si>
    <t>Đường giao thông liên vùng từ bản Mo Chi - bản Cờ Lò, xã Pa Ủ - bản Nậm Phìn, xã Nậm Khao, huyện Mường Tè.</t>
  </si>
  <si>
    <t xml:space="preserve">Tổng chiều dài 16km (mở mới 11km, nâng cấp 5km) </t>
  </si>
  <si>
    <t>Sửa chữa nước sinh hoạt các bản xã Bum Nưa ( bản Nà Hẻ, bản Phiêng Kham, bản Nà Hừ 1-2)</t>
  </si>
  <si>
    <t>379 hộ</t>
  </si>
  <si>
    <t>Thuỷ lợi Xé Giá bản Pa Thắng</t>
  </si>
  <si>
    <t>07 ha</t>
  </si>
  <si>
    <t>Xây dựng sân thể thao xã Thu Lũm</t>
  </si>
  <si>
    <t>Xây dựng bổ sung các HM</t>
  </si>
  <si>
    <t>Hệ thống đường giao thông nội đồng các bản xã Mường Tè, huyện Mường Tè</t>
  </si>
  <si>
    <t>Tổng chiều dài 9,8 km (mở mới 2,3km, nâng cấp 7,5km)</t>
  </si>
  <si>
    <t>Sửa chữa nước sinh hoạt các bản xã Mường Tè (các bản: Nậm Hản, Giẳng, Mường Tè, Đon Lạt)</t>
  </si>
  <si>
    <t>304 hộ</t>
  </si>
  <si>
    <t>Nâng cấp thủy lợi Na Mứn bản Nậm Củm xã Mường Tè</t>
  </si>
  <si>
    <t>Nâng cấp, bổ sung</t>
  </si>
  <si>
    <t>Kiên cố thủy lợi Na Thé bản Nậm Hản, xã Mường Tè</t>
  </si>
  <si>
    <t>Sửa chưa, nâng cấp nhà văn hóa bản Thu Lũm 1 xã Thu Lũm</t>
  </si>
  <si>
    <t>Nâng cấp; bổ sung các HMPT</t>
  </si>
  <si>
    <t>HUYỆN SÌN HỒ</t>
  </si>
  <si>
    <t>Xây mới phòng học bộ môn trường THCS Sà Dề Phìn</t>
  </si>
  <si>
    <t>Cấp III, 2 tầng, 6 phòng bộ môn</t>
  </si>
  <si>
    <t>Xây mới 04 phòng học trường tiểu học Sà Dề Phìn; 04 phòng bộ môn, Sửa chữa nâng cấp phòng học, phòng HCQT</t>
  </si>
  <si>
    <t>Cấp III, 2 tầng</t>
  </si>
  <si>
    <t>Sửa chữa, nâng cấp đường từ bản Nậm Há - bản Nậm Béo xã Pu Sam Cáp</t>
  </si>
  <si>
    <t>GTNT B; L = 10Km</t>
  </si>
  <si>
    <t>Nâng cấp đường Bản Pậu - Nậm Lò - Co Cóc xã Nậm Tăm</t>
  </si>
  <si>
    <t>GTNT B; L = 11Km</t>
  </si>
  <si>
    <t>Đường vào bản Ngài San xã Làng Mô</t>
  </si>
  <si>
    <t>Xã làng Mô</t>
  </si>
  <si>
    <t>GTNT C; L =3Km</t>
  </si>
  <si>
    <t>Đường đến bản Xà Chải 1</t>
  </si>
  <si>
    <t>GTNT C 2Km</t>
  </si>
  <si>
    <t>Đường TT Xã đến bản Hồng Ngài (đi qua đường nối QL 32)</t>
  </si>
  <si>
    <t>Xã Pa Khóa</t>
  </si>
  <si>
    <t>GTNT C 2km</t>
  </si>
  <si>
    <t xml:space="preserve"> Xây dựng đường nước sinh hoạt bản Xà Chải 1</t>
  </si>
  <si>
    <t>40 hộ</t>
  </si>
  <si>
    <t xml:space="preserve"> Nước sinh hoạt ở bản Suối Su Tổng</t>
  </si>
  <si>
    <t>48 hộ</t>
  </si>
  <si>
    <t>Nước sinh hoạt bản Ka Sin Chải</t>
  </si>
  <si>
    <t>60 hộ</t>
  </si>
  <si>
    <t xml:space="preserve"> Nâng cấp nước sinh hoạt Bản Hồ Sì Pán</t>
  </si>
  <si>
    <t>70 hộ</t>
  </si>
  <si>
    <t>Thủy lợi Tầm Lình - Bản Nậm Mạ Dạo</t>
  </si>
  <si>
    <t>12 Ha</t>
  </si>
  <si>
    <t>Thủy lợi Đấu Hay Khâu Tai - Bản Phìn Hồ</t>
  </si>
  <si>
    <t>13 Ha</t>
  </si>
  <si>
    <t xml:space="preserve">Nâng cấp thủy lợi Pào Pao </t>
  </si>
  <si>
    <t>15ha</t>
  </si>
  <si>
    <t>Xây mới phòng học bộ môn trường TH&amp;THCS Pu Sam Cáp</t>
  </si>
  <si>
    <t>Xây tường bao, phòng học bộ môn điểm trường trung tâm xã Tủa Sín Chải</t>
  </si>
  <si>
    <t>Cấp III, 2 tầng, 5 phòng bộ môn</t>
  </si>
  <si>
    <t>Đường xuống bến Huổi Lá</t>
  </si>
  <si>
    <t>GTNTC; L=1 km</t>
  </si>
  <si>
    <t>Đường xuống bến Huổi Pha 1,2</t>
  </si>
  <si>
    <t>GTNTC; L=2 km</t>
  </si>
  <si>
    <t>NSH Trung tâm Xã Hồng Thu</t>
  </si>
  <si>
    <t>287 hộ</t>
  </si>
  <si>
    <t xml:space="preserve"> Nước sinh hoạt, bản Nậm Khăm</t>
  </si>
  <si>
    <t>150 hộ</t>
  </si>
  <si>
    <t>Nước sinh hoạt bản Háng Lìa 2</t>
  </si>
  <si>
    <t>50 hộ</t>
  </si>
  <si>
    <t>Nước sinh hoạt bản Pú Mạ</t>
  </si>
  <si>
    <t>87 hộ</t>
  </si>
  <si>
    <t>90 hộ</t>
  </si>
  <si>
    <t>45 hộ</t>
  </si>
  <si>
    <t>NSH bản Hắt Hơ</t>
  </si>
  <si>
    <t>27 hộ</t>
  </si>
  <si>
    <t>Sửa chữa thủy lợi Nậm Hoi</t>
  </si>
  <si>
    <t>Thủy lợi Đề Chờ Chùa bản Sáng Tùng (mới)</t>
  </si>
  <si>
    <t xml:space="preserve">15 ha </t>
  </si>
  <si>
    <t>Thủy lợi Na Hay Măn Co - Bản Nậm Mạ Thái</t>
  </si>
  <si>
    <t>20 Ha</t>
  </si>
  <si>
    <t>Xây mới 01 phòng học trường Mầm non bản Thào Giàng Phô</t>
  </si>
  <si>
    <t>Cấp III; 1 tầng</t>
  </si>
  <si>
    <t>Xây mới 01 phòng học trường Mầm non bản Chinh Chu Phìn</t>
  </si>
  <si>
    <t>Xây mới 01 phòng học trường Mầm non bản Hồng Thứ, Háng Lìa</t>
  </si>
  <si>
    <t>NC Đường Ha Vu Chứ - Chinh Chu Phìn</t>
  </si>
  <si>
    <t>4; GTNT C</t>
  </si>
  <si>
    <t>NC Đường trung tâm xã đến bản Thành Chử</t>
  </si>
  <si>
    <t>16; GTNT C</t>
  </si>
  <si>
    <t>92 hộ</t>
  </si>
  <si>
    <t>26 hộ</t>
  </si>
  <si>
    <t xml:space="preserve"> Sửa chữa nước sinh hoạt trung tâm UBND Xã Làng Mô</t>
  </si>
  <si>
    <t>80 hộ</t>
  </si>
  <si>
    <t>Nâng cấp sửa chữa thủy lợi Bản Hay</t>
  </si>
  <si>
    <t>60ha</t>
  </si>
  <si>
    <t>NC, SC thủy lợi Chăm Đanh</t>
  </si>
  <si>
    <t>Nâng cấp đường trung tâm Xã đến bản Nậm Kinh</t>
  </si>
  <si>
    <t>GTNT C 1,5Km</t>
  </si>
  <si>
    <t>NC Đường từ TT xã đến bản Phi Én</t>
  </si>
  <si>
    <t>GTNT C 17km</t>
  </si>
  <si>
    <t>Đường đến bản Pho 2</t>
  </si>
  <si>
    <t xml:space="preserve"> GTNT C 1Km</t>
  </si>
  <si>
    <t>Kè từ đầu cầu Nậm Sảo đến cuối ruộng Nà Y</t>
  </si>
  <si>
    <t>1km; Kè BT</t>
  </si>
  <si>
    <t>Thủy lợi Nà Nưa - Bản Nậm Mạ Thái</t>
  </si>
  <si>
    <t>15 Ha</t>
  </si>
  <si>
    <t>Thủy lợi Dò Lầu Bản Thà Giàng Chải</t>
  </si>
  <si>
    <t xml:space="preserve"> 20 ha </t>
  </si>
  <si>
    <t>HUYỆN PHONG THỔ</t>
  </si>
  <si>
    <t xml:space="preserve"> Thị trấn Phong Thổ</t>
  </si>
  <si>
    <t>2022-2023</t>
  </si>
  <si>
    <t>Bổ sung cơ sở vật chất Trường THCS Khổng Lào</t>
  </si>
  <si>
    <t>Nhà 2 tầng 4 PHBM và hạng mục phụ trợ</t>
  </si>
  <si>
    <t>Bổ sung cơ sở vật chất Trường TH Khổng Lào (giai đoạn 2)</t>
  </si>
  <si>
    <t>Nhà 3 tầng 6 PHMB và hạng mục phụ trợ</t>
  </si>
  <si>
    <t>Bổ sung cơ sở vật chất Trường mầm non Huổi Luông</t>
  </si>
  <si>
    <t>Nhà hiệu bộ 2 tầng 6 phòng</t>
  </si>
  <si>
    <t>Bổ sung cơ sở vật chất Trường THCS Mường So</t>
  </si>
  <si>
    <t>Nhà 3 tầng 8 PHMB và hạng mục phụ trợ</t>
  </si>
  <si>
    <t>Nâng cấp đường GTNT bản Sân Bay (từ Đồn Biên phòng) - bản Sì Cha Chải - bản Can Hồ - Km14 (đường Nậm Xe - Sin Suối Hồ), xã Sin Suối Hồ</t>
  </si>
  <si>
    <t>xã Nậm Xe và xã Sin Suối Hồ</t>
  </si>
  <si>
    <t>GTNT B, L=20Km</t>
  </si>
  <si>
    <t>Nâng cấp đường  GTNT trung tâm xã Huổi Luông đi bản Ngài Chồ</t>
  </si>
  <si>
    <t>GTNT B, L=9Km</t>
  </si>
  <si>
    <t>Nâng cấp, cải tạo đường GTNT từ bản Sì Phài xã Dào San đến trung tâm xã Vàng Ma Chải</t>
  </si>
  <si>
    <t>xã Dào San  và xã Vàng Ma Chải</t>
  </si>
  <si>
    <t>GTNT B, L=12Km + 1 cầu bê tông</t>
  </si>
  <si>
    <t>Nâng cấp đường GTNT bản Hồ thầu 1 -  bản Huổi Luông 2</t>
  </si>
  <si>
    <t>GTNT B, L=7Km</t>
  </si>
  <si>
    <t>Đường ra khu sản suất hàng hóa tập trung thôn Nậm Pậy</t>
  </si>
  <si>
    <t>GTNT B, L=6Km</t>
  </si>
  <si>
    <t>Cấp NSH trung tâm xã Huổi Luông</t>
  </si>
  <si>
    <t xml:space="preserve"> xã Huổi Luông</t>
  </si>
  <si>
    <t>162 hộ</t>
  </si>
  <si>
    <t>Sửa chữa, nâng cấp NSH bản Tả Phìn</t>
  </si>
  <si>
    <t>xã Ma Ly Pho</t>
  </si>
  <si>
    <t>129 hộ</t>
  </si>
  <si>
    <t>Cấp NSH bản Hoảng Trù Sào</t>
  </si>
  <si>
    <t xml:space="preserve">50 hộ </t>
  </si>
  <si>
    <t>Xây dựng bến thuyền thị trấn Phong Thổ</t>
  </si>
  <si>
    <t>L=100m</t>
  </si>
  <si>
    <t>Xây dựng nhà văn hóa bản Vàng Pheo xã Mường So</t>
  </si>
  <si>
    <t>Mở rộng khuôn viên; xây mới 1 nhà sàn và các hạng mục phụ trợ</t>
  </si>
  <si>
    <t>2023-2025</t>
  </si>
  <si>
    <t>Bổ sung cơ sở vật chất Trường PTDTBT THCS Ma Ly Pho</t>
  </si>
  <si>
    <t>Nhà 2 tầng 6 PHBM và hạng mục phụ trợ</t>
  </si>
  <si>
    <t>Xây dựng cơ sở vật chất trường PTDTBT TH Lản Nhì Thàng</t>
  </si>
  <si>
    <t>xã Lản Nhì Thàng</t>
  </si>
  <si>
    <t xml:space="preserve"> - PHBM; Nhà đa năng; 10 phòng ở bán chú (213hs); và hạng mục phụ trợ</t>
  </si>
  <si>
    <t>xã Huổi Luông và xã Ma Ly Pho</t>
  </si>
  <si>
    <t xml:space="preserve">GTNT B, L=8 km </t>
  </si>
  <si>
    <t>Nâng cấp, cải tạo đường giao thông trung tâm xã Mường So</t>
  </si>
  <si>
    <t>L=2,5km</t>
  </si>
  <si>
    <t>Sửa chữa, nâng cấp NSH bản Huổi Phặc</t>
  </si>
  <si>
    <t>83 hộ</t>
  </si>
  <si>
    <t>Sửa chữa, nâng cấp NSH bản Đớ</t>
  </si>
  <si>
    <t>81 hộ</t>
  </si>
  <si>
    <t>Sửa chữa, nâng cấp NSH bản Co Muông</t>
  </si>
  <si>
    <t>121 hộ</t>
  </si>
  <si>
    <t>Sửa chữa, nâng cấp NSH bản Hùng Pèng</t>
  </si>
  <si>
    <t>40 hộ</t>
  </si>
  <si>
    <t>Cấp NSH bản Chang Hỏng 2</t>
  </si>
  <si>
    <t xml:space="preserve">45 hộ </t>
  </si>
  <si>
    <t>Sửa chữa, nâng cấp cụm thủy lợi xã Khổng Lào</t>
  </si>
  <si>
    <t>10 ha lúa 02 vụ</t>
  </si>
  <si>
    <t>Xây kè chống sạt lở bảo vệ cánh đồng Phai Cát</t>
  </si>
  <si>
    <t>Kè bê tông, L=2Km; đường dạo đỉnh kè và hạng mục khác</t>
  </si>
  <si>
    <t>Tiểu dự án 1. Phát triển giáo dục nghề nghiệp vùng nghèo, vùng khó khăn</t>
  </si>
  <si>
    <t>Trường CĐCĐ</t>
  </si>
  <si>
    <t>H. Than Uyên</t>
  </si>
  <si>
    <t>H. Tân Uyên</t>
  </si>
  <si>
    <t>H. Tam Đường</t>
  </si>
  <si>
    <t>H. Phong Thổ</t>
  </si>
  <si>
    <t>H. Sìn Hồ</t>
  </si>
  <si>
    <t>H. Nậm Nhùn</t>
  </si>
  <si>
    <t>Tiểu dự án 3. Hỗ trợ việc làm bền vững</t>
  </si>
  <si>
    <t>Kế hoạch vốn đầu tư giai đoạn 2021-2025</t>
  </si>
  <si>
    <t>KẾ HOẠCH VỐN ĐẦU TƯ PHÁT TRIỂN NGUỒN NGÂN SÁCH TRUNG ƯƠNG GIAI ĐOẠN 2021-2025 THỰC HIỆN CHƯƠNG TRÌNH MỤC TIÊU QUỐC GIA PHÁT TRIỂN KINH TẾ - XÃ HỘI VÙNG ĐỒNG BÀO DÂN TỘC THIỂU SỐ VÀ MIỀN NÚI</t>
  </si>
  <si>
    <t>KẾ HOẠCH VỐN ĐẦU TƯ PHÁT TRIỂN NGUỒN NGÂN SÁCH TRUNG ƯƠNG GIAI ĐOẠN 2021 - 2025 
CHƯƠNG TRÌNH MTQG GIẢM NGHÈO BỀN VỮNG</t>
  </si>
  <si>
    <t>Phụ lục IX</t>
  </si>
  <si>
    <t>Phụ lục X</t>
  </si>
  <si>
    <t>Phụ lục X-1</t>
  </si>
  <si>
    <t>Phụ lục XI</t>
  </si>
  <si>
    <t>Phụ lục XI-1</t>
  </si>
  <si>
    <t>Phụ lục XII</t>
  </si>
  <si>
    <t>Phụ lục XII-1</t>
  </si>
  <si>
    <t>Phụ lục XIII</t>
  </si>
  <si>
    <t>Phụ lục XIII-1</t>
  </si>
  <si>
    <t>Phụ lục XIV</t>
  </si>
  <si>
    <t>Phụ lục XV</t>
  </si>
  <si>
    <t>TT Nậm Nhùn</t>
  </si>
  <si>
    <t>Pú Đao</t>
  </si>
  <si>
    <t>Mường Mô</t>
  </si>
  <si>
    <t>Lê Lợi</t>
  </si>
  <si>
    <t>Cứng hóa đường giao thông từ bản Nậm Manh đến bản Nậm Pồ</t>
  </si>
  <si>
    <t>Nậm Manh</t>
  </si>
  <si>
    <t>9,6 km</t>
  </si>
  <si>
    <t>Đường Nội đồng bản Nậm Hài, xã Mường Mô</t>
  </si>
  <si>
    <t>17 km</t>
  </si>
  <si>
    <t>Sửa chữa, nạo vét, nâng cấp rãnh thoát nước tuyến đường từ cổng chào đến trung tâm xã Pú Đao</t>
  </si>
  <si>
    <t>Đường nội đồng đi khu sản xuất Nậm Đắc - Nậm Đoong (Pa Lắp) xã Pú Đao</t>
  </si>
  <si>
    <t>Cấp điện nông thô từ điện lưới quốc gia đến bản Điện bản Nậm Pì xã Pú Đao</t>
  </si>
  <si>
    <t xml:space="preserve">28 hộ </t>
  </si>
  <si>
    <t>Cấp điện nông thôn từ điện lưới quốc gia đến bản Pá Sập, xã Nậm Pì</t>
  </si>
  <si>
    <t>30 hộ</t>
  </si>
  <si>
    <t>Cấp điện nông thôn từ điện lưới quốc gia đến bản Pá Đởn, xã Nậm Pì</t>
  </si>
  <si>
    <t>32 hộ</t>
  </si>
  <si>
    <t>Cấp điện nông thôn từ điện lưới quốc gia đến bản Nậm Vời, xã Nậm Pì</t>
  </si>
  <si>
    <t>43 hộ</t>
  </si>
  <si>
    <t>Cấp điện nông thôn từ điện lưới quốc gia đến bản Nậm Cầy, xã Nậm Hàng</t>
  </si>
  <si>
    <t>101 hộ</t>
  </si>
  <si>
    <t>Điện sinh hoạt bản Pa Phang 2 xã Phìn Hồ</t>
  </si>
  <si>
    <t>Trạm Biến áp; 35 KV; 0,4 KV</t>
  </si>
  <si>
    <t>Điện sinh hoạt bản Nậm Tần Xá xã Pa Tần</t>
  </si>
  <si>
    <t>Xây mới sân đào tạo, sát hạch lái xe và nhà điều hành</t>
  </si>
  <si>
    <t>Đầu tư xây mới xưởng thực hành may thời trang theo mô hình liên hợp đào tạo với sản xuất nghề may</t>
  </si>
  <si>
    <t>200 công nhân, 2.500m2</t>
  </si>
  <si>
    <t>Xây mới xưởng thực hành - trung tâm GDNN-GDTX huyện</t>
  </si>
  <si>
    <t>Đầu tư xây dựng, trang thiết bị sàn giao dịch việc làm và hệ thống thông tin thị trường lao động tỉnh Lai Châu</t>
  </si>
  <si>
    <t>Tên xã</t>
  </si>
  <si>
    <t>Vốn năm 2021, 2022</t>
  </si>
  <si>
    <t>Trong đó</t>
  </si>
  <si>
    <t>GĐ 2023-2025</t>
  </si>
  <si>
    <t>Năm 2021</t>
  </si>
  <si>
    <t>Hệ số phân bổ</t>
  </si>
  <si>
    <t>Vốn</t>
  </si>
  <si>
    <t>TOÀN TỈNH</t>
  </si>
  <si>
    <t>Xã Bản Giang</t>
  </si>
  <si>
    <t>Xã Giang ma</t>
  </si>
  <si>
    <t xml:space="preserve"> Xã Phúc Khoa</t>
  </si>
  <si>
    <t>Xã Thân Thuộc</t>
  </si>
  <si>
    <t>Xã Pắc Ta</t>
  </si>
  <si>
    <t>Mường So</t>
  </si>
  <si>
    <t>Khổng Lào</t>
  </si>
  <si>
    <t>Ma Li Pho</t>
  </si>
  <si>
    <t>Huổi Luông</t>
  </si>
  <si>
    <t>Lản Nhì Thàng</t>
  </si>
  <si>
    <t>Sin Suối Hồ</t>
  </si>
  <si>
    <t>Sì Lở Lầu</t>
  </si>
  <si>
    <t>Dào San</t>
  </si>
  <si>
    <t>Nậm Tăm</t>
  </si>
  <si>
    <t>Nậm Mạ</t>
  </si>
  <si>
    <t>Chăn Nưa</t>
  </si>
  <si>
    <t>Lùng Thàng</t>
  </si>
  <si>
    <t>Nậm Hăn</t>
  </si>
  <si>
    <t>Căn Co</t>
  </si>
  <si>
    <t>Pu Sam Cáp</t>
  </si>
  <si>
    <t>Tả Phìn</t>
  </si>
  <si>
    <t>Phăng Sô Lin</t>
  </si>
  <si>
    <t>Tả Ngảo</t>
  </si>
  <si>
    <t>Hồng Thu</t>
  </si>
  <si>
    <t>Nậm Cuổi</t>
  </si>
  <si>
    <t>Phìn Hồ</t>
  </si>
  <si>
    <t>Nậm Ban</t>
  </si>
  <si>
    <t>Mường Tè</t>
  </si>
  <si>
    <t>Thu Lũm</t>
  </si>
  <si>
    <t>Can Hồ</t>
  </si>
  <si>
    <t>Nậm Khao</t>
  </si>
  <si>
    <t>Ka Lăng</t>
  </si>
  <si>
    <t>Mù Cả</t>
  </si>
  <si>
    <t>Tà Tổng</t>
  </si>
  <si>
    <t>Pa Ủ</t>
  </si>
  <si>
    <t>Tá Bạ</t>
  </si>
  <si>
    <t>KẾ HOẠCH VỐN ĐẦU TƯ PHÁT TRIỂN NGUỒN NGÂN SÁCH TRUNG ƯƠNG GIAI ĐOẠN 2021 - 2025 CHƯƠNG TRÌNH MTQG XÂY DỰNG NÔNG THÔN MỚI</t>
  </si>
  <si>
    <t xml:space="preserve"> KẾ HOẠCH VỐN ĐẦU TƯ PHÁT TRIỂN NGUỒN NGÂN SÁCH TRUNG ƯƠNG GIAI ĐOẠN 2021 - 2025 CHƯƠNG TRÌNH MTQG XÂY DỰNG NÔNG THÔN MỚI CÁC HUYỆN, THÀNH PHỐ</t>
  </si>
  <si>
    <t>DANH MỤC CÁC DỰ ÁN BỐ TRÍ KẾ HOẠCH VỐN ĐẦU TƯ CHƯƠNG TRÌNH MỤC TIÊU QUỐC GIA 
GIẢM NGHÈO BỀN VỮNG GIAI ĐOẠN 2021-2025</t>
  </si>
  <si>
    <t>Kế hoạch vốn giai đoạn 2021-2025</t>
  </si>
  <si>
    <t>Vốn cho huyện dự kiến đạt chuẩn giai đoạn 2021-2025</t>
  </si>
  <si>
    <t>Vốn phân bổ cho cấp xã</t>
  </si>
  <si>
    <t>Trung tâm Y tế Mường Tè</t>
  </si>
  <si>
    <t>2021-2025</t>
  </si>
  <si>
    <t>Chương trình giảm nghèo bền vững</t>
  </si>
  <si>
    <t>Phụ lục IV</t>
  </si>
  <si>
    <t>PHỤ LỤC V</t>
  </si>
  <si>
    <t xml:space="preserve">PHỤ LỤC VI
PHÂN BỔ KẾ HOẠCH VỐN ĐẦU TƯ PHÁT TRIỂN NGUỒN NGÂN SÁCH TRUNG ƯƠNG GIAI ĐOẠN 2021-2025 THỰC HIỆN CHƯƠNG TRÌNH MỤC TIÊU QUỐC GIA PHÁT TRIỂN KINH TẾ - XÃ HỘI VÙNG ĐỒNG BÀO DÂN TỘC THIỂU SỐ VÀ MIỀN NÚI </t>
  </si>
  <si>
    <t>In Nghị Quyết</t>
  </si>
  <si>
    <t>NHIỆM VỤ CHƯƠNG TRÌNH MỤC TIÊU QUỐC GIA GIAI ĐOẠN 2021-2025</t>
  </si>
  <si>
    <t>Danh mục mục tiêu, nhiệm vụ</t>
  </si>
  <si>
    <t xml:space="preserve">Kế hoạch giai đoạn
2021-2025
(phấn đấu đến
năm 2025) theo Quyết định số 652/QĐ-TTg của Thủ tướng Chính phủ </t>
  </si>
  <si>
    <t xml:space="preserve">Dự kiến Kế hoạch giai đoạn 2021-2025 </t>
  </si>
  <si>
    <t xml:space="preserve">Ghi chú </t>
  </si>
  <si>
    <t>%</t>
  </si>
  <si>
    <t>Xã ra khỏi địa bàn đặc biệt khó khăn</t>
  </si>
  <si>
    <t xml:space="preserve">Số xã </t>
  </si>
  <si>
    <t xml:space="preserve">xã </t>
  </si>
  <si>
    <t xml:space="preserve">Tỷ lệ xã </t>
  </si>
  <si>
    <t>Thôn ra khỏi địa bàn đặc biệt khó khăn</t>
  </si>
  <si>
    <t xml:space="preserve">Số thôn </t>
  </si>
  <si>
    <t xml:space="preserve">thôn </t>
  </si>
  <si>
    <t>Tỷ lệ thôn</t>
  </si>
  <si>
    <t xml:space="preserve">Chương trình mục tiêu quốc gia giảm nghèo bền vững </t>
  </si>
  <si>
    <t xml:space="preserve">Giảm tỷ lệ hộ nghèo hằng năm giai đoạn 2022-2025 </t>
  </si>
  <si>
    <t>Chương trình mục tiêu quốc gia xây dựng nông thôn mới</t>
  </si>
  <si>
    <t xml:space="preserve">Cấp huyện </t>
  </si>
  <si>
    <t>Số đơn vị cấp huyện được công nhận đạt chuẩn nông thôn mới/hoàn thành nhiệm vụ xây dựng nông thôn mới</t>
  </si>
  <si>
    <t xml:space="preserve">Cấp xã </t>
  </si>
  <si>
    <t>Tỷ lệ xã đạt chuẩn nông thôn mới</t>
  </si>
  <si>
    <t>Tỷ lệ xã nông thôn mới nâng cao</t>
  </si>
  <si>
    <t>Tỷ lệ xã đạt nông thôn kiểu mẫu</t>
  </si>
  <si>
    <t xml:space="preserve">Ghi chú: Giải trình những chỉ tiêu xây dựng thấp hơn hoặc không xây dựng </t>
  </si>
  <si>
    <t>PHỤ LỤC I</t>
  </si>
  <si>
    <t>Chương trình mục tiêu quốc gia phát triển kinh tế - xã hội vùng đồng bào dân tộc thiểu số và miền núi</t>
  </si>
  <si>
    <t>Phụ lục III-1</t>
  </si>
  <si>
    <t>PHỤ LỤC VII</t>
  </si>
  <si>
    <t>PHỤ LỤC IV-1</t>
  </si>
  <si>
    <t>Phụ lục VII.1</t>
  </si>
  <si>
    <t>Phụ lục IX-1</t>
  </si>
  <si>
    <t>Phụ lục XIV-1</t>
  </si>
  <si>
    <t>Phụ lục VIII</t>
  </si>
  <si>
    <t>Nâng cấp, cải tạo các công trình đường GTNT: Hợp I - Sì Phài và đường Dền Thàng B - Sểnh Sảng B, xã Dào San</t>
  </si>
  <si>
    <t>Nhà văn hóa bản Hợp Nhất - xã Bản Bo</t>
  </si>
  <si>
    <t xml:space="preserve">Nhà văn hóa bản Huổi Ke - xã Sơn Bình </t>
  </si>
  <si>
    <t>Nhà văn hóa bản  Bình Luông - Thị trấn Tam Đường</t>
  </si>
  <si>
    <t xml:space="preserve">Nhà văn hóa bản Nà Đon xã Bình Lư </t>
  </si>
  <si>
    <t>Nhà văn hóa bản Suối Thầu - xã Bản Giang</t>
  </si>
  <si>
    <t>Đường nội đồng các bản Ma Sao Phìn Thấp, Sàn Phàng Thấp, đường trục bản Ngài Thầu Thấp  + rãnh thoát nước</t>
  </si>
  <si>
    <t>Thủy lợi Tề Suối Ngài, thị trấn Tam Đường</t>
  </si>
  <si>
    <t>Bản Thác Tình, thị trấn Tam Đường</t>
  </si>
  <si>
    <t>Sắp xếp ổn định dân cư bản Lở Thàng 1+ 2, xã Thèn Sin huyện Tam Đường</t>
  </si>
  <si>
    <t>TMĐT lớn hơn 15 tỷ</t>
  </si>
  <si>
    <t>TMĐT lớn hơn 10 tỷ</t>
  </si>
  <si>
    <t>Tiểu dự án, dự án</t>
  </si>
  <si>
    <t>Chương trình MTQG phát triển kinh tế - xã hội vùng đồng bào dân tộc thiểu số và miền núi</t>
  </si>
  <si>
    <t>Chương trình MTQG giảm nghèo</t>
  </si>
  <si>
    <t>Cứng hóa đường từ các bản Sín Chải A + B, Chà Gá đến trung tâm xã Pa Vệ Sủ</t>
  </si>
  <si>
    <t>Cứng hóa đường từ các bản Xà Hồ, Pa Ủ, Hà Xi đến trung tâm xã Pa Ủ</t>
  </si>
  <si>
    <t>Cứng hóa từ bản Nhóm Pố - Vạ Pù đến trung tâm xã Tá Bạ</t>
  </si>
  <si>
    <t>Cứng hóa đường giao thông Km 13 - bản Pa Thắng - TT xã Thu Lũm</t>
  </si>
  <si>
    <t>Cấp điện nông thôn từ điện lưới quốc gia bản (A Chè, Suối Voi, Nậm Phìn, Chà Gá, Cờ Lò) thuộc các xã, huyện Mường Tè</t>
  </si>
  <si>
    <t>các xã
 H. Mường Tè</t>
  </si>
  <si>
    <t>330 hộ</t>
  </si>
  <si>
    <t>Thủy lợi mương tỏn xã Bản Hon</t>
  </si>
  <si>
    <t>25ha</t>
  </si>
  <si>
    <t>Nhà văn hóa Bản Hổi Lùng, xã Sùng Phài</t>
  </si>
  <si>
    <t>Nhà văn hóa Bản Suối Thầu, xã Sùng Phài</t>
  </si>
  <si>
    <t>Nhà văn hóa Bản Tả Chải, xã Sùng Phài</t>
  </si>
  <si>
    <t>Nâng cấp đường bê tông Pá Khoang đi Pa Chí Tấu</t>
  </si>
  <si>
    <t>Đường sản xuất vùng chè, cây ăn quả Pù Cha Cáp Na 1, 2, 3 xã Tà Hừa</t>
  </si>
  <si>
    <t>Đường sản xuất bản Noong Quài, Kè sạt lở đường Huổi Cầy</t>
  </si>
  <si>
    <t>Đường nội đồng Pá Khoang xã Pha Mu</t>
  </si>
  <si>
    <t>Đường Huổi Bắc ra Pá Chít xã Pha Mu (GĐ2 phía cuối tuyến Pá Chít)</t>
  </si>
  <si>
    <t>Nâng cấp kênh mương thủy lợi bản Noong Thăng, Che Bó xã Phúc Than</t>
  </si>
  <si>
    <t>Đầu tư cấp điện sinh hoạt cho Nhân dân bản Pá Chít Tấu</t>
  </si>
  <si>
    <t>25 hộ</t>
  </si>
  <si>
    <t>2022-2024</t>
  </si>
  <si>
    <t>Đường GTNT liên bản Thèn Sin - bản Ma Ly Pho</t>
  </si>
  <si>
    <t>xã Ma Li Pho</t>
  </si>
  <si>
    <t>Đường GTNT liên bản Sơn Bình - bản Ma Ly Pho</t>
  </si>
  <si>
    <t>5,5Km</t>
  </si>
  <si>
    <t>6Km</t>
  </si>
  <si>
    <t>Nâng cấp, sửa chữa đường GT, rãnh thoát nước bản Nậm Hàng</t>
  </si>
  <si>
    <t>Nâng cấp, sửa chữa, nạo vét, khơi thông rãnh thoát nước bản Pa Kéo</t>
  </si>
  <si>
    <t>Địa điểm
đầu tư</t>
  </si>
  <si>
    <t>xã Thu Lũm</t>
  </si>
  <si>
    <t>Giảm tỷ lệ hộ nghèo hằng năm giai đoạn 2022-2025 vùng đồng bào dân tộc thiểu số và miền núi</t>
  </si>
  <si>
    <r>
      <rPr>
        <b/>
        <sz val="10"/>
        <rFont val="Times New Roman"/>
        <family val="1"/>
      </rPr>
      <t xml:space="preserve">2. Thôn, bản thuộc các xã đặc biệt khó khăn: </t>
    </r>
    <r>
      <rPr>
        <sz val="10"/>
        <rFont val="Times New Roman"/>
        <family val="1"/>
      </rPr>
      <t xml:space="preserve"> Hiện nay, toàn tỉnh còn 54 xã đặc biệt khó khăn, với 458 bản; trong đó có 423 bản là bản đặc biệt khó khăn theo Quyết định số 612/QĐ-UBDT, ngày 16/9/2021 của Ủy ban Dân tộc. Các bản trên đều có cơ sở hạ tầng kinh tế - xã hội thấp kém, sản xuất còn lạc hậu kém phát triển, đời sống của người dân còn rất khó khăn. Trong khi đó nguồn lực đầu tư hỗ trợ của Nhà nước còn hạn chế chưa đáp ứng được nhu cầu thực tế. Vì vậy đối với tỉnh Lai Châu dự kiến tỷ lệ thôn, bản thuộc các xã đặc biệt khó khăn được công nhận đạt chuẩn nông thôn mới 25%.</t>
    </r>
  </si>
  <si>
    <t>Nậm pì</t>
  </si>
  <si>
    <t>Trường PTDTBT THCS Thu Lũm</t>
  </si>
  <si>
    <t>12 P bán trú, nhà bếp + ăn;
 vệ sinh, NSH và PT khác</t>
  </si>
  <si>
    <t>Trường PTDTBT TH Thu Lũm</t>
  </si>
  <si>
    <t>05 P học, 04 P CVGV, các HMPT</t>
  </si>
  <si>
    <t>Nâng cấp hệ thống phòng học + phụ trợ các Trường mầm non trên địa bàn các xã Mường Tè, Bum Nưa, Thu Lũm, huyện Mường Tè</t>
  </si>
  <si>
    <t>Bổ sung các phòng học mầm non trên địa bàn huyện Mường Tè</t>
  </si>
  <si>
    <t>07 phòng các điểm trường các xã Tà Tổng + Vàng San + Tá Bạ</t>
  </si>
  <si>
    <t>Nâng cấp hệ thống phòng học và phụ trợ các trường Tiểu học trên địa bàn các xã Mường Tè, Bum Nưa, Thu Lũm, huyện Mường Tè</t>
  </si>
  <si>
    <t>Nâng cấp, bổ sung phòng học và các HMPT</t>
  </si>
  <si>
    <t xml:space="preserve"> Nâng cấp nước sinh hoạt Bản Nậm Béo</t>
  </si>
  <si>
    <t xml:space="preserve"> Sửa chữa đường nước sinh hoạt của bản Pa Phang 1</t>
  </si>
  <si>
    <t xml:space="preserve"> Sửa chữa đường nước sinh hoạt của 2 bản Seo Lèng 1+2</t>
  </si>
  <si>
    <t xml:space="preserve"> Đường nước sinh hoạt nhóm Nậm Pậy, bản Tà Ghênh</t>
  </si>
  <si>
    <t>Ứng dụng công nghệ thông tin hỗ trợ phát triển kinh tế - xã hội và đảm bảo an ninh trật tự vùng đồng bào dân tộc thiểu số và miền núi</t>
  </si>
  <si>
    <t>KH vốn giai đoạn 21-25</t>
  </si>
  <si>
    <t>Các huyện</t>
  </si>
  <si>
    <t>THỐNG KÊ CÁC DỰ ÁN THEO VỐN NSTW THUỘC GIAI ĐOẠN 2021 - 2025
(Tổng mức đầu tư lớn hơn 15 tỷ đồng)</t>
  </si>
  <si>
    <t>THỐNG KÊ CÁC DỰ ÁN THEO VỐN NSTW THUỘC GIAI ĐOẠN 2021 - 2025
(Tổng mức đầu tư lớn hơn 10 tỷ đồng)</t>
  </si>
  <si>
    <t xml:space="preserve">THỐNG KÊ CÁC DỰ ÁN THEO VỐN NSTW THUỘC KCM NĂM 2022
(Tổng mức đầu tư lớn hơn 10 tỷ đồng)
</t>
  </si>
  <si>
    <t>KH vốn năm 2022</t>
  </si>
  <si>
    <t>Xây mới Trường phổ thông DTNT huyện Tam Đường</t>
  </si>
  <si>
    <t>Xây mới trường phổ thông DTNT huyện Tam Đường</t>
  </si>
  <si>
    <t>Xây mới Trường Phổ thông dân tộc bán trú THCS Pa Ủ huyện Mường Tè</t>
  </si>
  <si>
    <t>Nâng cấp Trung tâm Y tế Mường Tè</t>
  </si>
  <si>
    <t>Xây mới trường Phổ thông dân tộc bán trú THCS Pa Ủ huyện Mường Tè</t>
  </si>
  <si>
    <t>Nâng cấp đường giao thông Ló Mé, Lè Giằng, Tá Pạ</t>
  </si>
  <si>
    <t>Nâng cấp đường giao thông Ló Mé, Lò Ma, bản Ka Lăng, Trung tâm xã Ka Lăng</t>
  </si>
  <si>
    <t xml:space="preserve">Xây mới trường Tiểu học xã Khoen On </t>
  </si>
  <si>
    <t xml:space="preserve">Xây mới trường Phổ thông dân tộc bán trú THCS xã Căn Co </t>
  </si>
  <si>
    <t>Xây mới cơ sở vật chất các trường: Phổ thông dân tộc bán trú THCS Hoang Thèn; Phổ thông dân tộc bán trú THCS Sì Lở Lầu</t>
  </si>
  <si>
    <t xml:space="preserve">Xây mới cơ sở vật chất các trường Phổ thông dân tộc bán trú Tiểu học và THCS Nậm Ban; Phổ thông dân tộc bán trú Tiểu học Hua Bum </t>
  </si>
  <si>
    <t xml:space="preserve">Xây mới Trường Tiểu học xã Khoen On </t>
  </si>
  <si>
    <t xml:space="preserve">Xây mới cơ sở vật chất các trường: Phổ thông dân tộc bán trú THCS Hoang Thèn; Phổ thông dân tộc bán trú THCS Sì Lở Lầu </t>
  </si>
  <si>
    <t xml:space="preserve">Xây  mới cơ sở vật chất các trường Phổ thông dân tộc bán trú Tiểu học và THCS Nậm Ban; Phổ thông dân tộc bán trú Tiểu học Hua Bum </t>
  </si>
  <si>
    <t xml:space="preserve">Xây mới cơ sở vật chất các trường Phổ thông dân tộc bán trú tiểu học Thèn Sin;  Phổ thông dân tộc bán trú tiểu học Tả Lèng và Phổ thông dân tộc bán trú tiểu học Bản Bo </t>
  </si>
  <si>
    <t>Nâng cấp, cải tạo các công trình đường GTNT: Tỉnh lộ 132 đến bản Tả Lèng Sung và đường từ bản Bản Lang 2 - khu sản xuất Vàng Ý Chí - bản Sàng Giang, xã Bản Lang</t>
  </si>
  <si>
    <t>Các huyện Than Uyên, Thành Phố và huyện Mường Tè</t>
  </si>
  <si>
    <t xml:space="preserve"> xã Bum Nưa </t>
  </si>
  <si>
    <t>Nâng cấp trung tâm y tế huyện Mường Tè</t>
  </si>
  <si>
    <t>Xây mới cơ sở vật chất các trường Tiểu học Phìn Hồ; Trường Phổ thông dân tộc bán trú tiểu học Nậm Hăn</t>
  </si>
  <si>
    <t>Xây mới trường Phổ thông dân tộc bán trú TH &amp; THCS Pa Vây Sử</t>
  </si>
  <si>
    <t>THỐNG KÊ CÁC DỰ ÁN THEO VỐN NSTW THUỘC KCM NĂM 2022
(Tổng mức đầu tư lớn hơn 15 tỷ đồng)</t>
  </si>
  <si>
    <r>
      <rPr>
        <b/>
        <sz val="10"/>
        <rFont val="Times New Roman"/>
        <family val="1"/>
      </rPr>
      <t>2. Tỷ lệ huyện, thành phố đạt chuẩn nông thôn mới nâng cao, nông thôn mới kiểu mẫu.</t>
    </r>
    <r>
      <rPr>
        <sz val="10"/>
        <rFont val="Times New Roman"/>
        <family val="1"/>
      </rPr>
      <t xml:space="preserve">
Lý do: Theo Bộ tiêu chí Quốc gia về huyện đạt chuẩn nông thôn mới nâng cao tại Quyết định số 320/QĐ-TTg, ngày 08/3/2022; huyện đạt chuẩn nông thôn mới nâng cao có 50% xã đạt chuẩn nông thôn mới nâng cao và đạt 9 tiêu chí nâng cao cấp huyện.
Đến nay, tỉnh Lai Châu chưa có xã, huyện đạt chuẩn nông thôn mới nâng cao; mặt khác điều kiện kinh tế - xã hội của Tỉnh đang còn khó khăn, nguồn lực đầu tư hỗ trợ thực hiện chương trình còn hạn chế; đời sống vật chất và tinh thần của người dân tuy đã được cải thiện, song vẫn còn khó khăn.</t>
    </r>
  </si>
  <si>
    <t>23 km</t>
  </si>
  <si>
    <t>18 km</t>
  </si>
  <si>
    <t>Nâng cấp đường giao thông Ló Mé, Lò Ma, Ka Lăng - Trung tâm xã Ka Lăng</t>
  </si>
  <si>
    <t>DANH MỤC CÁC DỰ ÁN THỰC HIỆN CHƯƠNG TRÌNH MTQG XÂY DỰNG NÔNG THÔN MỚI GIAI ĐOẠN 2021-2025</t>
  </si>
  <si>
    <t>THÀNH PHỐ LAI CHÂU</t>
  </si>
  <si>
    <t>Đường giao thông nội đồng bản Cư Nhà La, xã Sùng Phài</t>
  </si>
  <si>
    <t>xã Sùng Phài</t>
  </si>
  <si>
    <t xml:space="preserve">Đường giao thông nội đồng bản Căn Câu, xã Sùng Phài </t>
  </si>
  <si>
    <t xml:space="preserve">Đường giao thông nội đồng bản Sùng Phài, xã Sùng Phài </t>
  </si>
  <si>
    <t xml:space="preserve">Đường giao thông nội đồng bản Sin Chải, xã Sùng Phài </t>
  </si>
  <si>
    <t xml:space="preserve">Đường giao thông nội đồng bản Lùng Thàng, xã Sùng Phài </t>
  </si>
  <si>
    <t>Đường giao thông nội đồng bản Cắng Đắng, xã San Thàng</t>
  </si>
  <si>
    <t>xã San Thàng</t>
  </si>
  <si>
    <t>Sửa chữa đường giao thông nội bản Xéo Sin Chải, xã San Thàng</t>
  </si>
  <si>
    <t>Nâng cấp, sửa chữa các tuyến đường nội thôn Tây An</t>
  </si>
  <si>
    <t>Thôn Tây An-Xã Mường So</t>
  </si>
  <si>
    <t>Nâng cấp, sửa chữa nhà văn hóa bản Vàng Bâu</t>
  </si>
  <si>
    <t>Bản Vàng Bâu-Xã Mường So</t>
  </si>
  <si>
    <t>Nâng cấp, sửa chữa đường GTNT đi khu sản xuất bản Huổi Sen</t>
  </si>
  <si>
    <t>Bản Huổi Sen-Xã Mường So</t>
  </si>
  <si>
    <t>Nâng cấp, sữa chữa các đoạn đường nội bản Phiêng Đanh</t>
  </si>
  <si>
    <t>Bản Phiêng Đanh-Xã Mường So</t>
  </si>
  <si>
    <t>Nâng cấp, sữa chữa các đoạn đường nôi bản Nà Củng</t>
  </si>
  <si>
    <t>Bản Nà Củng-Xã Mường So</t>
  </si>
  <si>
    <t>Nâng cấp, sữa chữa các đoạn đường nôi bản Nậm Cung</t>
  </si>
  <si>
    <t>Bản Nậm Cung-Xã Mường So</t>
  </si>
  <si>
    <t>Nâng cấp, sửa chữa các đoạn đường bản Huổi Bảo</t>
  </si>
  <si>
    <t>Bản Huổi Bảo-Xã Mường So</t>
  </si>
  <si>
    <t>Nâng cấp cấp sửa chữa 0,5km</t>
  </si>
  <si>
    <t>Nâng cấp, sửa chữa Nhà Văn hóa Bản Huổi Bảo</t>
  </si>
  <si>
    <t>Nâng cấp, sửa chữa Nhà Văn Hóa Bản Huổi Én</t>
  </si>
  <si>
    <t>Bản Huổi Én-Xã Mường So</t>
  </si>
  <si>
    <t>Nâng cấp, sửa chữa các đoạn đường nội thôn Tây Sơn</t>
  </si>
  <si>
    <t>Thôn Tây Sơn- Xã Mường So</t>
  </si>
  <si>
    <t>Nâng cấp, sửa chữa các đoạn đường nội bản Huổi Én</t>
  </si>
  <si>
    <t>Nâng cấp, sửa chữa đường nội bản Ho sao Chải</t>
  </si>
  <si>
    <t>bản Ho sao Chải -xã Khổng Lào</t>
  </si>
  <si>
    <t>Nâng cấp, sửa chữa mặt đường GTNT C, L=1,1Km</t>
  </si>
  <si>
    <t>Nâng cấp, sửa chữa đường nội bản Nậm Khay</t>
  </si>
  <si>
    <t>bản Nậm Khay-xã Khổng Lào</t>
  </si>
  <si>
    <t>Nâng cấp, sửa chữa mặt đường GTNT C, L=1Km</t>
  </si>
  <si>
    <t>Nâng cấp, sửa chữa đường ra khu sản xuất Lòng Pèng</t>
  </si>
  <si>
    <t>xã Khổng Lào</t>
  </si>
  <si>
    <t>Mở mới, cứng hóa đường nội đồng Huổi Piến</t>
  </si>
  <si>
    <t>Mở mới tuyến đường L=0,4 km; Mặt đường và hệ thống thoát nước</t>
  </si>
  <si>
    <t>Nâng cấp, sửa chữa Nhà văn hóa bản Huổi Nả</t>
  </si>
  <si>
    <t xml:space="preserve"> bản Huổi Nả- xã Khổng Lào</t>
  </si>
  <si>
    <t>Sửa chữa, nâng cấp nhà chính 70m2 và các hạng mục công trình phụ trợ khác</t>
  </si>
  <si>
    <t>bản Huổi Phặcxã Khổng Lào</t>
  </si>
  <si>
    <t>Sửa chữa, nâng cấp đầu đập, bể lọc, bể chứa, thay thế các tuyến ống bị hỏng D21 - D90 và lắp đặt đồng hồ đo nước</t>
  </si>
  <si>
    <t>Nâng cấp, sửa chữa đường giao thông Nậm Le đi Nhóm 2</t>
  </si>
  <si>
    <t>Nâng cấp, sửa chữa nhà văn hóa bản Huổi Luông 1</t>
  </si>
  <si>
    <t>Sửa chữa nhà văn hóa diện tích 200m2</t>
  </si>
  <si>
    <t>Nâng cấp, sửa chữa đường giao thông nông thôn La Vân - U Gia</t>
  </si>
  <si>
    <t>Nâng cấp, sửa chữa đường giao thông bản Tả phìn</t>
  </si>
  <si>
    <t>bản Tả phìn-Xã Ma Li Pho</t>
  </si>
  <si>
    <t>Nâng cấp, sửa chữa đường giao thông nội bản Thèn Xin</t>
  </si>
  <si>
    <t>bản Thèn Xin-Xã Ma Li Pho</t>
  </si>
  <si>
    <t>Xây mới Nhà văn hóa bản Giao Chản</t>
  </si>
  <si>
    <t>Bản Giao Chản-Xã Bản Lang</t>
  </si>
  <si>
    <t>Xây mới Nhà văn hóa bản Sàng Giang</t>
  </si>
  <si>
    <t>Bản Sàng Giang-Xã Bản Lang</t>
  </si>
  <si>
    <t>Xây mới Nhà văn hóa bản Nậm Lùng</t>
  </si>
  <si>
    <t>Bản Nậm Lùng-Xã Bản Lang</t>
  </si>
  <si>
    <t>Xây mới Nhà văn hóa bản Má Tiển</t>
  </si>
  <si>
    <t>Bản Má Tiền-Xã Bản Lang</t>
  </si>
  <si>
    <t>Xây mới Nhà văn hóa bản Nà Đoong</t>
  </si>
  <si>
    <t>Bản Nà Đoong-Xã Bản Lang</t>
  </si>
  <si>
    <t>Nâng cấp, sửa chữa nhà văn hóa Bản Pho</t>
  </si>
  <si>
    <t>Bản Pho-Xã Bản Lang</t>
  </si>
  <si>
    <t xml:space="preserve">Nâng cấp sửa chữa Nhà văn hóa Bản Lang 2 </t>
  </si>
  <si>
    <t>Bản Lang 2-Xã Bản Lang</t>
  </si>
  <si>
    <t>Nâng cấp, sửa chữa và kéo dài tuyến đường nội bản Nà Đoong</t>
  </si>
  <si>
    <t>Sửa chữa, nâng cấp NSH bản Lản Nhì Thàng, xã Lản Nhì Thàng</t>
  </si>
  <si>
    <t>bản Lản Nhì Thàng-xã Lản Nhì Thàng</t>
  </si>
  <si>
    <t>Nâng cấp, sửa chữa nhà văn hóa bản Lùng Cù - Seo Pả xã Lản Nhì Thàng</t>
  </si>
  <si>
    <t>Bổ sung đường GTNT bản Tái định cư (Hồng Thu Mán) xã Lản Nhì Thàng</t>
  </si>
  <si>
    <t>Nhà văn hóa bản Tái định cư (Hồng Thu Mán) xã Lản Nhì Thàng</t>
  </si>
  <si>
    <t>Xây dựng mới nhà văn hóa diện tích S=100m2</t>
  </si>
  <si>
    <t>Nâng cấp, sửa chữa Nhà văn hóa xã Lản Nhì Thàng</t>
  </si>
  <si>
    <t>Xây dựng nhà văn hóa bản Tả Lèng</t>
  </si>
  <si>
    <t>bản Tả Lèng-xã Hoang Thèn</t>
  </si>
  <si>
    <t>Nhà văn hóa 150m2, sân bê tông, tường rào</t>
  </si>
  <si>
    <t>Nâng cấp, sửa chữa đường vào khu sản xuất bản Mồ Sì Câu</t>
  </si>
  <si>
    <t>bản Mồ Sì Câu-xã Hoang Thèn</t>
  </si>
  <si>
    <t>Nâng cấp, sửa chữa đường nội đồng bản Huổi Hán</t>
  </si>
  <si>
    <t xml:space="preserve"> bản Huổi Hán-Xã Nậm Xe</t>
  </si>
  <si>
    <t>Nâng cấp, sửa chữa Nhà văn hóa bản Hoàng Liên Sơn 2</t>
  </si>
  <si>
    <t>bản Hoàng Liên Sơn 2-Xã Nậm Xe</t>
  </si>
  <si>
    <t>Nâng cấp, sửa chữa Nhà văn hóa bản Van Hồ 2</t>
  </si>
  <si>
    <t>bản Van Hồ 2-Xã Nậm Xe</t>
  </si>
  <si>
    <t>Xây mới Nhà văn hóa bản Ngài Trò</t>
  </si>
  <si>
    <t xml:space="preserve"> bản Ngài Trò-Xã Nậm Xe</t>
  </si>
  <si>
    <t>Nâng cấp, sửa chữa đường GTNB liên bản Trung Hồ GĐ 2</t>
  </si>
  <si>
    <t>Nâng cấp, sửa chữa đường GTNT Lèng Chư - Xì Phài - Dền Sang</t>
  </si>
  <si>
    <t>Xây dựng nhà văn hóa bản Tung Qua Lìn</t>
  </si>
  <si>
    <t>bản Tung Qua Lìn-Xã Tung Qua Lìn</t>
  </si>
  <si>
    <t>Xây dựng nhà văn hóa, sân bê tông</t>
  </si>
  <si>
    <t>Xây dựng Nhà văn hóa bản Cò Ký</t>
  </si>
  <si>
    <t>Nâng cấp, sửa chữa đường ra khu sản xuất Sì Cù Thì</t>
  </si>
  <si>
    <t>Nâng cấp, sửa chữa công trình thủy lợi  Sử Cồ Thìn (Vàng A Thông)</t>
  </si>
  <si>
    <t>Nâng cấp, sửa chữa đường giao thông nội bản Xín Chải</t>
  </si>
  <si>
    <t>bản Xín Chải-Xã Pa Vây Sử</t>
  </si>
  <si>
    <t>Xây dựng Nhà văn hóa bản Xín Chải</t>
  </si>
  <si>
    <t>Xây dựng Nhà văn hóa bản Ngài Thầu</t>
  </si>
  <si>
    <t>bản Ngài Thầu-Xã Pa Vây Sử</t>
  </si>
  <si>
    <t>Xây dựng Nhà văn hóa bản Pờ Xa</t>
  </si>
  <si>
    <t>bản Pờ Xa-Xã Pa Vây Sử</t>
  </si>
  <si>
    <t>Xây dựng Nhà văn hóa bản Hang É</t>
  </si>
  <si>
    <t>bản Hang É-Xã Pa Vây Sử</t>
  </si>
  <si>
    <t>Xây dựng Nhà văn hóa bản Pa Vây Sử</t>
  </si>
  <si>
    <t xml:space="preserve"> bản Pa Vây Sử-Xã Pa Vây Sử</t>
  </si>
  <si>
    <t>Xây dựng Nhà văn hóa bản Trung Chải</t>
  </si>
  <si>
    <t>bản Trung Chải-Xã Pa Vây Sử</t>
  </si>
  <si>
    <t>Nâng cấp đường ngõ, xóm (Nội thôn) bản Tung Chung Vang</t>
  </si>
  <si>
    <t xml:space="preserve"> bản Tung Chung Vang-Xã Mù Sang</t>
  </si>
  <si>
    <t>Nâng cấp đường GTNT ngõ, xóm (Nội thôn) bản Lản Than</t>
  </si>
  <si>
    <t>bản Lản Than-Xã Mù Sang</t>
  </si>
  <si>
    <t>Nâng cấp đường ngõ, xóm (Nội thôn) bản Tả Tê</t>
  </si>
  <si>
    <t>bản Tả Tê-Xã Mù Sang</t>
  </si>
  <si>
    <t>Xây dựng Nhà văn hóa bản Nhóm 1</t>
  </si>
  <si>
    <t xml:space="preserve"> bản Nhóm 1-xã Vàng Ma Chải</t>
  </si>
  <si>
    <t>Xây dựng Nhà văn hóa bản Nhóm 2</t>
  </si>
  <si>
    <t>bản Nhóm 2-xã Vàng Ma Chải</t>
  </si>
  <si>
    <t>Xây dựng Nhà văn hóa bản Nhóm 3</t>
  </si>
  <si>
    <t xml:space="preserve"> bản Nhóm 3-xã Vàng Ma Chải</t>
  </si>
  <si>
    <t>Nâng cấp sửa chữa đường nội đồng bản Sì Choang</t>
  </si>
  <si>
    <t>bản Sì Choang-xã Vàng Ma Chải</t>
  </si>
  <si>
    <t>Xây dựng Nhà văn hóa bản Tả Phùng</t>
  </si>
  <si>
    <t>bản Tả Phùng-xã Vàng Ma Chải</t>
  </si>
  <si>
    <t>Nâng cấp, cứng hóa đường nội bản bản Nhóm 2</t>
  </si>
  <si>
    <t xml:space="preserve"> bản Nhóm 2-xã Vàng Ma Chải</t>
  </si>
  <si>
    <t>Nâng cấp, sửa chữa NVH bản Mồ Sì San</t>
  </si>
  <si>
    <t xml:space="preserve"> bản Mồ Sì San- Xã Mồ Sì San</t>
  </si>
  <si>
    <t>Nâng cấp, sửa chữa đường ra khu sản xuất Tả Hồ Thầu</t>
  </si>
  <si>
    <t>Nâng cấp, sửa chữa đường GTNB liên bản bản Tân Séo Phìn  và Tô Y Phìn</t>
  </si>
  <si>
    <t>Nâng cấp, sửa chữa đường ra khu sản xuất Tả Páo Hồ</t>
  </si>
  <si>
    <t>xã Sì Lở Lầu</t>
  </si>
  <si>
    <t>Xây dựng Nhà văn hóa bản Mới</t>
  </si>
  <si>
    <t>HUYỆN TÂN UYÊN</t>
  </si>
  <si>
    <t>Nâng cấp Nhà văn hóa bản Phúc Khoa gắn với trưng bày sản phẩm nông sản, phát triển du lịch.</t>
  </si>
  <si>
    <t xml:space="preserve">Bản Phúc Khoa, xã Phúc KHoa </t>
  </si>
  <si>
    <t>Nâng cấp đường giao thông vùng chè bản Hô Bon</t>
  </si>
  <si>
    <t xml:space="preserve">Bản Hô Bon, xã Phúc Khoa </t>
  </si>
  <si>
    <t>Nâng cấp đường giao thông nội bản Hô Tra xã Mường Khoa gắn với bản NTM nâng cao</t>
  </si>
  <si>
    <t>Bản Hô Tra, xã Mường Khoa</t>
  </si>
  <si>
    <t>Nâng cấp đường giao thông nội bản Nậm Cung xã Mường Khoa</t>
  </si>
  <si>
    <t>Bản Nậm Cung xã Mường Khoa</t>
  </si>
  <si>
    <t xml:space="preserve"> Nâng cấp, sửa chữa nước sinh hoạt bản Khâu Giềng</t>
  </si>
  <si>
    <t>Bản Khâu Giềng, xã Hố Mít</t>
  </si>
  <si>
    <t>Nâng cấp đường SX vùng chè Khau Giềng - Bó Lun</t>
  </si>
  <si>
    <t>Bản Khau Giềng, xã Hố Mít</t>
  </si>
  <si>
    <t xml:space="preserve">Sửa chữa, nâng cấp Nhà văn hóa bản Mít Nọi </t>
  </si>
  <si>
    <t>Bản Mít Nọi, xã Hố Mít</t>
  </si>
  <si>
    <t xml:space="preserve">Nâng cấp Đường nội bản Phiêng Phát </t>
  </si>
  <si>
    <t>Bản Phiêng Phát, xã Trung Đồng</t>
  </si>
  <si>
    <t>Nâng cấp Đường nội bản Phiêng Phát 1</t>
  </si>
  <si>
    <t>Bản Phiêng Phát 1, xã Trung Đồng</t>
  </si>
  <si>
    <t>Nâng cấp, sửa chữa thủy Lợi bản Nặm Xôm</t>
  </si>
  <si>
    <t>Bản Nặm Xôm, xã Trung Đồng</t>
  </si>
  <si>
    <t>Nâng cấp, sửa chữa thủy lợi Bút Trên</t>
  </si>
  <si>
    <t>Bản Bút Trên, xã Trung Đồng</t>
  </si>
  <si>
    <t>Nâng cấp, sửa chữa thủy lợi Noong Kim</t>
  </si>
  <si>
    <t>Bản Noong Kim, xã Trung Đồng</t>
  </si>
  <si>
    <t>Nâng cấp, sủa chữa Đường nội bản Bút Dưới</t>
  </si>
  <si>
    <t>Bản Bút Dưới, xã Trung Đồng</t>
  </si>
  <si>
    <t>Nâng cấp đường giao thông bản Nà Ui</t>
  </si>
  <si>
    <t>Bản Nà Ui, xã Nậm Sỏ</t>
  </si>
  <si>
    <t>Nâng cấp đường giao thông liên bản Nà Lào - Nậm Sỏ</t>
  </si>
  <si>
    <t>Nâng cấp đường giao thông bản Hua Ít</t>
  </si>
  <si>
    <t>Bản Hua Ít, xã Nậm Sỏ</t>
  </si>
  <si>
    <t>Nâng cấp nhà văn hóa bản Phiêng Áng gắn với trưng bày sản phẩm nông sản.</t>
  </si>
  <si>
    <t>Bản Phiêng Áng, xã Nậm Cần</t>
  </si>
  <si>
    <t>Nâng cấp, sủa chữa nước sinh hoạt bản Phiêng Lúc</t>
  </si>
  <si>
    <t>Bản Phiêng Lúc, xã Nậm Cần</t>
  </si>
  <si>
    <t>Nâng cấp đường nội bản Hua Puông</t>
  </si>
  <si>
    <t>Bản Hua Puông, xã Nậm Cần</t>
  </si>
  <si>
    <t>Nâng cấp đường nội bản Nà Phát</t>
  </si>
  <si>
    <t>Bản Nà Phát, xã Nậm Cần</t>
  </si>
  <si>
    <t>Nâng cấp đường nội bản Phiêng Áng</t>
  </si>
  <si>
    <t>Sửa chữa thủy lợi bản Phiêng Bay</t>
  </si>
  <si>
    <t>Bản Phiêng Bay, xã Nậm Cần</t>
  </si>
  <si>
    <t xml:space="preserve">Mở mới tuyến đường sản xuất Huổi Tưng, bản Ít Chom </t>
  </si>
  <si>
    <t>Bản Ít Chom Trên, xã Tà Mít</t>
  </si>
  <si>
    <t>Nâng cấp tuyến đường bản Tà Mít xuống bến Lồng Thàng</t>
  </si>
  <si>
    <t>Bản Tà Mít, xã Tà Mít</t>
  </si>
  <si>
    <t>Bản Nậm Khăn, xã Tà Mít</t>
  </si>
  <si>
    <t>Nâng cấp đường nội bản Nậm Khăn</t>
  </si>
  <si>
    <t>Nâng cấp đường nội bản Nà Ún</t>
  </si>
  <si>
    <t>Bản Nà Ún, xã Pắc Ta</t>
  </si>
  <si>
    <t>Nâng cấp đường liên bản Nà Ún - Nà Sẳng</t>
  </si>
  <si>
    <t xml:space="preserve">Nâng cấp nhà văn hóa gắn với trưng bày sản phẩm nông sản bản Nà Hoi </t>
  </si>
  <si>
    <t>Bản Nà Hoi, xã Thân Thuộc</t>
  </si>
  <si>
    <t>Nâng cấp đường sản xuất bản Nà Hoi - Tạng Đán</t>
  </si>
  <si>
    <t>HUYỆN TAM ĐƯỜNG</t>
  </si>
  <si>
    <t xml:space="preserve">Nâng cấp đường trục bản Cốc Phung xã Bản Bo </t>
  </si>
  <si>
    <t xml:space="preserve">Bản Cốc Phung, xã Bản Bo </t>
  </si>
  <si>
    <t>Làm đường bê tông nội đồng vùng chè Bản Nà Út</t>
  </si>
  <si>
    <t xml:space="preserve">Bản Nà Ú, xã Bản Bo </t>
  </si>
  <si>
    <t>Làm đường bê tông nội đồng vùng chè bản Nà Út - Nậm Phát</t>
  </si>
  <si>
    <t xml:space="preserve">Bản  Nà Út, Nậm Phát, xã Bản Bo </t>
  </si>
  <si>
    <t xml:space="preserve">Đường nội đồng vùng chè bản Hua Sẳng </t>
  </si>
  <si>
    <t xml:space="preserve">Bản Hua Sẳng, xã Bản Bo </t>
  </si>
  <si>
    <t>Bê tông nền Sân và xây dựng các công trình phụ trợ nhà Văn Hóa bản Đông Pao 1</t>
  </si>
  <si>
    <t>Bản Đông Pao 1, xã Bản Hon</t>
  </si>
  <si>
    <t>Diện tích 2.200m2</t>
  </si>
  <si>
    <t>Sửa chữa mương thủy lợi  Nà Lóc bản Nà Khum</t>
  </si>
  <si>
    <t>Nà Khum,  xã Bản Hon</t>
  </si>
  <si>
    <t>Làm đường nội đồng bản Hoa Dì Hồ</t>
  </si>
  <si>
    <t>Bản Hoa Dì Hồ, xã Bản Hon</t>
  </si>
  <si>
    <t>Bê tông đường nội đồng Ngài Thầu Cao</t>
  </si>
  <si>
    <t>Ngài Thầu Cao, xã Khun Há</t>
  </si>
  <si>
    <t>Bê tông đường nội đồng Sàn Phàng Cao</t>
  </si>
  <si>
    <t>Sàn Phàng Cao, xã Khun Há</t>
  </si>
  <si>
    <t>Đường nội đồng bản Can Hồ</t>
  </si>
  <si>
    <t>Bản Can Hồ, xã Khun Há</t>
  </si>
  <si>
    <t>Đường nội đồng Sàn Phàng Thấp</t>
  </si>
  <si>
    <t>Sàn Phàng Thấp, xã Khun Há</t>
  </si>
  <si>
    <t>Sửa chữa, nâng cấp đường ra khu sản xuất bản Chin Chu Chải (nối tiếp đoạn đầu tư 2018 đến nhà Chang A Dơ)</t>
  </si>
  <si>
    <t>Bản Chin Chu Chải, xã Nùng Nàng</t>
  </si>
  <si>
    <t>Sửa chữa, nâng cấp đường ra khu sản xuất bản Sáy San 3 (Hảng A Sang đến khu sản xuất)</t>
  </si>
  <si>
    <t>Bản Sáy San 3, xã Nùng Nàng</t>
  </si>
  <si>
    <t>Sửa chữa, nâng cấp đường ra khu sản xuất bản Nùng Nàng (Cống qua đường đến lán Ma A Lừ)</t>
  </si>
  <si>
    <t>Bản Nùng Nàng, xã Nùng Nàng</t>
  </si>
  <si>
    <t>Sửa chữa, nâng cấp đường ra khu sản xuất bản Sáy San 3 (nối tiếp đoạn đầu tư 2016 đến khu sản xuất)</t>
  </si>
  <si>
    <t>Làm đường ra khu sản xuất bản Nùng Nàng ( đường Nùng Nàng- Nậm Tăm đến khu sản xuất)</t>
  </si>
  <si>
    <t>Xây dựng  nhà thi đấu đa năng xã Nùng Nàng</t>
  </si>
  <si>
    <t>Bản Sáy San 1, xã Nùng Nàng</t>
  </si>
  <si>
    <t>Sửa chữa, nâng cấp nhà văn hóa bản</t>
  </si>
  <si>
    <t>6/7 bản (Lao Tỷ Phùng, Nùng Nàng, Sáy San 3, Chin Chu Chải, Phan Chu Hoa, Sì Miền Khan), xã Nùng Nàng</t>
  </si>
  <si>
    <t>Xây dựng nhà văn hóa bản Tòong Pẳn + các hạng mục phụ trợ</t>
  </si>
  <si>
    <t>Bản Tòong Pẳn, xã Bình Lư</t>
  </si>
  <si>
    <t>Sửa chữa nhà văn hóa Nà San</t>
  </si>
  <si>
    <t>Bản Nà San, xã Bình Lư</t>
  </si>
  <si>
    <t>Nâng cấp đường liên bản Km2, Nà San</t>
  </si>
  <si>
    <t>Bản Km2, Nà San, xã Bình Lư</t>
  </si>
  <si>
    <t>Đường nội đồng bản thống nhất</t>
  </si>
  <si>
    <t>Bản Thống nhất</t>
  </si>
  <si>
    <t>Sửa chữa, nâng cấp nhà văn hóa bản Hưng Bình</t>
  </si>
  <si>
    <t>Bản Hưng Bình</t>
  </si>
  <si>
    <t>Nhà văn hóa cụm khu dân cư bản Nà Khan, Nà Phát</t>
  </si>
  <si>
    <t>Bản Nà Phát</t>
  </si>
  <si>
    <t>Nhà văn hóa bản Km2 xã Bình Lư + các hạng mục phụ trợ</t>
  </si>
  <si>
    <t>Bản Km2</t>
  </si>
  <si>
    <t>Nhà văn hóa bản Chù Lìn</t>
  </si>
  <si>
    <t>Bản Chù Lìn, xã Hồ Thầu</t>
  </si>
  <si>
    <t>Nâng cấp đường liên bản Gia Khâu-Chù Lìn</t>
  </si>
  <si>
    <t>Gia Khâu - Chù Lìn, xã Hồ Thầu</t>
  </si>
  <si>
    <t>Đường nội đồng bản Sì Thâu Chải</t>
  </si>
  <si>
    <t>Sì Thâu Chải, xã Hồ Thầu</t>
  </si>
  <si>
    <t>Đường nội bản Nhiều Sang</t>
  </si>
  <si>
    <t>Nhiều Sang, xã Hồ Thầu</t>
  </si>
  <si>
    <t>Đường giao thông nội đồng  Bãi trâu bản Bản Giang</t>
  </si>
  <si>
    <t>Bản Giang, xã Bản Giang</t>
  </si>
  <si>
    <t>Đường giao thông nội đồng bản Nà Bỏ đi bãi rác</t>
  </si>
  <si>
    <t>Bản Nà Bỏ</t>
  </si>
  <si>
    <t>Đường giao thông nội đồng bản Suối Thầu</t>
  </si>
  <si>
    <t>Bản Suối Thầu</t>
  </si>
  <si>
    <t>Đường ra khu sản xuất bản Cốc Pa</t>
  </si>
  <si>
    <t>Bản Cốc Pa</t>
  </si>
  <si>
    <t>Xây dựng nhà Văn Hóa Bản Đoàn Kết</t>
  </si>
  <si>
    <t>Bản Đoàn Kết</t>
  </si>
  <si>
    <t>Cứng hóa đường ra khu sản xuất Chè bản Lở Thàng 1 + Bản Lở Thàng 2 + Bản Đông Phong</t>
  </si>
  <si>
    <t>Bản Lở Thàng 1 + Lở Thàng 2</t>
  </si>
  <si>
    <t>Mở mới, cứng hóa đường ra khu sản xuất, giãn dân cư bản Na Đông, Thèn Sin 1 - Thèn Sin 2</t>
  </si>
  <si>
    <t>Bản Na Đông, bản Thèn Sin 1 - Bản Thèn Sin 2</t>
  </si>
  <si>
    <t>Làm đường nội đồng bản Thèn  Pả (Điểm đầu ruộng Giàng A Sình-điểm cuối ruộng Giàng A Hờ)</t>
  </si>
  <si>
    <t>Bản Thèn Pả, xã Tả Lèng</t>
  </si>
  <si>
    <t>Làm đường nội đồng bản Thèn Pả (khu Hảng A Mải)</t>
  </si>
  <si>
    <t>Đường nội đồng bản Sin Câu, xã Giang Ma</t>
  </si>
  <si>
    <t>Bản Sin Câu, xã Gang Ma</t>
  </si>
  <si>
    <t>Đường trục bản Ngài Chù</t>
  </si>
  <si>
    <t>Bản Ngài Trù, xã Gang Ma</t>
  </si>
  <si>
    <t>Đường trục bản Chu Va 6</t>
  </si>
  <si>
    <t>Bản Chu Va 6, xã Sơn Bình</t>
  </si>
  <si>
    <t>Đường nội bản Chu Va 6</t>
  </si>
  <si>
    <t>Sửa chữa nâng cấp tuyến đường trục bản Nà Luồng</t>
  </si>
  <si>
    <t>Nà Luồng, xã Nà Tăm</t>
  </si>
  <si>
    <t>Sửa chữa, nâng cấp tuyến đường trục bản Nà Hiềng</t>
  </si>
  <si>
    <t>Nà Hiềng, xã Nà Tăm</t>
  </si>
  <si>
    <t>Sửa chữa, nâng cấp tuyến đường trục bản Coóc Nọoc</t>
  </si>
  <si>
    <t>Coóc Noọc, xã Nà Tăm</t>
  </si>
  <si>
    <t>Đầu tư, sửa chữa nâng cấp tuyến đường trục bản Nà Ít</t>
  </si>
  <si>
    <t>Nà Ít, xã Nà Tăm</t>
  </si>
  <si>
    <t>Sửa chữa Trung tâm Y tế huyện Tam Đường; Xây dựng mới khu phục hồi chức năng</t>
  </si>
  <si>
    <t>TT. huyện Tam Đường</t>
  </si>
  <si>
    <t>Trường phổ thông dân tộc bán trú huyện Tam Đường</t>
  </si>
  <si>
    <t xml:space="preserve">Xây dựng mới khu khám, chữa các bệnh cách ly các bệnh truyền nhiễm </t>
  </si>
  <si>
    <t>Đầu tư Trung tâm Văn hóa - Thể thao huyện</t>
  </si>
  <si>
    <t>Nâng cấp, sửa chữa đường liên xã liên xã Bình Lư - Nà Tăm - Bản Bo</t>
  </si>
  <si>
    <t>Xã Nà Tăm; Bản Bo</t>
  </si>
  <si>
    <t>Nâng cấp, sửa chữa đoạn từ Trụ sở UBND xã Nà Tăm đến bản Hợp Nhất xã Bản Bo</t>
  </si>
  <si>
    <t>Xây dựng cầu và đường dẫn vào bản Suối Thầu xã Bản Giang</t>
  </si>
  <si>
    <t>Xây dựng mới cầu bê tông và đường dẫn hai đầu cầu</t>
  </si>
  <si>
    <t>HUYỆN THAN UYÊN</t>
  </si>
  <si>
    <t>Đường nội đồng bản Ngà - Cẩm Trung 2 - Hua Than</t>
  </si>
  <si>
    <t>Đường nghĩa địa bản Cẩm Trung 1</t>
  </si>
  <si>
    <t>Nâng cấp sửa chữa đường nội bản Cẩm Trung 2</t>
  </si>
  <si>
    <t>Làm rãnh đường giao thông nông thôn nội bản Cẩm Trung 1</t>
  </si>
  <si>
    <t xml:space="preserve">Đổ mương hộp bằng BT, đạy nắp BTCT </t>
  </si>
  <si>
    <t>Đường sản xuất từ nhà văn hóa ra cánh đồng Bản Đông</t>
  </si>
  <si>
    <t>Đường nội đồng Bản Mường</t>
  </si>
  <si>
    <t>Nâng cấp sữa chữa nhà văn hóa bản Mường</t>
  </si>
  <si>
    <t>Nâng cấp sửa chữa nhà văn hóa bản Lằn</t>
  </si>
  <si>
    <t xml:space="preserve">Cơi nới, làm mái mở rộng diện tích </t>
  </si>
  <si>
    <t>Nâng sửa chữa công trình nước sạch bản Co Phày</t>
  </si>
  <si>
    <t>Nâng cấp, sửa chữa đường nội bản Pom Bó</t>
  </si>
  <si>
    <t>Đầu tư mới tuyến mương Nà Mạ</t>
  </si>
  <si>
    <t>12</t>
  </si>
  <si>
    <t>14</t>
  </si>
  <si>
    <t>Đầu tư mới tuyến mương bản Mé (Cánh đồng Nà Nhao)</t>
  </si>
  <si>
    <t>15</t>
  </si>
  <si>
    <t>Nâng cấp sửa chữa tuyến mương bản Pom Bó</t>
  </si>
  <si>
    <t>16</t>
  </si>
  <si>
    <t>Đường nội bản Nà Ban, Nội bản Phường xã Hua Nà</t>
  </si>
  <si>
    <t>17</t>
  </si>
  <si>
    <t>Nâng cấp đường nội bản bản Đán Đăm</t>
  </si>
  <si>
    <t>18</t>
  </si>
  <si>
    <t>Mở mới đường sản xuất bản Đắc</t>
  </si>
  <si>
    <t>19</t>
  </si>
  <si>
    <t xml:space="preserve"> Đường sản xuất Chằm Cáy, bản Đắc</t>
  </si>
  <si>
    <t>20</t>
  </si>
  <si>
    <t>21</t>
  </si>
  <si>
    <t>Đầu tư, xây dựng mới nước sinh hoạt bản Vè</t>
  </si>
  <si>
    <t>22</t>
  </si>
  <si>
    <t>Đường sản xuất bản Hát Nam, bản Vè</t>
  </si>
  <si>
    <t>23</t>
  </si>
  <si>
    <t>Đường GTNT bản Nà Phát</t>
  </si>
  <si>
    <t>Phúc Than</t>
  </si>
  <si>
    <t>Đường giao thông nội đồng bản Sang Ngà</t>
  </si>
  <si>
    <t>25</t>
  </si>
  <si>
    <t>Đường GTNT bản Sam Sẩu</t>
  </si>
  <si>
    <t>Đường nội đồng bản Chiềng Ban 1, Chiềng Ban 2, Nà Đình</t>
  </si>
  <si>
    <t>27</t>
  </si>
  <si>
    <t xml:space="preserve">Nâng cấp, sửa chữa nước sinh hoạt bản Ngã Ba </t>
  </si>
  <si>
    <t>28</t>
  </si>
  <si>
    <t>Đường nội bản Nà Dân xã Mường Kim</t>
  </si>
  <si>
    <t>29</t>
  </si>
  <si>
    <t>Đường nội bản Chiềng Ban 1, Chiềng Ban 2</t>
  </si>
  <si>
    <t>30</t>
  </si>
  <si>
    <t>Nâng cấp, sửa chữa đường nội bản Mỳ, bản Củng, Hua Mỳ, bản Khem xã Ta Gia</t>
  </si>
  <si>
    <t>31</t>
  </si>
  <si>
    <t>Kênh mương thuỷ lợi bản Mỳ (từ Pom Mua về Na Tý)</t>
  </si>
  <si>
    <t>32</t>
  </si>
  <si>
    <t>Mở mới, nâng cấp sửa chữa đường sản xuất bản Hỳ</t>
  </si>
  <si>
    <t>33</t>
  </si>
  <si>
    <t>Nâng cấp, sửa chữa đường nội bản Hỳ</t>
  </si>
  <si>
    <t>34</t>
  </si>
  <si>
    <t>Đường GTNT bản Hô Ta, xã Tà Mung</t>
  </si>
  <si>
    <t>35</t>
  </si>
  <si>
    <t>Đường GTNT nội bản Tu San xã Tà Mung (GĐ 2)</t>
  </si>
  <si>
    <t>36</t>
  </si>
  <si>
    <t>Nâng cấp sửa chữa đường nội bản và hệ thống rãnh thoát nước tại bản On</t>
  </si>
  <si>
    <t>37</t>
  </si>
  <si>
    <t>Nâng cấp, sửa chữa thủy lợi bản Chế Hạng</t>
  </si>
  <si>
    <t>38</t>
  </si>
  <si>
    <t>Đường nội bản, nội đồng bản Cáp Na 1 (Khu nà có)</t>
  </si>
  <si>
    <t>39</t>
  </si>
  <si>
    <t>Nâng cấp, sửa chữa đường nội bản Cáp Na 2 (Khu phiêng hay)</t>
  </si>
  <si>
    <t>40</t>
  </si>
  <si>
    <t>Cứng hóa đường sản xuất Huổi Bắc ra Pá Chít (GĐ 1)</t>
  </si>
  <si>
    <t>41</t>
  </si>
  <si>
    <t>Cải tạo nâng cấp khuôn viên hồ Giai đoạn 5; Lát hành lang 1 số tuyến đường thị trấn</t>
  </si>
  <si>
    <t>Thị trấn Than Uyên</t>
  </si>
  <si>
    <t>42</t>
  </si>
  <si>
    <t>Làm hệ thống trụ nước, bể nước và bến lấy nước phục vụ công tác chữa cháy trên địa bàn huyện Than Uyên</t>
  </si>
  <si>
    <t>xây dựng bể nước, bến lấy nước và lắp đặt trụ cứu hỏa.</t>
  </si>
  <si>
    <t>43</t>
  </si>
  <si>
    <t>Lát gạch hành lang tuyến QL32 từ Trung tâm xã Mường Than đến cổng chào Thị trấn Than Uyên huyện Than Uyên</t>
  </si>
  <si>
    <t>44</t>
  </si>
  <si>
    <t>Nhà thư viện huyện Than Uyên</t>
  </si>
  <si>
    <t>45</t>
  </si>
  <si>
    <t>Hệ thống xử lý nước thải tập trung thị trấn Than Uyên</t>
  </si>
  <si>
    <t>46</t>
  </si>
  <si>
    <t>Điểm tập kết, trung chuyển chất thải rắn sinh hoạt trên địa bàn 04 xã Phúc Than, Mường Than, Mường Cang, Mường Kim và Thị trấn</t>
  </si>
  <si>
    <t>47</t>
  </si>
  <si>
    <t>Nâng câp, mở rộng bãi chôn lấp rác thải</t>
  </si>
  <si>
    <t>48</t>
  </si>
  <si>
    <t>Nâng cấp đường trục đường từ QL 32 vào xã Mường Mít</t>
  </si>
  <si>
    <t>Đường liên bản Mao Sao Phìn</t>
  </si>
  <si>
    <t>Đường GTNT Cấp B. L = 0,9km</t>
  </si>
  <si>
    <t xml:space="preserve">Sửa chữa NSH bản Sảng Phìn xã Sà Dề Phìn </t>
  </si>
  <si>
    <t>Đường nội đồng bản Mao Sao Phìn</t>
  </si>
  <si>
    <t>Đường GTNT Cấp D. L = 1,1km</t>
  </si>
  <si>
    <t>Nước Sinh hoạt bản Háng Lìa 2</t>
  </si>
  <si>
    <t>53 hộ</t>
  </si>
  <si>
    <t>Nâng cấp đường nước sinh hoạt bản Seo Sáng</t>
  </si>
  <si>
    <t>41 hộ</t>
  </si>
  <si>
    <t>Nhà văn hoá bản Háng Lìa 1</t>
  </si>
  <si>
    <t>79 m2</t>
  </si>
  <si>
    <t>Nâng cấp, sửa chữa thủy lợi Ná Pom bản Phiêng Diểm</t>
  </si>
  <si>
    <t>Xã  Chăn Nưa</t>
  </si>
  <si>
    <t>17 ha</t>
  </si>
  <si>
    <t>Nhà văn hoá bản Chiềng Chăn</t>
  </si>
  <si>
    <t>Nhà văn hoá bản Nậm Cày</t>
  </si>
  <si>
    <t>Đường giao thông nội  đồng bản Phiêng Diểm</t>
  </si>
  <si>
    <t>Đường GTNT Cấp C. L = 1km</t>
  </si>
  <si>
    <t>Sửa chữa nâng cấp thuỷ lợi Nậm Tà Na bản Nậm Cày</t>
  </si>
  <si>
    <t>Sửa chữa nâng cấp thuỷ lợi Nậm Cày bản Nậm Cày</t>
  </si>
  <si>
    <t>Nâng cấp, sửa chữa đường giao thông từ tỉnh lộ 128 đến bản tè cù nhè, xã Làng Mô</t>
  </si>
  <si>
    <t>GTNT B, L =0,45 Km; GTNT C, L =0,39 Km; 02 cống</t>
  </si>
  <si>
    <t>Sữa chữa NSH bản Hồ Suối Tổng (nhóm 1)</t>
  </si>
  <si>
    <t>65 hộ 450 khẩu</t>
  </si>
  <si>
    <t>Nhà văn hóa bản Nhiều Sáng</t>
  </si>
  <si>
    <t>79m2</t>
  </si>
  <si>
    <t>Nhà đa năng công đồng xã Tủa Sín Chải</t>
  </si>
  <si>
    <t>210 m2</t>
  </si>
  <si>
    <t>Nhà văn hóa bản Tủa Sín Chải</t>
  </si>
  <si>
    <t>Nhà văn hóa bản Ha Vu Chứ</t>
  </si>
  <si>
    <t>Các nhánh đường nội đồng, nội bản Hua Ná</t>
  </si>
  <si>
    <t>Đường GTNT Cấp B. L = 0,4km</t>
  </si>
  <si>
    <t>Đường nội đồng bản Pa Khóa (nhóm Phiêng Én)</t>
  </si>
  <si>
    <t>Đường GTNT Cấp C. L = 0,3km</t>
  </si>
  <si>
    <t>Nối tiếp đường nội đồng 03 bản Hồng Quảng 1, Hồng Quảng 2, Hồng Ngài</t>
  </si>
  <si>
    <t>Đường GTNT Cấp C. L = 1,4km</t>
  </si>
  <si>
    <t>Nhà văn hóa bản Xà Chải 1</t>
  </si>
  <si>
    <t xml:space="preserve">Nhà văn hóa bản tả Thàng </t>
  </si>
  <si>
    <t>Đường giao thông nội bản Nả Kế 1</t>
  </si>
  <si>
    <t>Đường GTNT Cấp C. L = 0,7km</t>
  </si>
  <si>
    <t>Đường giao thông nội bản Nả Kế 3</t>
  </si>
  <si>
    <t>Đường GTNT Cấp C. L = 0,8km</t>
  </si>
  <si>
    <t>Nối tiếp kênh mương thủy lợi suối Đề Bâu</t>
  </si>
  <si>
    <t>40 ha</t>
  </si>
  <si>
    <t>Thủy lợi bản Liều Chải</t>
  </si>
  <si>
    <t>30 ha</t>
  </si>
  <si>
    <t>Khu vui chơi thể thao xã Phăng Sô Lin</t>
  </si>
  <si>
    <t>Xã Phăng Sô Lin</t>
  </si>
  <si>
    <t>Sửa chữa thủy lợi bản Nậm Lúc</t>
  </si>
  <si>
    <t>Đường nội đồng khu sản xuất Chìa Tái Xoang</t>
  </si>
  <si>
    <t>Đường GTNT Cấp C. L = 1,1km</t>
  </si>
  <si>
    <t>Thủy lợi bản Séo Lèng 2</t>
  </si>
  <si>
    <t>40ha</t>
  </si>
  <si>
    <t>Bổ sung đường giao thông nội bản bản Pú Mạ</t>
  </si>
  <si>
    <t>Bản Pú Mạ</t>
  </si>
  <si>
    <t>GTNTC, B2m; L=1,2km</t>
  </si>
  <si>
    <t>Bổ sung nhánh kênh thủy lợi Bản Hang, xã Nậm Cuổi</t>
  </si>
  <si>
    <t>Bản Cuổi Nưa</t>
  </si>
  <si>
    <t>4Ha</t>
  </si>
  <si>
    <t>Làm mới thủy lợi Ná Bản Cấu, bản Nậm Coóng</t>
  </si>
  <si>
    <t>Bản Nậm Coóng</t>
  </si>
  <si>
    <t>3Ha</t>
  </si>
  <si>
    <t>Bổ sung đường giao thông nội bản Nậm Béo</t>
  </si>
  <si>
    <t>Bản Nậm Béo</t>
  </si>
  <si>
    <t>Bổ sung đường giao thông nội bản Nà Phân</t>
  </si>
  <si>
    <t>Bản Nà Phân</t>
  </si>
  <si>
    <t>Nâng cấp đường giao thông nội bản Nậm Pẻ</t>
  </si>
  <si>
    <t>Bản Nậm Pẻ</t>
  </si>
  <si>
    <t>Làm mới nhà văn hóa bản Nậm Pẻ</t>
  </si>
  <si>
    <t>94 Hộ</t>
  </si>
  <si>
    <t>Đường giao thông nội bản bản Nậm Lốt</t>
  </si>
  <si>
    <t>Bản Nậm Lốt</t>
  </si>
  <si>
    <t>Đường giao thông nội bản bản Nậm Kha</t>
  </si>
  <si>
    <t>GTNT C; B2m; L=800m</t>
  </si>
  <si>
    <t>Đường nội bản Nậm Kinh</t>
  </si>
  <si>
    <t>Bản Nậm Kinh</t>
  </si>
  <si>
    <t>GTNT C B3m L= 580m; B2m L= 460; B1.5m L= 600m</t>
  </si>
  <si>
    <t>NC, SC NSH bản Nậm Ngá</t>
  </si>
  <si>
    <t>Bản Nậm Ngá</t>
  </si>
  <si>
    <t>75 hộ</t>
  </si>
  <si>
    <t>Sửa chữa NSH bản Nậm Bó</t>
  </si>
  <si>
    <t>Bản Nậm Bó</t>
  </si>
  <si>
    <t>Đường nội đồng bản Lùng Thàng</t>
  </si>
  <si>
    <t>Bản Lùng Thàng</t>
  </si>
  <si>
    <t>Sửa chữa NSH bản Lùng Cù</t>
  </si>
  <si>
    <t>Bản Lùng Cù</t>
  </si>
  <si>
    <t>Nhà văn hóa bản Nậm Tần Mông 1</t>
  </si>
  <si>
    <t>Bản Nậm Tần Mông 1</t>
  </si>
  <si>
    <t>Nhà văn hóa, sân bê tông, tường rào, nhà vệ sinh, bể nước</t>
  </si>
  <si>
    <t>Nhà văn hóa bản Nậm Sảo</t>
  </si>
  <si>
    <t>Bản Nậm Sảo</t>
  </si>
  <si>
    <t>Nối tiếp tuyến ống thủy lợi Pho 1+2</t>
  </si>
  <si>
    <t>Bản Pho 1+2</t>
  </si>
  <si>
    <t>Tuyến ống HDPE L=1,05km cấp nước tưới tiêu cho 7ha</t>
  </si>
  <si>
    <t>Nối kênh thủy lợi Nà Tăm 2</t>
  </si>
  <si>
    <t>Bản Nà Tăm 2</t>
  </si>
  <si>
    <t>Kênh BTCT (50x70)cm L=650m, tưới cho 10ha</t>
  </si>
  <si>
    <t>Đường giao thông nội đồng bản Nậm Ngập</t>
  </si>
  <si>
    <t>Bản Nậm Ngập</t>
  </si>
  <si>
    <t>Đường GTNT L=0,763km; Bmặt=3m</t>
  </si>
  <si>
    <t>Đường giao thông nội đồng bản Nậm Pậu</t>
  </si>
  <si>
    <t>Bản Nậm Pậu</t>
  </si>
  <si>
    <t>Đường vào bản Nậm Kinh</t>
  </si>
  <si>
    <t>Nhà văn hoá bản Ma Quai Thàng</t>
  </si>
  <si>
    <t>Bản Ma Quai Thàng</t>
  </si>
  <si>
    <t>Đường giao thông bản Đin Đanh</t>
  </si>
  <si>
    <t>Bản Đin Đanh</t>
  </si>
  <si>
    <t>Đường GTNT L=1,2km Bmặt = 2,5m; L=0,5km Bmặt = 2m; 3 vị trí cống bản; 5 vị trí cống tròn D30</t>
  </si>
  <si>
    <t>Thủy Na Nấy bản Pắn Ngọi</t>
  </si>
  <si>
    <t>Bản Pắn Ngọi</t>
  </si>
  <si>
    <t>Đầu mối, tuyến kênh 40x50 L =0,9km; tưới cho 8ha</t>
  </si>
  <si>
    <t>Nhà Văn Hóa bản Phiêng Trạng</t>
  </si>
  <si>
    <t>Bản Phiêng Trạng</t>
  </si>
  <si>
    <t>Nhà văn hóa, tường rào, nhà vệ sinh, bể nước</t>
  </si>
  <si>
    <t>Nhà văn hóa bản Ta Pả</t>
  </si>
  <si>
    <t>Bản Ta Pả</t>
  </si>
  <si>
    <t>Đường Nội đồng bản Co Lẹ</t>
  </si>
  <si>
    <t>Bản Co Lẹ</t>
  </si>
  <si>
    <t>Đường liên bản Huổi Ca - Co Lẹ</t>
  </si>
  <si>
    <t>Xã Nậm Mạ</t>
  </si>
  <si>
    <t>Nhà văn hóa bản Sông Đà</t>
  </si>
  <si>
    <t>Bản Sông Đà</t>
  </si>
  <si>
    <t>Nhà văn hóa, sân bê tông</t>
  </si>
  <si>
    <t>Nhà văn hóa bản Huổi Ca</t>
  </si>
  <si>
    <t>Bản Huổi Ca</t>
  </si>
  <si>
    <t>Nâng cấp thủy lợi Vạ Pù, xã Tá Bạ</t>
  </si>
  <si>
    <t>Đường giao thông nông thôn phục vụ sản xuất bản Là Pê xã Tá Bạ</t>
  </si>
  <si>
    <t>1,2 km</t>
  </si>
  <si>
    <t>Đường giao thông nông thôn phục vụ sản xuất Nậm Lọ xã Can Hồ</t>
  </si>
  <si>
    <t>3,0 km</t>
  </si>
  <si>
    <t>Xây dựng sân thể thao trung tâm xã Can Hồ</t>
  </si>
  <si>
    <t>0,6 ha</t>
  </si>
  <si>
    <t xml:space="preserve">Sửa chữa, nâng cấp phòng lớp học, nhà công vụ và phụ trợ khác các điểm trường mầm non các bản, xã Nậm Khao </t>
  </si>
  <si>
    <t>Sửa chữa, nâng cấp</t>
  </si>
  <si>
    <t>Tu sửa, nâng cấp nước sinh hoạt các bản (Nậm Phìn, Huổi tát….) xã Nậm Khao</t>
  </si>
  <si>
    <t>Tu sửa, nâng cấp nước sinh hoạt các bản (Thăm Pa, Chà Kế,… ) xã Pa Ủ</t>
  </si>
  <si>
    <t>xã Pa Ủ</t>
  </si>
  <si>
    <t>Sửa chữa đầu mối, tuyến ống, bể chữa</t>
  </si>
  <si>
    <t>Sửa chữa NSH các bản (Ma Ký, Mù Cả, Phìn Khò….) xã Mù Cả</t>
  </si>
  <si>
    <t>Đường giao thông trục bản, nội bản, rãnh thoát nước môi trường các bản xã Thu Lũm</t>
  </si>
  <si>
    <t xml:space="preserve">Sửa chữa, nâng cấp nhà văn hóa các bản xã Thu Lũm </t>
  </si>
  <si>
    <t>nhà văn hóa các bản 600m2</t>
  </si>
  <si>
    <t>Sửa chữa trụ sở làm việc, nhà văn hóa trung tâm xã Bum Nưa</t>
  </si>
  <si>
    <t xml:space="preserve"> xã Bum Nưa</t>
  </si>
  <si>
    <t>Đường giao thông trục bản, nội bản, rãnh thoát nước môi trường các bản xã Bum Nưa</t>
  </si>
  <si>
    <t>chiều dài 500m</t>
  </si>
  <si>
    <t>Đường giao thông trục bản, nội bản, rãnh thoát nước môi trường các bản xã Ka Lăng</t>
  </si>
  <si>
    <t>Sửa chữa, nâng cấp nhà văn hóa các bản xã Ka Lăng</t>
  </si>
  <si>
    <t xml:space="preserve">Sửa chữa, nâng cấp </t>
  </si>
  <si>
    <t>Tu sửa, nâng cấp nước sinh hoạt các bản (Phìn Khò, Nậm Xả, đầu Nậm Xả,… ) xã Bum Tở</t>
  </si>
  <si>
    <t>xã Bum Tở</t>
  </si>
  <si>
    <t>Sửa chữa đầu mối, tuyến ống, bể chứa, đồng hồ...</t>
  </si>
  <si>
    <t>Tu sửa, nâng cấp nước sinh hoạt các bản Pa Vệ Sủ</t>
  </si>
  <si>
    <t xml:space="preserve"> xã Pa Vệ Sủ</t>
  </si>
  <si>
    <t>Đầu mối, tuyến ống</t>
  </si>
  <si>
    <t>Đường giao thông đến bản Phí Chi B, xã Pa Vệ Sủ</t>
  </si>
  <si>
    <t>Nâng cấp, làm mới đường giao thông trục bản, nội bản, rãnh thoát nước các bản xã Mường Tè</t>
  </si>
  <si>
    <t>Đường giao thông nông thôn phục vụ sản xuất các bản xã Mường Tè</t>
  </si>
  <si>
    <t>Tu sửa, nâng cấp nước sinh hoạt các bản xã Vàng San</t>
  </si>
  <si>
    <t>Nâng cấp, làm mới đường giao thông trục bản, nội bản, rãnh thoát nước các bản xã Tà Tổng</t>
  </si>
  <si>
    <t>Các dự án hoàn thành</t>
  </si>
  <si>
    <t>Đường giao thông nhóm Bản Tính, bản Pề Ngài II, xã Nậm Pì</t>
  </si>
  <si>
    <t>1,144 km</t>
  </si>
  <si>
    <t>2018</t>
  </si>
  <si>
    <t>Cứng hóa mặt đường từ tỉnh lộ 4H (Pa Tần - Mường Tè) đi ngã 3 Ao Trâu thuộc bản Nậm Nó 1,2 (giai đoạn 3) xã Trung Chải</t>
  </si>
  <si>
    <t>Trung Chải</t>
  </si>
  <si>
    <t>376 m</t>
  </si>
  <si>
    <t>2020</t>
  </si>
  <si>
    <t>Các dự án khởi công mới</t>
  </si>
  <si>
    <t>Nâng cấp, sửa chữa đường nội bản, hạ tầng kỹ thuật các bản trên địa bàn xã Lê Lợi</t>
  </si>
  <si>
    <t>11,4 km và cổng chào 02 bản: Lao Chen, Co Mủn</t>
  </si>
  <si>
    <t>Xây dựng nhà đa năng xã Pú Đao</t>
  </si>
  <si>
    <t>2000 M2</t>
  </si>
  <si>
    <t>Nhà văn hóa bản Hồng Ngài, xã Pú Đao</t>
  </si>
  <si>
    <t>80 m2</t>
  </si>
  <si>
    <t>Nhà văn hóa bản Nậm Đoong, xã Pú Đao</t>
  </si>
  <si>
    <t>Khu xử lý rác thải trung tâm xã Mường Mô</t>
  </si>
  <si>
    <t>2200 m2</t>
  </si>
  <si>
    <t>Làm đường giao thông và mặt bằng nghĩa địa bản Nậm Khao</t>
  </si>
  <si>
    <t>2 km đường, 3ha mặt bằng</t>
  </si>
  <si>
    <t>Khu thể thao trung tâm xã Nậm Hàng</t>
  </si>
  <si>
    <t>300 m2</t>
  </si>
  <si>
    <t>Nhà Văn hóa bản Huổi Đanh</t>
  </si>
  <si>
    <t>80m2</t>
  </si>
  <si>
    <t xml:space="preserve">Làm đường giao thông nội bản Pá Đởn, xã Nậm Pì </t>
  </si>
  <si>
    <t>Đường GT nội bản và rãnh thoát nước bản Pá Bon</t>
  </si>
  <si>
    <t>Điểm vui chơi giải trí và thể thao xã Trung Chải</t>
  </si>
  <si>
    <t>Cứng hóa đường giao thông và rãnh thoát nước đường đi khu sản xuất Pa Pảng</t>
  </si>
  <si>
    <t>Nâng cấp, mở rộng Đường giao thông nội bản Pa Mu</t>
  </si>
  <si>
    <t>Cứng hóa bê tông mặt đường nội bản Huổi Mắn B, xã Nậm Chà</t>
  </si>
  <si>
    <t xml:space="preserve">Dài khoảng 1km, rộng 3m, hệ thống rãnh thoát nước </t>
  </si>
  <si>
    <t>Đường sản xuất khu vực núi bổ đôi, bản Huổi Héo</t>
  </si>
  <si>
    <t>Đường nội đồng khe đá đỏ bản Nậm Manh</t>
  </si>
  <si>
    <t>3,5 km</t>
  </si>
  <si>
    <t>PHỤ LỤC III.2</t>
  </si>
  <si>
    <r>
      <t>Xây dựng nhà thư viện tổng diện tích sàn 380m</t>
    </r>
    <r>
      <rPr>
        <vertAlign val="superscript"/>
        <sz val="10"/>
        <rFont val="Times New Roman"/>
        <family val="1"/>
      </rPr>
      <t>2</t>
    </r>
    <r>
      <rPr>
        <sz val="10"/>
        <rFont val="Times New Roman"/>
        <family val="1"/>
      </rPr>
      <t xml:space="preserve"> và các hạng mục phụ trợ: Lát gạch, bồn cây,…</t>
    </r>
  </si>
  <si>
    <t>GTNT C, L=1,2km</t>
  </si>
  <si>
    <t>GTNT C, L= 0,8km</t>
  </si>
  <si>
    <t>GTNT C, L=0,5km</t>
  </si>
  <si>
    <t>GTNT C, L=1,6km</t>
  </si>
  <si>
    <t>GTNT C, L=0,8km</t>
  </si>
  <si>
    <t>DTXD = 100m2. Nhà có hiên rộng 1,5m, chiều dài nhà 12m, chiều rộng là 8,5m, chiều cao trần nhà 4m, chiều cao toàn nhà là 5,8m</t>
  </si>
  <si>
    <t>Thủy lợi Bãi Danh, bản Ngà Chồ</t>
  </si>
  <si>
    <t>Nâng cấp, sửa chữa các hạng mục đã xuống cấp</t>
  </si>
  <si>
    <t>Đổ bê tông tuyến đường dài 0,4km</t>
  </si>
  <si>
    <t>Đổ bê tông tuyến đường dài 0,3km</t>
  </si>
  <si>
    <t>Đổ bê tông các tuyến đường dài 0,7km</t>
  </si>
  <si>
    <t>Đổ bê tông các tuyến đường dài 0,3km</t>
  </si>
  <si>
    <t>Đổ bê tông các tuyến đường dài 0,8km</t>
  </si>
  <si>
    <t>Đổ bê tông các tuyến đường dài 0,5km</t>
  </si>
  <si>
    <t>Cải tạo nền, nâng cấp mặt đường GTNT C, L=1Km; và hệ thống thoát nước</t>
  </si>
  <si>
    <t>Sửa chữa nền đường, BTXM, L=1000m</t>
  </si>
  <si>
    <t>Sửa chữa nền đường, BTXM, L=3,5km</t>
  </si>
  <si>
    <t>Đường GTNT loại C: L=410m mặt đường BTXM; cống, rãnh thoát nước</t>
  </si>
  <si>
    <t xml:space="preserve">Đường GTNT loại C: L= 400m mặt đường BTXM; cống, rãnh thoát nước </t>
  </si>
  <si>
    <t>Nhà cấp IV  lợp tôn, diện tích xây dựng  96 m2</t>
  </si>
  <si>
    <t>Tháo dỡ, sữa chữa các hạng mục hư hỏng trong quá trình sử dụng</t>
  </si>
  <si>
    <t>GTNT C</t>
  </si>
  <si>
    <t>Xây dựng mới đầu mối, bể lọc, bể cắt áp, cái công tơ, đường ống 5km, phục vụ 83 hộ và 500 cháu học sinh</t>
  </si>
  <si>
    <t>GTNT B, cứng hóa bê tông chiều dài 150m</t>
  </si>
  <si>
    <t>GTNT C, đổ BTXM chiều dài 1,5km</t>
  </si>
  <si>
    <r>
      <t>Nhà cấp IV diện tích 100m</t>
    </r>
    <r>
      <rPr>
        <vertAlign val="superscript"/>
        <sz val="10"/>
        <rFont val="Times New Roman"/>
        <family val="1"/>
      </rPr>
      <t>2</t>
    </r>
  </si>
  <si>
    <t>GTNT C chiều dài L = 1000m, kết cấu bê tông</t>
  </si>
  <si>
    <t>GTNT C, sửa chữa nền đường và cứng hóa bê tông chiều dài 1,8km; cống rãnh thoát nước</t>
  </si>
  <si>
    <t>GTNT C, cứng hóa mặt đường chiều dài 500m</t>
  </si>
  <si>
    <t>Chiều dài kênh BT 1,5m, kè chống sạt</t>
  </si>
  <si>
    <t>GTNT C, cứng hóa bê tông đường chiều dài 600m</t>
  </si>
  <si>
    <t>Nhà cấp IV diện tích 100m2</t>
  </si>
  <si>
    <t>GTNT C, cứng hóa mặt bê tông xi măng chiều dài 0,5km</t>
  </si>
  <si>
    <t>GTNT C, cứng hóa mặt bê tông xi măng chiều dài 0,7km</t>
  </si>
  <si>
    <t>GTNT C, cứng hóa mặt bê tông xi măng chiều dài 0,8km</t>
  </si>
  <si>
    <t>Nhà cấp IV diện tích 100m2,sân bê tông, tường rào, nhà vệ sinh, bể nước</t>
  </si>
  <si>
    <t>Nhà cấp IV diện tích 100m2, sân bê tông, tường rào, nhà vệ sinh, bể nước</t>
  </si>
  <si>
    <t>GTNT C chiều dài L=590m mặt đường BTXM; rãnh thoát nước</t>
  </si>
  <si>
    <t>Nhà cấp IV diện tích 100m2 sân bê tông, tường rào, nhà vệ sinh, bể nước</t>
  </si>
  <si>
    <t>GTNT C chiều dài L=450m mặt đường BTXM; rãnh thoát nước</t>
  </si>
  <si>
    <t>GTNT C chiều dài L=600m mặt đường BTXM; rãnh thoát nước</t>
  </si>
  <si>
    <t>GTNT C chiều dài L= 1,2km mặt đường BTXM</t>
  </si>
  <si>
    <t>GTNT C chiều dài L= 2km mặt đường BTXM</t>
  </si>
  <si>
    <t>Nhà cấp IV, sân bê tông, tường rào, 
nhà vệ sinh, bể nước</t>
  </si>
  <si>
    <t>GTNT C chiều dài L= 2,5km mặt đường BTXM,…</t>
  </si>
  <si>
    <t>GTNT C chiều dài L= 3km mặt đường BTXM,…</t>
  </si>
  <si>
    <t>GTNT C chiều dài L= 1,5km mặt đường BTXM,…</t>
  </si>
  <si>
    <t>Sửa chữa đầu mối, hệ thống lọc, lắp đặt khoảng 2 km đường ống, đồng hồ nước,…</t>
  </si>
  <si>
    <t>GTNT C chiều dài L= 3 km mặt đường BTXM,…</t>
  </si>
  <si>
    <t>GTNT C chiều dài L= 0,6 km mặt đường BTXM,…</t>
  </si>
  <si>
    <t>GTNT C chiều dài L= 0,9 km mặt đường BTXM,…</t>
  </si>
  <si>
    <t>Sửa chữa đập đầu mối, tuyến kênh dài 0,8 km</t>
  </si>
  <si>
    <t>Sửa chữa đập đầu mối, tuyến kênh dài 0,3 km</t>
  </si>
  <si>
    <t>Sửa chữa đập đầu mối, tuyến kênh dài 0,5 km</t>
  </si>
  <si>
    <t>GTNT C chiều dài L= 0,3 km mặt đường BTXM,…</t>
  </si>
  <si>
    <t>GTNT C chiều dài L= 1,5 km mặt đường BTXM,…</t>
  </si>
  <si>
    <t>GTNT C chiều dài L= 0,8 km mặt đường BTXM,…</t>
  </si>
  <si>
    <t>Sửa chữa đập đầu mối, hệ thống lọc,…</t>
  </si>
  <si>
    <t>GTNT C chiều dài L= 0,7km mặt đường BTXM,…</t>
  </si>
  <si>
    <t>GTNT C chiều dài L= 0,5km mặt đường BTXM,…</t>
  </si>
  <si>
    <t>Sửa chữa đập đầu mối, tuyến kênh,…</t>
  </si>
  <si>
    <t>Chiều dài L= 2,8km mặt đường BTXM,…</t>
  </si>
  <si>
    <t>Nâng cấp, sửa chữa nước sinh hoạt bản Nậm Khăn</t>
  </si>
  <si>
    <t>Đầu mối, hệ thống lọc, tuyến ống 3 km, đồng hồ nước,…</t>
  </si>
  <si>
    <t>GTNT B chiều dài L= 1,2km mặt đường Bê tông nhựa,…</t>
  </si>
  <si>
    <t>Chiều dài tuyến L= 0,8km mặt đường BTXM; rãnh thoát nước và các công trình trên tuyến</t>
  </si>
  <si>
    <t xml:space="preserve"> Tuyến 1: Chiều dài tuyến L= 0,5km mặt đường BTXM; rãnh thoát nước và các công trình trên tuyến
 Tuyến 2: San gạt, mở rộng nền đường, chiều dài 2 km</t>
  </si>
  <si>
    <t>Tổng chiều dài L= 1,2km</t>
  </si>
  <si>
    <t>Chiều dài tuyến L= 3km mặt đường BTXM; rãnh thoát nước và các công trình trên tuyến</t>
  </si>
  <si>
    <t>Chiều dài tuyến L= 0,4km mặt đường BTXM</t>
  </si>
  <si>
    <t>Chiều dài tuyến L= 0,3km mặt đường BTXM</t>
  </si>
  <si>
    <t>Chiều dài tuyến L= 0,8km mặt đường BTXM</t>
  </si>
  <si>
    <t>Chiều dài tuyến L= 1,1km mặt đường BTXM</t>
  </si>
  <si>
    <t>Chiều dài tuyến L= 0,3km mặt đường BTXM và các công trình trên tuyến</t>
  </si>
  <si>
    <t>Chiều dài tuyến L= 0,2km mặt đường BTXM và các công trình trên tuyến</t>
  </si>
  <si>
    <t>Chiều dài tuyến L= 0,7km mặt đường BTXM và các công trình trên tuyến</t>
  </si>
  <si>
    <t>Nhà cấp IV diện tích 200 m2</t>
  </si>
  <si>
    <t>Nhà cấp IV (05 nhà), xây dựng tường bao và công trình phụ trợ.
 - Nhà văn hóa bản Lao Tỷ Phùng: xây vách, lát nền tầng 1, công trình phụ trợ</t>
  </si>
  <si>
    <t xml:space="preserve">Nhà cấp IV diện tích 100m2 </t>
  </si>
  <si>
    <t>Chiều dài tuyến L= 0,35km mặt đường BTXM và các công trình trên tuyến</t>
  </si>
  <si>
    <t>Chiều dài tuyến L= 0,32km mặt đường BTXM</t>
  </si>
  <si>
    <t>Nhà cấp IV diện tích 200m2</t>
  </si>
  <si>
    <t>Nhà cấp IV diện tích 350m2; Nhà vệ sinh; Cổng, Tường bao khuôn viên, sân bê tông hoàn thiện</t>
  </si>
  <si>
    <t>Chiều dài tuyến L= 0,25km mặt đường BTXM; rãnh dọc thoát nước</t>
  </si>
  <si>
    <t>Chiều dài tuyến L= 1km mặt đường BTXM và các công trình trên tuyến</t>
  </si>
  <si>
    <t>Chiều dài tuyến L= 0,5km mặt đường BTXM; rãnh dọc thoát nước</t>
  </si>
  <si>
    <t>Chiều dài tuyến L= 0,9km mặt đường BTXM</t>
  </si>
  <si>
    <t>Chiều dài tuyến L= 0,5km mặt đường BTXM</t>
  </si>
  <si>
    <t>Chiều dài tuyến L= 0,7km mặt đường BTXM</t>
  </si>
  <si>
    <t>Chiều dài tuyến L= 5km mặt đường BTXM</t>
  </si>
  <si>
    <t xml:space="preserve">Chiều dài tuyến L= 0,9km mặt đường BTXM </t>
  </si>
  <si>
    <t>GTNT C chiều dài L= 0,8km mặt đường BTXM</t>
  </si>
  <si>
    <t>Chiều dài tuyến L= 0,43km mặt đường BTXM và các công trình trên tuyến</t>
  </si>
  <si>
    <t>Chiều dài tuyến L= 1,1km mặt đường BTXM và các công trình trên tuyến</t>
  </si>
  <si>
    <t>Chiều dài tuyến L= 0,25km mặt đường BTXM và các công trình trên tuyến</t>
  </si>
  <si>
    <t>Sửa chữa mặt đường một số vị trí đã xuống cấp. Nâng cao thành mương, rãnh thoát nước và làm mới tấm đan dọc tuyến đường trục bản L= 0,19km</t>
  </si>
  <si>
    <t>Sửa chữa mặt đường một số vị trí đã xuống cấp. Đầu tư nâng cấp rãnh thoát nước L= 200m</t>
  </si>
  <si>
    <t>Chiều dài tuyến L= 0,36km mặt đường BTXM; rãnh thoát nước</t>
  </si>
  <si>
    <t>Chiều dài tuyến L= 0,25km mặt đường BTXM; rãnh thoát nước</t>
  </si>
  <si>
    <t>Sửa chữa toàn bộ hệ thống Trung tâm Y tế huyện; xây dựng khu nhà cách ly, diện tích xây dựng =500m2</t>
  </si>
  <si>
    <t>Đầu tư, xây dựng gồm: Nhà lớp học 2 tầng 8 phòng học; nhà hiệu bộ 2 tầng; bếp ăn phục vụ cho 250 học sinh; nhà công vụ 2 tầng; nhà chức năng và các hạng mục phụ trợ khác.</t>
  </si>
  <si>
    <t>Đầu tư, xây dựng gồm: Nhà khám chữa bệnh truyền nhiễm; nhà bếp; nhà ăn; nhà vệ sinh chung; bể nước và các hạng mục phụ trợ khác</t>
  </si>
  <si>
    <t>Đầu tư, xây dựng gồm: Hội trường 350 chỗ ngồi; bể bơi 200m2; hệ thống âm thanh, anh sáng; trang phục, đạo cụ phục vụ luyện tập.</t>
  </si>
  <si>
    <t>Nâng cấp 03 tuyến đường GTNT C tổng chiều dài L= 0,85km mặt đường BTXM</t>
  </si>
  <si>
    <t>Đầu tư tuyến đường GTNT C tổng chiều dài L= 0,2km mặt đường BTXM</t>
  </si>
  <si>
    <t xml:space="preserve"> GTNT C tổng chiều dài L= 0,3km mặt đường BTXM</t>
  </si>
  <si>
    <t xml:space="preserve"> GTNT C tổng chiều dài L= 0,35km mặt đường BTXM</t>
  </si>
  <si>
    <t xml:space="preserve"> GTNT C tổng chiều dài L= 0,55km mặt đường BTXM</t>
  </si>
  <si>
    <t xml:space="preserve">Kè chống sụt lún, mở rộng diện tích </t>
  </si>
  <si>
    <t>Sửa chữa đập đầu mối, tuyến ống dài khoảng L=800m, lắp đồng hồ cho các hộ gia đình.</t>
  </si>
  <si>
    <t xml:space="preserve"> GTNT C tổng chiều dài L= 0,7km mặt đường BTXM</t>
  </si>
  <si>
    <t>Chiều dài tuyến L=300m</t>
  </si>
  <si>
    <t>Nâng cấp sửa chữa đường bản Huổi Hằm</t>
  </si>
  <si>
    <t>Đầu tư mới tuyến mương bản Cang Mường</t>
  </si>
  <si>
    <t>Chiều dài khoảng L=150m</t>
  </si>
  <si>
    <t>Chiều dài khoảng L=700m</t>
  </si>
  <si>
    <t>Chiều dài khoảng L=75m</t>
  </si>
  <si>
    <t>1. Xây dựng mới chiều dài L= 0,45km mặt đường BTXM
2. Nâng cấp chiều dài L= 0,5km mặt đường BTXM</t>
  </si>
  <si>
    <t>Mở mới chiều dài L= 0,5km mặt đường BTXM</t>
  </si>
  <si>
    <t>Chiều dài L= 0,88km mặt đường BTXM</t>
  </si>
  <si>
    <t>Nâng cấp, sửa chữa nước sinh hoạt bản Mường, Ít, Lào</t>
  </si>
  <si>
    <t>195 hộ</t>
  </si>
  <si>
    <t>122 hộ</t>
  </si>
  <si>
    <t>Nâng cấp, mở mới 03 tuyến đường chiều dài khoảng 600m; BTXM và các công trình phụ trợ</t>
  </si>
  <si>
    <t>Nâng cấp, tuyến đường chiều dài khoảng 250m; BTXM</t>
  </si>
  <si>
    <t xml:space="preserve"> GTNT C tổng chiều dài L= 3km mặt đường BTXM</t>
  </si>
  <si>
    <t xml:space="preserve"> GTNT C tổng chiều dài L= 578m mặt đường BTXM</t>
  </si>
  <si>
    <t>1. Tuyến 1: Chiềng Ban 1 dài khoảng 800m, cứng hóa BTXM, cộng công trình trên tuyến;
2. Tuyến 2: Chiềng Ban 2: Hệ thống cống rãnh, kết hợp tưới tiêu khoảng 800m, cứng hóa khoảng 200m mặt đường.</t>
  </si>
  <si>
    <t xml:space="preserve">130 hộ </t>
  </si>
  <si>
    <t>Tổng chiều dài L= 2km mặt đường BTXM và đầu tư các công trình trên tuyến.</t>
  </si>
  <si>
    <t>Gồm 04 tuyến, với tổng chiều dài L = 1,06km mặt đường BTXM và đầu tư các công trình trên tuyến.</t>
  </si>
  <si>
    <t>Chiều dài tuyến 100m</t>
  </si>
  <si>
    <t xml:space="preserve">Chiều dài tuyến 600m, </t>
  </si>
  <si>
    <t>Chiều dài tuyến dài 340m và rãnh 240 m, 01 cống tròn</t>
  </si>
  <si>
    <t>+ Đào mở rộng nền đường; đổ BTXM; làm mới bổ sung thoát nước ngang; làm mới rãnh BTXM công trình trên tuyến;
+ Kè BTXM khoảng L = 50m;
+ Làm tràn (hoặc cống bản BXH = 3x3m) tuyến chính chiều dài khoảng 600m, tuyến nhánh chiều dài khoảng 550m (gồm 4 nhánh).</t>
  </si>
  <si>
    <t>+ Đào nền; đổ BTXM; làm mới bổ sung thoát nước ngang.
+ Làm mới rãnh BTXM, công trình trên tuyến: tuyến chính chiều dài khoảng 550m.</t>
  </si>
  <si>
    <t>Sửa chữa khoảng 900 m đường nội bản và khoảng 700 m rãnh thoát nước</t>
  </si>
  <si>
    <t>Sửa chữa khoảng 500 m kênh bê tông cũ đã hư hỏng và làm mới khoảng 1,5 km kênh bê tông phục vụ tưới tiêu cho 8 ha</t>
  </si>
  <si>
    <t>Mặt đường bê tông xi măng với chiều dài khoảng 550m; làm mới 1 cống bản và 1 cống tròn D1500</t>
  </si>
  <si>
    <t>Công trình cấp C, gồm 2 tuyến:
•Tuyến 1: Mặt đường bê tông xi măng chiều dài khoảng 500m; gia cố rãnh chiều dài khoảng 500m; gia cố kênh thuỷ lợi để giảm thoát nước chiều dài khoảng 250m.
•Tuyến 2: Mặt đường bê tông xi măng chiều dài khoảng 230m; gia cố rãnh chiều dài khoảng 500m; làm mới 2 cống bản.</t>
  </si>
  <si>
    <t>Tổng chiều dài L = 1,9km mặt đường BTXM và đầu tư các công trình trên tuyến.</t>
  </si>
  <si>
    <t>Lát gạch hành lang dọc 2 tuyến đường, chiều dài khoảng 1,8km</t>
  </si>
  <si>
    <t xml:space="preserve">Nhà cấp IV diện tích 79m2 </t>
  </si>
  <si>
    <t>- San gạt mặt bằng, đổ bê tông sân, Sân khấu, bố trí cột hệ thống điện chiếu sáng</t>
  </si>
  <si>
    <t>GTNT C B3m L=250m; B2m L=1.115m</t>
  </si>
  <si>
    <t>GTNT C B2m L=1.200m</t>
  </si>
  <si>
    <t>GTNT C B3m L= 750m; B2m L=1.050m</t>
  </si>
  <si>
    <t>GTNT C; B2m; L=1.600m</t>
  </si>
  <si>
    <t>65 hộ</t>
  </si>
  <si>
    <t>Đường GTNT L=1,3km; 02 cống hộp</t>
  </si>
  <si>
    <t>138 hộ</t>
  </si>
  <si>
    <t>Đường GTNT L=1,2km</t>
  </si>
  <si>
    <t>Đường GTNT L=1,4km</t>
  </si>
  <si>
    <t>Đường GTNT L=0,95km</t>
  </si>
  <si>
    <t>Đường GTNT L=1,45km</t>
  </si>
  <si>
    <r>
      <rPr>
        <b/>
        <sz val="10"/>
        <rFont val="Times New Roman"/>
        <family val="1"/>
      </rPr>
      <t xml:space="preserve">1. Số xã ra khỏi địa bàn đặc biệt khó khăn: </t>
    </r>
    <r>
      <rPr>
        <sz val="10"/>
        <rFont val="Times New Roman"/>
        <family val="1"/>
      </rPr>
      <t>Căn cứ Quyết định số 861/QĐ-TTg của Thủ tướng Chính phủ giai đoạn 2021-2025 tỉnh Lai Châu có 58 xã ĐBKK. Theo Nghị quyết Đại hội Đảng bộ tỉnh, toàn tỉnh đến năm 2025 có 54 xã đạt chuẩn nông thôn mới, trong đó có 35 xã đã hoàn thành chương trình NTM và dự kiến còn phải hoàn thành trong giai đoạn 2021-2025 là 19 xã, trong 19 xã có 1 xã thuộc KV II (xã Sùng Phài) và 18 xã thuộc KV III. Nếu hoàn thành mục tiêu Nghị quyết đại hội Đảng bộ tỉnh thì có thêm 18 xã ra khỏi địa bàn ĐBKK tương đương 31% (18/58 xã)</t>
    </r>
  </si>
  <si>
    <t>UBND xã Nậm Hàng</t>
  </si>
  <si>
    <t>Kế hoạch vốn đầu tư NSTW giai đoạn 2026-2030</t>
  </si>
  <si>
    <t>(Kèm theo Nghị quyết số:       /NQ-HĐND ngày   tháng   năm 2026 của Hội đồng nhân dân tỉnh Lai Châu)</t>
  </si>
  <si>
    <t>Dự kiến vốn sự nghiệp NSTW giai đoạn 2026-2030</t>
  </si>
  <si>
    <t>GIAO KẾ HOẠCH VỐN ĐẦU TƯ CÔNG TRUNG HẠN VÀ THÔNG QUA DỰ KIẾN PHƯƠNG ÁN PHÂN BỔ VỐN SỰ NGHIỆP NGÂN SÁCH TRUNG ƯƠNG GIAI ĐOẠN 2026-2030 THỰC HIỆN CHƯƠNG TRÌNH MỤC TIÊU QUỐC GIA XÂY DỰNG NÔNG THÔN MỚI, GIẢM NGHÈO BỀN VỮNG VÀ PHÁT TRIỂN KINH TẾ - XÃ HỘI VÙNG ĐỒNG BÀO DÂN TỘC THIỂU SỐ VÀ MIỀN NÚI</t>
  </si>
  <si>
    <t>Biểu số 01</t>
  </si>
  <si>
    <t>Stt</t>
  </si>
  <si>
    <t>Chương trình/danh mục dự án</t>
  </si>
  <si>
    <t>Dự kiến quy mô</t>
  </si>
  <si>
    <t>Dự kiến thời gian KC-HT</t>
  </si>
  <si>
    <t>Dự kiến tổng mức đầu tư và cơ cấu nguồn vốn</t>
  </si>
  <si>
    <t>Dự kiến kế hoạch vốn đầu tư NSTW giai đoạn 2026-2030</t>
  </si>
  <si>
    <t>Dự kiến chủ đầu tư</t>
  </si>
  <si>
    <t>Tổng mức đầu tư dự kiến</t>
  </si>
  <si>
    <t>Trong đó:</t>
  </si>
  <si>
    <t>NSĐP
(NS xã)</t>
  </si>
  <si>
    <t>Nguồn vốn khác</t>
  </si>
  <si>
    <t>Nâng cấp, sửa chữa đường nội bản Noong Kiêng đến bản Huổi Van</t>
  </si>
  <si>
    <t>Các bản: Noong Kiêng; Huổi Van xã Nậm Hàng</t>
  </si>
  <si>
    <t>2026-2028</t>
  </si>
  <si>
    <t>Biểu số 02</t>
  </si>
  <si>
    <t>DANH MỤC DỰ ÁN ĐẦU TƯ DỰ KIẾN KHỞI CÔNG NĂM 2026 THUỘC CHƯƠNG TRÌNH MỤC TIÊU QUỐC GIA XÂY DỰNG NÔNG THÔN MỚI, GIẢM NGHÈO BỀN VỮNG VÀ PHÁT TRIỂN KINH TẾ - XÃ HỘI VÙNG ĐỒNG BÀO DÂN TỘC THIỂU SỐ VÀ MIỀN NÚI</t>
  </si>
  <si>
    <t>Dự kiến kế hoạch vốn đầu tư năm 2026</t>
  </si>
  <si>
    <t>Dự án/Nội dung thành phần</t>
  </si>
  <si>
    <t>12.406</t>
  </si>
  <si>
    <t>Năm 2026</t>
  </si>
  <si>
    <t>1.157,88</t>
  </si>
  <si>
    <t>Hợp phần thứ nhất</t>
  </si>
  <si>
    <t>Nội dung 10: Xây dựng và nhân rộng các mô hình sinh kế đa dạng, mô hình hỗ trợ phát triển sản xuất hỗ trợ giảm nghèo, phù hợp với điều kiện sinh thái, văn hóa và trình độ phát triển của từng địa phương, đặc biệt tại các xã, thôn đặc biệt khó khăn, vùng đồng bào DTTS&amp;MN, an toàn khu, biên giới và hải đảo; khuyến khích ứng dụng khoa học - công nghệ, kinh tế số, kinh tế xanh và khởi nghiệp đổi mới sáng tạo; bảo đảm kết nối thị trường; thí điểm cơ chế tín dụng vi mô, bảo hiểm nông nghiệp thích ứng với biến đổi khí hậu và duy trì bền vững</t>
  </si>
  <si>
    <t>Nội dung thành phần 08: Phát huy vai trò của Mặt trận Tổ quốc Việt Nam và các tổ chức chính trị - xã hội trong xây dựng nông thôn mới, giảm nghèo bền vững và phát triển kinh tế xã hội vùng đồng bào DTTS&amp;MN (gồm 05 nội dung cụ thể)</t>
  </si>
  <si>
    <t>Nội dung 02: Triển khai hiệu quả Phong trào “Nông dân thi đua sản xuất kinh doanh giỏi, đoàn kết giúp nhau làm giàu và giảm nghèo bền vững”; xây dựng các chi Hội Nông dân nghề nghiệp, tổ Hội Nông dân nghề nghiệp theo nguyên tắc “5 tự”, “5 cùng”; Đề án “Hội Nông dân Việt Nam tham gia phát triển kinh tế tập thể trong nông nghiệp đến năm 2030”; Đề án “Tuyên truyền, vận động, hướng dẫn nông dân sản xuất, kinh doanh nông sản, thực phẩm an toàn vì sức khoẻ cộng đồng giai đoạn 2026 - 2030"</t>
  </si>
  <si>
    <t>Năm 2027</t>
  </si>
  <si>
    <t>Nội dung thành phần 02: Phát triển hạ tầng kinh tế - xã hội nông thôn toàn diện, đồng bộ, hiện đại, kết nối hiệu quả với đô thị và thích ứng với biến đổi khí hậu</t>
  </si>
  <si>
    <t>Duy tu, sửa chữa đường nội bản, hệ thống thoát nước đường nội bản Nậm Ty</t>
  </si>
  <si>
    <t>Duy tu, sửa chữa đường nội bản Huổi Chát</t>
  </si>
  <si>
    <t>Nội dung thành phần 03: Phát triển kinh tế nông thôn theo hướng sinh thái, hiện đại, tích hợp đa giá trị và đáp ứng nhu cầu thị trường (gồm 10 nội dung cụ thể)</t>
  </si>
  <si>
    <t>Nội dung thành phần 04: Phát triển nguồn nhân lực và hỗ trợ tạo việc làm bền vững</t>
  </si>
  <si>
    <t xml:space="preserve"> Nội dung 01: Mở lớp xóa mù chữ tại trường Tiểu học Nậm Nhùn</t>
  </si>
  <si>
    <t>Nội dung 05: Hỗ trợ người lao động cư trú trên địa bàn các xã, thôn đặc biệt khó khăn, vùng đồng bào DTTS&amp;MN đi làm việc ở nước ngoài theo hợp đồng</t>
  </si>
  <si>
    <t xml:space="preserve">Nội dung thành phần 06: Phát triển khoa học, công nghệ và chuyển đổi số ở nông thôn </t>
  </si>
  <si>
    <t>4.1</t>
  </si>
  <si>
    <t>Nội dung 01: Tổ chức Hội nghị tập huấn cho tổ công nghệ số cộng đồng tại các bản</t>
  </si>
  <si>
    <t>Nội dung 03: Triển khai hiệu quả Đề án “Hỗ trợ phụ nữ khởi nghiệp giai đoạn 2026-2035”; Đề án “Hỗ trợ HTX do phụ nữ tham gia quản lý, tạo việc làm cho lao động nữ đến năm 2030”; giải quyết các vấn đề xã hội liên quan đến phụ nữ và trẻ em</t>
  </si>
  <si>
    <t>Nội dung 05: Triển khai hiệu quả Chương trình hỗ trợ Thanh niên khởi nghiệp giai đoạn 2022-2030; Chương trình trí thức trẻ tình nguyện tham gia xây dựng nông thôn mới giai đoạn 2026-2030; thúc đẩy phong trào “Tuổi trẻ chung tay xây dựng nông thôn mới, giảm nghèo bền vững và phát triển kinh tế xã hội vùng đồng bào dân tộc thiểu số và miền núi giai đoạn 2026 - 2035”</t>
  </si>
  <si>
    <t>II.2</t>
  </si>
  <si>
    <t>Hợp phần thứ hai</t>
  </si>
  <si>
    <t>Nội dung thành phần 01: Đầu tư xây dựng, hoàn thiện cơ sở hạ tầng đặc thù vùng đồng bào dân tộc thiểu số và miền núi</t>
  </si>
  <si>
    <t>Nâng cấp, sửa chữa điểm trường Huổi Van - Trường Mầm non Nậm Hàng; khu vui chơi cho trẻ (thuộc Nội dung 01)</t>
  </si>
  <si>
    <t>Nội dung thành phần 03: Phát triển nguồn nhân lực vùng đồng bào dân tộc thiểu số và miền núi</t>
  </si>
  <si>
    <t>Nội dung 03: Tổ chức cuộc thi tìm hiểu pháp luật về hôn nhân và gia đình, bình đẳng giới,  phòng, chống tảo hôn và hôn nhân cận huyết thống</t>
  </si>
  <si>
    <t>Năm 2028</t>
  </si>
  <si>
    <t>Năm 2029</t>
  </si>
  <si>
    <t>Năm 2030</t>
  </si>
  <si>
    <t xml:space="preserve">  BIỂU CHI TIẾT GIAI ĐOẠN 2026-2030 THỰC HIỆN CHƯƠNG TRÌNH MỤC TIÊU QUỐC GIA XÂY DỰNG NÔNG THÔN MỚI, GIẢM NGHÈO BỀN VỮNG VÀ PHÁT TRIỂN KINH TẾ - XÃ HỘI VÙNG ĐỒNG BÀO DÂN TỘC THIỂU SỐ VÀ MIỀN NÚI</t>
  </si>
  <si>
    <t>BIỂU CHI TIẾT KẾ HOẠCH ĐẦU TƯ CÔNG TRUNG HẠN GIAI ĐOẠN 2026-2030 THUỘC CHƯƠNG TRÌNH MỤC TIÊU QUỐC GIA XÂY DỰNG NÔNG THÔN MỚI, GIẢM NGHÈO BỀN VỮNG VÀ PHÁT TRIỂN KINH TẾ - XÃ HỘI VÙNG ĐỒNG BÀO DÂN TỘC THIỂU SỐ VÀ MIỀN NÚI</t>
  </si>
  <si>
    <t xml:space="preserve">Kinh phí </t>
  </si>
  <si>
    <t xml:space="preserve">  BIỂU CHI TIẾT GIAI ĐOẠN 2026-2030 THỰC HIỆN CHƯƠNG TRÌNH MỤC TIÊU QUỐC GIA XÂY DỰNG NÔNG THÔN MỚI, GIẢM NGHÈO BỀN VỮNG VÀ PHÁT TRIỂN KINH TẾ - XÃ HỘI VÙNG ĐỒNG BÀO DÂN TỘC THIỂU SỐ VÀ MIỀN NÚI NGUỒN KINH PHÍ 2026</t>
  </si>
  <si>
    <t>Nội dung 1: Tiếp tục hoàn thiện và nâng cao hệ thống  giao thông trên địa bàn xã, hạ tầng giao thông kết nối liên xã</t>
  </si>
  <si>
    <t xml:space="preserve">Đơn vị thực hiện </t>
  </si>
  <si>
    <t xml:space="preserve">Phòng Văn hóa xã hội </t>
  </si>
  <si>
    <t>Phòng Kinh tế</t>
  </si>
  <si>
    <t xml:space="preserve">  BIỂU 01: ĐỀ XUẤT NHU CẦU KINH PHÍ CHI TIẾT GIAI ĐOẠN 2026-2030 THỰC HIỆN CHƯƠNG TRÌNH MỤC TIÊU QUỐC GIA XÂY DỰNG NÔNG THÔN MỚI, GIẢM NGHÈO BỀN VỮNG VÀ PHÁT TRIỂN KINH TẾ - XÃ HỘI VÙNG ĐỒNG BÀO DÂN TỘC THIỂU SỐ VÀ MIỀN NÚI</t>
  </si>
  <si>
    <t>(Kèm theo Công văn số 1729 /UBND-PKT ngày 10 tháng 7 năm 2026 của UBND xã Nậm Hàng)</t>
  </si>
  <si>
    <t>Kinh phí đề nghị</t>
  </si>
  <si>
    <t>Các sở, ban, ngành tỉnh và UBND các xã đề xuất nhu cầu theo biểu này</t>
  </si>
  <si>
    <t>(*) Các lĩnh vực sự nghiệp được xác định tại Điều 39 Luật số 89/2025/QH15</t>
  </si>
  <si>
    <t>(**) Ghi cụ thể nhiệm vụ, hoạt động đề nghị thực hiện</t>
  </si>
  <si>
    <t>- Tại cột số (2): Ghi đúng tên các Nội dung thành phần/Dự án theo đúng các nội dung tại Phụ lục số 01</t>
  </si>
  <si>
    <t>- Tại cột số (3): Ghi đơn vị chịu trách nhiệm thực hiện</t>
  </si>
  <si>
    <t>- Tại cột số (4): Ghi các đơn vị tham gia phối hợp</t>
  </si>
  <si>
    <t>- Tại cột số (5): Mô tả ngắn gọn, đầy đủ nội dung thực hiện, kết quả của nhiệm vụ/ hoạt động đó</t>
  </si>
  <si>
    <t>- Tại cột số (6): Ghi rõ khối lượng như số lớp, số buổi, số người, số đợt, …..</t>
  </si>
  <si>
    <t>- Tại cột số (7): Ghi rõ đơn vị tính</t>
  </si>
  <si>
    <t>- Tại cột số (8): Ghi rõ căn cứ tại Thông tư, Quyết định, Nghị quyết...........</t>
  </si>
  <si>
    <t>- Tại cột số (9): Tổng kinh phí của nhiệm vụ, hoạt động</t>
  </si>
  <si>
    <t>Nội dung thành phần 02: Phát triển hạ tầng kinh tế - xã hội nông thôn toàn diện, đồng bộ, hiện đại, kết nối hiệu quả với đô thị và thích ứng với biến đổi khí hậu (gồm 14 nội dung cụ thể)</t>
  </si>
  <si>
    <t>Nội dung 01: Tiếp tục hoàn thiện và nâng cao chất lượng hệ thống hạ tầng giao thông (bao gồm cả cầu dân sinh, công trình giao thông) phục vụ dân sinh, sản xuất và kinh doanh trên địa bàn xã, thôn; hạ tầng giao thông kết nối liên xã, liên thôn theo hướng đồng bộ, hiện đại, thích ứng với biến đổi khí hậu, phù hợp với đặc thù vùng, miền và bảo đảm kết nối hiệu quả. Trong đó, tập trung, ưu tiên hỗ trợ đầu tư cho các xã, thôn đặc biệt khó khăn, vùng đồng bào DTTS&amp;MN, an toàn khu, biên giới và hải đảo</t>
  </si>
  <si>
    <t xml:space="preserve">Phòng Kinh tế </t>
  </si>
  <si>
    <t xml:space="preserve">Trung tâm dịch vụ tổng hợp </t>
  </si>
  <si>
    <t>Nội dung thành phần 04: Phát triển nguồn nhân lực và hỗ trợ tạo việc làm bền vững (gồm 05 nội dung cụ thể)</t>
  </si>
  <si>
    <t>Nội dung 01: Bảo đảm tiếp cận giáo dục công bằng, toàn diện và học tập suốt đời cho người dân vùng nông thôn, vùng đồng bào DTTS&amp;MN, an toàn khu, biên giới và hải đảo. Triển khai phổ cập giáo dục mầm non cho trẻ em từ 3 đến 5 tuổi; duy trì nâng cao chất lượng phổ cập giáo dục mầm non cho trẻ em từ 5 đến 6 tuổi; phổ cập giáo dục, xóa mù chữ, giáo dục hòa nhập; phát triển lớp học thông minh, mô hình học tập cộng đồng; ứng dụng công nghệ số, trí tuệ nhân tạo và nền tảng học trực tuyến để mở rộng cơ hội học tập và học tập suốt đời, trong đó, ưu tiên hỗ trợ hộ nghèo, hộ cận nghèo, hộ mới thoát nghèo, phụ nữ, trẻ em gái, người khuyết tật và người dân vùng đồng bào DTTS&amp;MN, an toàn khu, biên giới và hải đảo</t>
  </si>
  <si>
    <t>Nội dung 05: Hỗ trợ người lao động cư trú trên địa bàn các xã, thôn đặc biệt khó khăn, vùng đồng bào DTTS&amp;MN đi làm việc ở nước ngoài theo hợp đồng; thuê cơ sở đào tạo và lưu trú cho ứng viên tham gia khóa đào tạo Tiếng Nhật để đi làm việc tại Nhật Bản theo Hiệp định đối tác kinh tế Việt Nam - Nhật Bản (VJEPA).</t>
  </si>
  <si>
    <t>Phòng Văn hóa xã Nậm Hàng</t>
  </si>
  <si>
    <t>Nội dung thành phần 06: Phát triển khoa học, công nghệ và chuyển đổi số ở nông thôn (gồm 02 nội dung cụ thể)</t>
  </si>
  <si>
    <t>Nội dung 01: Triển khai một số nhiệm vụ khoa học và công nghệ phục vụ xây dựng nông thôn mới, giảm nghèo bền vững và phát triển kinh tế - xã hội vùng đồng bào DTTS&amp;MN</t>
  </si>
  <si>
    <t>Nội dung 02: Đẩy mạnh chuyển đổi số, chuyển giao tiến bộ khoa học - kỹ thuật, công nghệ phục vụ đời sống, phát triển kinh tế nông thôn và phát triển kinh tế - xã hội vùng đồng bào DTTS&amp;MN; phát triển và nhân rộng các mô hình “thôn thông minh”</t>
  </si>
  <si>
    <t>UB Mặt trận tổ quốc xã</t>
  </si>
  <si>
    <t>HỢP PHẦN THỨ HAI: CÁC NỘI DUNG ĐẶC THÙ PHÁT TRIỂN KINH TẾ - XÃ HỘI VÙNG ĐỒNG BÀO DTTS&amp;MN</t>
  </si>
  <si>
    <t>Nội dung thành phần 01: Đầu tư xây dựng, hoàn thiện cơ sở hạ tầng đặc thù vùng đồng bào dân tộc thiểu số và miền núi (gồm 04 nội dung cụ thể)</t>
  </si>
  <si>
    <t>Nội dung 01: Đầu tư xây dựng mới; đầu tư cải tạo, nâng cấp; đầu tư cơ sở vật chất, trang thiết bị cho: Các cơ sở giáo dục mầm non; các trường phổ thông; các trường phổ thông dân tộc nội trú liên cấp tiểu học và trung học cơ sở, phổ thông dân tộc bán trú, dân tộc nội trú, các cơ sở giáo dục nghề nghiệp, cơ sở tham gia hoạt động giáo dục nghề nghiệp, cơ sở giáo dục thường xuyên (ưu tiên đầu tư các hạng mục: đầu tư xây dựng, đầu tư nâng cấp, cải tạo cơ sở vật chất khối phòng/công trình phục vụ ăn, ở, sinh hoạt cho học sinh và phòng công vụ giáo viên; nâng cấp, cải tạo cơ sở vật chất khối phòng/công trình phục vụ học tập; bổ sung, nâng cấp công trình phụ trợ khác; đầu tư cơ sơ vật chất phục vụ chuyển đổi số giáo dục, phục vụ việc giảng dạy và học tập trực tuyến cho học sinh DTTS; mua sắm máy móc, thiết phục vụ đào tạo). Ưu tiên tập trung cho địa bàn các xã đặc biệt khó khăn, xã biên giới, ATK địa bàn chiến lược về an ninh, quốc phòng, khu vực đồng bào dân tộc còn gặp nhiều khó khăn, có khó khăn đặc thù sinh sống; đầu tư mới, đầu tư cải tạo, nâng cấp và kiên cố hóa các trường, lớp học, sân chơi cho học sinh phổ thông, nhà công vụ cho giáo viên, nhà ở bán trú, bếp ăn cho học sinh và các công trình phụ trợ khác ở khu vực đồng bào dân tộc còn gặp nhiều khó khăn, có khó khăn đặc thù sinh sống</t>
  </si>
  <si>
    <t>Nội dung thành phần 03: Phát triển nguồn nhân lực vùng đồng bào dân tộc thiểu số và miền núi (gồm 04 nội dung cụ thể)</t>
  </si>
  <si>
    <t>Nội dung 03: Thực hiện bình đẳng giới và giải quyết những vấn đề cấp thiết đối với phụ nữ và trẻ em vùng đồng bào DTTS&amp;MN; giảm thiểu tình trạng tảo hôn, hôn nhân cận huyết</t>
  </si>
  <si>
    <t>Triển khai hiệu quả phong trào "Nông dân thi đua sản xuất kinh doanh giỏi, đoàn kết giúp nhau làm giáu và giảm nghèo bền vững</t>
  </si>
  <si>
    <t>Hướng dẫn triển khai xây dựng các chị hội nông dân nghề nghiệp, tổ hội nông dân nghề nghiệp theo nguyên tắc "5 tự "5 cùng"</t>
  </si>
  <si>
    <t>Phụ lục số 02</t>
  </si>
  <si>
    <t>DỰ KIẾN PHƯƠNG ÁN PHÂN BỔ</t>
  </si>
  <si>
    <t>NGUỒN VỐN SỰ NGHIỆP GIAI ĐOẠN 2026-2030 THỰC HIỆN CHƯƠNG TRÌNH MỤC TIÊU QUỐC GIA XÂY DỰNG NÔNG THÔN MỚI, GIẢM NGHÈO BỀN VỮNG VÀ PHÁT TRIỂN KINH TẾ - XÃ HỘI VÙNG ĐỒNG BÀO DÂN TỘC THIỂU SỐ VÀ MIỀN NÚI</t>
  </si>
  <si>
    <t>(Kèm theo Tờ trình số        /TTr-UBND ngày    tháng 8 năm 2026 của UBND xã Bản Bo)</t>
  </si>
  <si>
    <r>
      <rPr>
        <b/>
        <sz val="12"/>
        <rFont val="Times New Roman"/>
        <family val="1"/>
      </rPr>
      <t>STT</t>
    </r>
  </si>
  <si>
    <t>Cơ quan
chủ trì</t>
  </si>
  <si>
    <t>Cơ quan
phối hợp</t>
  </si>
  <si>
    <t>Nội dung thực
hiện/Kết quả
đầu ra</t>
  </si>
  <si>
    <t>Dự kiến vốn</t>
  </si>
  <si>
    <t>Tổng</t>
  </si>
  <si>
    <t xml:space="preserve">I </t>
  </si>
  <si>
    <t>Hợp phần 1</t>
  </si>
  <si>
    <t>Nội dung thành phần số 2</t>
  </si>
  <si>
    <t>Các bản trên địa bàn xã</t>
  </si>
  <si>
    <t>Duy tu, bảo trì hệ thống đường giao thông vùng sản xuất hàng hoá tập trung</t>
  </si>
  <si>
    <t>Nội dung 6: Từng bước hoàn thiện hệ thống cơ sở hạ tầng thương mại nông thôn; phát triển các mô hình chợ đáp ứng các tiêu chí đảm bảo an toàn thực phẩm cấp xã; thúc đẩy hoạt động thương mại điện tử; khuyến khích phát triển hệ thống dịch vụ logistics gắn với vùng sản xuất hàng hóa. Tập trung, ưu tiên hỗ trợ đầu tư xây dựng, cải tạo nâng cấp mạng lưới chợ vùng đồng bào DTTS&amp;MN, an toàn khu, biên giới và hải đảo</t>
  </si>
  <si>
    <t>Phòng Văn hóa - Xã hội xã</t>
  </si>
  <si>
    <t>Phòng Kinh tế, Trung tâm DVTH và các cơ quan có liên quan</t>
  </si>
  <si>
    <t>Hỗ trợ thúc đẩy hoạt động thương mại điện tử đối với sản phẩm chè: Tổ chức 03 lớp tập huấn về kỹ năng số bán hàng, an toàn thông tin, livestream, … hỗ trợ thành lập và duy trì 02 tổ hỗ trợ thương mại điện tử công cộng, 01 nhóm hỗ trợ kết nối bán hành trên môi trường số. Đầu tư trang thiết bị thiết yếu phát triển thương mại điện tử của địa phương như: Máy ảnh, hệ thống livestream, phần mền tạo ảnh AI ...</t>
  </si>
  <si>
    <t>Nội dung 9:  Hiện đại hóa hệ thống truyền thanh xã để cung cấp thông tin thiết yếu đến người dân (bao gồm thiết lập mới đài truyền thanh xã; nâng cấp hoạt động của đài truyền thanh xã; mở rộng cụm thu phát thanh ứng dụng công nghệ thông tin - viễn thông đối với các thôn). Tập trung, ưu tiên hỗ trợ đầu tư cho các xã, thôn đặc biệt khó khăn, vùng đồng bào DTTS&amp;MN, an toàn khu, biên giới và hải đảo</t>
  </si>
  <si>
    <t>Trung tâm Dịch vụ tổng hợp xã</t>
  </si>
  <si>
    <t>Phòng Văn hoá - Xã hội và các cơ quan liên quan</t>
  </si>
  <si>
    <t>Đầu tư mới 09 cụm loa tại xã và các bản chưa có cụm loa ứng dụng CNTT-VT</t>
  </si>
  <si>
    <t>Nội dung thành phần số 3</t>
  </si>
  <si>
    <t>Nội dung 03: Hỗ trợ xây dựng vùng nguyên liệu tập trung đạt tiêu chuẩn, quy chuẩn và bảo đảm an toàn dịch bệnh; phát triển sản xuất hàng hóa quy mô lớn, liên kết chuỗi giá trị sản xuất và tiêu thụ bền vững. Ứng dụng cơ giới hóa, cơ giới hóa đồng bộ, công nghệ cao, công nghệ số trong sản xuất, quản lý vùng trồng và xây dựng cơ sở dữ liệu vùng nguyên liệu. Triển khai áp dụng mã số vùng trồng, mã số vùng nuôi đối với mọi loại cây trồng, vật nuôi; ứng dụng công nghệ số trong quản lý vùng trồng, vùng nuôi, truy xuất nguồn gốc đối với lương thực thực phẩm</t>
  </si>
  <si>
    <t>Chuyển đổi số vùng chè: kết nối truy xuất nguồn gốc, nhật ký điện tử, số hóa bản đồ, …; hỗ trợ bao gì, nhãn mác, chi phí thiết lập mã QR code, mã vạch, tem điện tử; chi hỗ trợ đăng ký, bảo hộ tài sản trí tuệ, xây dựng trang thông tin điện tử, đưa sản phẩm lên nền tảng thương mại điện tử;… với một số sản nông nghiệp, OCOP của xã</t>
  </si>
  <si>
    <t>Nội dung 10: Xây dựng và nhân rộng các mô hình sinh kế đa dạng, mô hình hỗ trợ phát triển sản xuất hỗ trợ giám nghèo, phù hợp với điều kiện sinh thái, văn hóa và trình độ phát triển của từng đại phương, đặc biệt tại các xã, thôn đặc biệt khó khăn, vùng đồng bào DTTS&amp;MN, an toàn khu biên giới và hải đảo (Nội dung hỗ trợ phát triển sản xuất giảm nghèo trong lĩnh vực nông nghiệp)</t>
  </si>
  <si>
    <t>Phòng Kinh tế và các cơ quan, đơn vị có liên quan, các bản</t>
  </si>
  <si>
    <t>Xây dựng và nhân rộng 02 mô hình sinh kế đa dạng thực hiện theo hình thức dự  và Hỗ trợ phát triển sản xuất giảm nghèo trong lĩnh vực nông nghiệp (Trồng trọt, máy nông nghiệp, chăn nuôi, thủy sản)</t>
  </si>
  <si>
    <t>Nội dung thành phần số 5</t>
  </si>
  <si>
    <t>Nội dung 3: Nâng cao nhận thức, tăng cường khả năng tiếp cận pháp luật và thụ hưởng dịch vụ trợ giúp pháp lý, hỗ trợ pháp lý, biện pháp bảo đảm, đăng ký biện pháp bảo đảm, bồi thường của Nhà nước cho người dân; tăng cường phổ biến, giáo dục pháp luật và hòa giải cơ sở, nhằm nâng cao ý thức thượng tôn Hiến pháp, pháp luật, xây dựng nếp sống và hành vi ứng xử theo pháp luật trong cộng đồng dân cư nông thôn, giải quyết tốt các mâu thuẫn, tranh chấp ở khu vực nông thôn, tập trung, ưu tiên người dân thuộc hộ nghèo, hộ cận nghèo, hộ mới thoát nghèo, nhóm dễ bị tổn thương, người dân tại các xã, thôn đặc biệt khó khăn, vùng đồng bào DTTS&amp;MN, an toàn khu, biên giới và hải đảo... Đánh giá tính thống nhất, đồng bộ, phù hợp và kiến nghị sửa đổi, bổ sung, thay thế, hoàn thiện văn bản quy phạm pháp luật về công tác xây dựng NTM, giảm nghèo, phát triển vùng đồng bào DTTS&amp;MN thuộc phạm vi chức năng, nhiệm vụ quản lý nhà nước của Bộ</t>
  </si>
  <si>
    <t>Văn phòng HĐND-UBND</t>
  </si>
  <si>
    <t>Các cơ quan, đơn vị có liên quan</t>
  </si>
  <si>
    <t>Tập huấn kiến thức pháp luật và kỹ năng hòa giải ở cơ sở cho đội ngũ hòa giải viên (05 lớp, 01 lớp/năm); Xây dựng tài liệu hướng dẫn về phổ biến giáo dục pháp luật; Hỗ trợ hoạt động của tổ hòa giải; Hội nghị sơ kết, tổng kết công tác hòa giải ở cơ sở</t>
  </si>
  <si>
    <t>Nội dung 4: Tăng cường thực hiện lồng ghép giới trong xây dựng chính sách, chương trình về giảm nghèo, an sinh xã hội, xây dựng nông thôn mới, phát triển kinh tế - xã hội vùng đồng bào DTTS&amp;MN. Thúc đẩy bình đẳng giới trong công tác giảm nghèo, xây dựng nông thôn mới và phát triển kinh tế - xã hội vùng đồng bào DTTS&amp;MN ở địa phương. Đẩy mạnh truyền thông nhằm thay đổi định kiến giới. Tăng cường vai trò, vị thế của phụ nữ trong lãnh đạo, quản lý và phát triển cộng đồng; tổ chức triển khai các chỉ tiêu bình đẳng giới ; nâng cao nhận thức về giới trong xây dựng cộng đồng văn minh, tiến bộ</t>
  </si>
  <si>
    <t>Đẩy mạnh truyền thông nhằm thay đổi định kiến giới. Tăng cường vai trò, vị thế của phụ nữ trong lãnh đạo, quản lý và phát triển cộng đồng; tổ chức triển khai các chỉ tiêu bình đẳng giới; nâng cao nhận thức về giới trong xây dựng cộng đồng văn minh, tiến bộ.</t>
  </si>
  <si>
    <t>Nội dung thành phần số 6</t>
  </si>
  <si>
    <t>Nội dung 2: Đẩy mạnh chuyển đổi số, chuyển giao tiến bộ khoa học - kỹ thuật, công nghệ phục vụ đời sống, phát triển kinh tế nông thôn và phát triển kinh tế - xã hội vùng đồng bào DTTS&amp;MN; phát triển và nhân rộng các mô hình “thôn thông minh”.</t>
  </si>
  <si>
    <t>Các cơ quan, đơn vị có liên quan; các bản</t>
  </si>
  <si>
    <t xml:space="preserve">Đẩy mạnh chuyển đổi số, tăng cường tuyên truyền nâng cao nhận thức số, phát triển mô hình "Bản thông minh" trên địa bàn xã Bản Bo: 'Hàng năm tuyên tổ chức từ 3 - 5 lớp tuyên truyền về nâng cao nhận thức số trong Nhân dân nhất là với Tổ công nghệ số cộng đồng; phấn đấu xây dựng 01 bản thông minh </t>
  </si>
  <si>
    <t>Nội dung thành phần số 7</t>
  </si>
  <si>
    <t>5.1</t>
  </si>
  <si>
    <t> Nội dung 01: Tăng cường quản lý chất thải rắn, nước thải, chất thải và phụ phẩm nông nghiệp theo hướng tuần hoàn, bền vững và thích ứng với biến đổi khí hậu; ứng dụng công nghệ xử lý chất thải hiện đại, thân thiện môi trường, giảm thiểu chôn lấp trực tiếp; phát triển mô hình tiêu dùng xanh, thân thiện môi trường, cộng đồng không rác thải nhựa và kinh tế tuần hoàn quy mô thôn, bản, cụm dân cư, hộ gia đình. Hỗ trợ hộ nghèo, hộ cận nghèo, hộ mới thoát nghèo, hộ vùng đồng bào DTTS&amp;MN nâng cao nhận thức, tiếp cận xử lý rác thải sinh hoạt tại gia đình;</t>
  </si>
  <si>
    <t>Phòng Kinh tế, Văn hoá - Xã hội và các cơ quan, đơn vị liên quan; các bản</t>
  </si>
  <si>
    <t>Xây dựng, cải tạo công trình vệ sinh, xử lý nước thải tại hộ gia đình nghèo, cận nghèo, hộ mới thoát nghèo; hỗ trợ bể, thùng chứa rác thải;…</t>
  </si>
  <si>
    <t>5.2</t>
  </si>
  <si>
    <t>Nội dung số 3:  Gìn giữ, cải tạo và phát triển cảnh quan môi trường nông thôn sáng - xanh - sạch - đẹp, bảo tồn không gian làng quê, cảnh quan thiên nhiên và bản sắc văn hóa địa phương. Phát triển mô hình thôn sinh thái, khu dân cư kiểu mẫu, mở rộng không gian sinh hoạt cộng đồng; trồng cây xanh, cải tạo cảnh quan gắn với cộng đồng dân cư. Phát huy vai trò tự quản của cộng đồng trong duy trì môi trường sống hài hòa, an toàn và thân thiện với thiên nhiên. Xây dựng thí điểm một số mô hình “nông nghiệp xanh”;</t>
  </si>
  <si>
    <t>Phòng Kinh tế, Văn hoá - Xã hội và các cơ quan, đơn vị liên quan</t>
  </si>
  <si>
    <t>Gìn giữ, cải tạo và phát triển cảnh quan môi trường nông thôn sáng - xanh - sạch - đẹp, bảo tồn không gian làng quê, cảnh quan thiên nhiên và bản sắc văn hóa địa phương: Trồng cây xanh tại 03 bản sáng, xanh, sạch, đẹp tiêu biểu và một số bản khác</t>
  </si>
  <si>
    <t>Nội dung thành phần số 8</t>
  </si>
  <si>
    <t>6.1</t>
  </si>
  <si>
    <t xml:space="preserve"> Nội dung 02: Triển khai hiệu quả Phong trào “Nông dân thi đua sản xuất kinh doanh giỏi, đoàn kết giúp nhau làm giàu và giảm nghèo bền vững”; xây dựng các chi Hội Nông dân nghề nghiệp, tổ Hội Nông dân nghề nghiệp theo nguyên tắc “5 tự”, “5 cùng”; Đề án “Hội Nông dân Việt Nam tham gia phát triển kinh tế tập thể trong nông nghiệp đến năm 2030”; Đề án “Tuyên truyền, vận động, hướng dẫn nông dân sản xuất, kinh doanh nông sản, thực phẩm an toàn vì sức khoẻ cộng đồng giai đoạn 2026 - 2030"</t>
  </si>
  <si>
    <t>Hội Nông dân xã</t>
  </si>
  <si>
    <t>Các cơ quan, đơn vị liên quan, các bản</t>
  </si>
  <si>
    <t>Xây dựng và nhân rộng 02 mô hình; 05 hội nghị tập huấn; 25 hội nghị truyền thông, tuyên truyền; 04 hội nghị sơ, tổng kết; 02 cuộc kiểm tra, giám sát; xây dựng 50 tài liệu, video, clip truyền thông...</t>
  </si>
  <si>
    <t>6.2</t>
  </si>
  <si>
    <t>Nội dung 4:  Thực hiện hiệu quả Cuộc vận động “Xây dựng gia đình 5 không, 3 sạch, 3 an”; vun đắp, gìn giữ giá trị tốt đẹp và phát triển hệ giá trị gia đình Việt Nam</t>
  </si>
  <si>
    <t>Hội Liên hiệp PN xã</t>
  </si>
  <si>
    <t xml:space="preserve">  Tổ chức 28 Hội nghị truyên thông,tuyên truyền; 04 Hội nghị tập huấn; xây dựng và duy trì nhân rộng 04 mô hình; 02 Hội nghị sơ tổng kết;  01 cuộc giám sát, đánh giá kết quả thực hiện cuộc vận động; xây dựng 33 tài liệu, video, clip truyền thông ..</t>
  </si>
  <si>
    <t>Nội dung thành phần số 9</t>
  </si>
  <si>
    <t>7.1</t>
  </si>
  <si>
    <t>Nội dung số 2: An ninh, trật tự ở địa bàn cơ sở được bảo đảm, phát hiện, giải quyết kịp thời các nguy cơ tiềm ẩn về an ninh quốc gia, trật tự an toàn xã hội, những vấn đề phức tạp nảy sinh từ sớm, từ xa, từ cơ sở; đồng thời phải sẵn sàng các phương án để đối phó kịp thời và hiệu quả khi xảy ra tình huống phức tạp theo phương châm “bốn tại chỗ”, không để hình thành các điểm nóng phức tạp về an ninh, trật tự; kiềm chế, kéo giảm tội phạm, tai nạn giao thông, cháy, nổ trên địa bàn; phong trào toàn dân bảo vệ an ninh Tổ quốc hoạt động hiệu quả; lực lượng tham gia bảo vệ an ninh, trật tự ở cơ sở đảm bảo số lượng, chất lượng, điều kiện hoạt động; xây dựng, củng cố, nhân rộng các mô hình bảo đảm an ninh, trật tự, đặc biệt là các mô hình chuyển đổi số, mô hình camera AI giám sát an ninh khu vực nông thôn</t>
  </si>
  <si>
    <t>Công an xã, các bản</t>
  </si>
  <si>
    <t>Xây dựng, lắp đặt 10 camera AI giám sát an ninh khu vực nông thôn trên địa bàn xã</t>
  </si>
  <si>
    <t>Hợp phần 2</t>
  </si>
  <si>
    <t>Nội dung thành phần số 1</t>
  </si>
  <si>
    <t>Nội dung số 5: Hỗ trợ thiết lập, duy trì các điểm hỗ trợ đồng bào DTTS ứng dụng công nghệ thông tin tại xã, thôn để phục vụ phát triển kinh tế - xã hội và bảo đảm an ninh trật tự</t>
  </si>
  <si>
    <t>Hỗ trợ thiết lập, duy trì 05 điểm hỗ trợ đồng bào DTTS ứng dụng công nghệ thông tin tại xã, bản</t>
  </si>
  <si>
    <t>Nội dung số 6; Bảo tồn, phát huy giá trị văn hoá truyền thống tốt đẹp của các các đồng bào dân tộc thiểu số gắn với phát triển du lịch</t>
  </si>
  <si>
    <t>Tổ chức 01 lớp Bồi dưỡng nghiệp vụ du lịch gắn với khai thác giá trị văn hóa truyền thống tại bản Nà Khương</t>
  </si>
  <si>
    <t>Nội dung số 1:  Biểu dương, tôn vinh điển hình tiên tiến; phát huy vai trò của người có uy tín, chức sắc, chức việc tôn giáo, đồng bào DTTS và người dân sinh sống trên địa bàn</t>
  </si>
  <si>
    <t>Tổ chức 05 cuộc đi thăm quan, học tập kinh nghiệm, hội nghị biểu dương, tôn vinh điển hình tiên tiến; phát huy vai trò của người có uy tín, chức sắc, chức việc tôn giáo, đồng bào DTTS và người dân sinh sống trên địa bàn xã</t>
  </si>
  <si>
    <t>Nội dung thành phần số 10</t>
  </si>
  <si>
    <t>Nội dung 01: Nâng cao chất lượng và hiệu quả công tác kiểm tra, giám sát, đánh giá kết quả thực hiện Chương trình ở các cấp; xây dựng hệ thống cơ sở dữ liệu quản lý Chương trình. Rà soát, đánh giá hộ nghèo, hộ cận nghèo hằng năm;</t>
  </si>
  <si>
    <t>Phòng Kinh Tế</t>
  </si>
  <si>
    <t>Tổ chức 01 cuộc/năm để kiểm tra, đánh giá kết quả thực hiện Chương trình; các hội nghị đánh giá, xét công nhận xã đạt chuẩn NTM</t>
  </si>
  <si>
    <t>4.2</t>
  </si>
  <si>
    <t>Tổ chức Hội nghị, hội thảo, các cuộc họp triển khai thực hiện, sơ kết, tổng kết thực hiện Chương trình;</t>
  </si>
  <si>
    <t>Tổ chức Hội nghị sơ kết, tổng kết thực hiện Chương trình;</t>
  </si>
  <si>
    <t>Đường GTNT B, chiều dài tuyến khoảng 8,7 km và các công trình trên tuyến</t>
  </si>
  <si>
    <t>Nâng cấp, sửa chữa đường vào bản, nội bản Nậm Nhùn</t>
  </si>
  <si>
    <t>Đường GTNT B, chiều dài tuyến khoảng 3,5km và các công trình trên tuyến</t>
  </si>
  <si>
    <t>2027-2028</t>
  </si>
  <si>
    <t>Nâng cấp  các công trình nước sinh hoạt các bản xã Nậm Hàng</t>
  </si>
  <si>
    <t>Các bản xã Nậm Hàng</t>
  </si>
  <si>
    <t>Nâng cấp đập đầu mối, hệ thống ống cấp nước sinh hoạt tại các bản xã Nậm Hàng có công trình cấp nước sinh hoạt đã xuống cấp</t>
  </si>
  <si>
    <t>Cứng hóa đường vào nghĩa địa xã Nậm Hàng</t>
  </si>
  <si>
    <t>xã Nậm Hàng</t>
  </si>
  <si>
    <t>Đường GTNT C, chiều dài khoảng 0,9km và các công trình trên tuyến</t>
  </si>
  <si>
    <t>2028-2029</t>
  </si>
  <si>
    <t>Cứng hóa đường giao thông lên nhóm 3 bản Nậm Nàn xã Nậm Hàng</t>
  </si>
  <si>
    <t>Đường GTNT C, chiều dài tuyến khoảng 2,8km và các công trình trên tuyến</t>
  </si>
  <si>
    <t>2029-2030</t>
  </si>
  <si>
    <t>Cứng hóa đường đi khu sản xuất bản Lồng Ngài (2 tuyến)</t>
  </si>
  <si>
    <t>Đường GTNT C, chiều dài tuyến khoảng 3,5km và các công trình trên tuyến</t>
  </si>
  <si>
    <t>Nội dung 01: Tuyên truyền, vận động phát huy vai trò chủ thể của người dân trong xây dựng nông thôn mới, giảm nghèo bền vững, phát triển kinh tế vùng đồng bào dân tộc thiểu số và miền núi. Triển khai hiệu quả Cuộc vận động “Toàn dân đoàn kết xây dựng NTM, đô thị văn minh”; xây dựng, nhân rộng mô hình “Khu dân cư đoàn kết, ấm no, hạnh phúc”, tổ chức lấy ý kiến sự hài lòng của người dân về xây dựng nông thôn mới. Thực hiện công tác an sinh xã hội gắn với xây dựng nông thôn mới, giảm nghèo bền vững, phát triển kinh tế vùng đồng bào dân tộc thiểu số và miền núi; thực hiện chuyển đổi số trong triển khai thực hiện Chương trình. Nâng cao chất lượng công tác giám sát, phản biện xã hội trong xây dựng, triển khai thực hiện Chương trình</t>
  </si>
  <si>
    <t>Nội dung 04: Thực hiện hiệu quả Cuộc vận động “Xây dựng gia đình 5 không, 3 sạch, 3 an”; vun đắp, gìn giữ giá trị tốt đẹp và phát triển hệ giá trị gia đình Việt Nam</t>
  </si>
  <si>
    <t>Đường GTNT B, chiều dài tuyến khoảng 8,7km và các công trình trên tuyến</t>
  </si>
  <si>
    <t>BIỂU ĐỀ XUẤT NHU CẦU KINH PHÍ CHI TIẾT GIAI ĐOẠN 2026-2030 THỰC HIỆN CHƯƠNG TRÌNH MỤC TIÊU QUỐC GIA XÂY DỰNG NÔNG THÔN MỚI, GIẢM NGHÈO BỀN VỮNG VÀ PHÁT TRIỂN KINH TẾ - XÃ HỘI VÙNG ĐỒNG BÀO DÂN TỘC THIỂU SỐ VÀ MIỀN NÚI</t>
  </si>
  <si>
    <t>Biểu số  02</t>
  </si>
  <si>
    <t>(Kèm theo Tờ trình số  302  /TTr- PKT ngày 03  tháng 8 năm 2026 của Phòng Kinh tế)</t>
  </si>
  <si>
    <t>Phòng Văn Hóa- xã hội</t>
  </si>
  <si>
    <t>Tập huấn kỹ năng số cho Tổ công nghệ số cộng đồng các bản, tổ dân phố trên địa bàn xã Nậm Hàng năm 2026</t>
  </si>
  <si>
    <t>Biểu số 04</t>
  </si>
  <si>
    <t>Sửa chữa Trụ sở Tòa án nhân dân huyện Nậm Nhùn (cũ) thành Trạm Y tế xã Nậm Hàng</t>
  </si>
  <si>
    <t>Sửa chữa các hạng mục phòng làm việc Tòa án nhân dân huyện Nậm Nhùn (cũ) thành công năng sử dụng phù hợp với phòng làm việc Trạm Y tế xã Nậm hàng</t>
  </si>
  <si>
    <t>Trung tâm dịch vụ tổng hợp</t>
  </si>
  <si>
    <t>Đơn vị thực hiện</t>
  </si>
  <si>
    <t>(Kèm theo  Nghị quyết số           /NQ- HĐND Ngày      tháng 8 năm 2026 của HĐND xã Nậm Hàng)</t>
  </si>
  <si>
    <t>Đơn vị Thực hiện</t>
  </si>
  <si>
    <t>Hỗ trợ phát triển sản xuất chăn nuôi gia súc (ngựa bạch sinh sản bản Nậm Nhùn)</t>
  </si>
  <si>
    <t xml:space="preserve">Tuyên truyền, vận động, hướng dẫn nông dân sản xuất, kinh doanh nông sản, thực phẩm an toàn vì sức khỏe cộng đồng giai đoạn 2026-2030 </t>
  </si>
</sst>
</file>

<file path=xl/styles.xml><?xml version="1.0" encoding="utf-8"?>
<styleSheet xmlns="http://schemas.openxmlformats.org/spreadsheetml/2006/main" xmlns:mc="http://schemas.openxmlformats.org/markup-compatibility/2006" xmlns:x14ac="http://schemas.microsoft.com/office/spreadsheetml/2009/9/ac" mc:Ignorable="x14ac">
  <numFmts count="207">
    <numFmt numFmtId="41" formatCode="_-* #,##0\ _₫_-;\-* #,##0\ _₫_-;_-* &quot;-&quot;\ _₫_-;_-@_-"/>
    <numFmt numFmtId="43" formatCode="_-* #,##0.00\ _₫_-;\-* #,##0.00\ _₫_-;_-* &quot;-&quot;??\ _₫_-;_-@_-"/>
    <numFmt numFmtId="164" formatCode="&quot;$&quot;#,##0_);\(&quot;$&quot;#,##0\)"/>
    <numFmt numFmtId="165" formatCode="&quot;$&quot;#,##0_);[Red]\(&quot;$&quot;#,##0\)"/>
    <numFmt numFmtId="166" formatCode="&quot;$&quot;#,##0.00_);\(&quot;$&quot;#,##0.00\)"/>
    <numFmt numFmtId="167" formatCode="_(&quot;$&quot;* #,##0_);_(&quot;$&quot;* \(#,##0\);_(&quot;$&quot;* &quot;-&quot;_);_(@_)"/>
    <numFmt numFmtId="168" formatCode="_(* #,##0_);_(* \(#,##0\);_(* &quot;-&quot;_);_(@_)"/>
    <numFmt numFmtId="169" formatCode="_(&quot;$&quot;* #,##0.00_);_(&quot;$&quot;* \(#,##0.00\);_(&quot;$&quot;* &quot;-&quot;??_);_(@_)"/>
    <numFmt numFmtId="170" formatCode="_(* #,##0.00_);_(* \(#,##0.00\);_(* &quot;-&quot;??_);_(@_)"/>
    <numFmt numFmtId="171" formatCode="_-* #,##0_-;\-* #,##0_-;_-* &quot;-&quot;_-;_-@_-"/>
    <numFmt numFmtId="172" formatCode="_-* #,##0.00_-;\-* #,##0.00_-;_-* &quot;-&quot;??_-;_-@_-"/>
    <numFmt numFmtId="173" formatCode="#,##0.0"/>
    <numFmt numFmtId="174" formatCode="0.0"/>
    <numFmt numFmtId="175" formatCode="_(* #,##0_);_(* \(#,##0\);_(* &quot;-&quot;??_);_(@_)"/>
    <numFmt numFmtId="176" formatCode="0.000"/>
    <numFmt numFmtId="177" formatCode="_(* #,##0.0_);_(* \(#,##0.0\);_(* &quot;-&quot;_);_(@_)"/>
    <numFmt numFmtId="178" formatCode="#,##0.000"/>
    <numFmt numFmtId="179" formatCode="#,##0.00000"/>
    <numFmt numFmtId="180" formatCode="_(* #,##0.000_);_(* \(#,##0.000\);_(* &quot;-&quot;_);_(@_)"/>
    <numFmt numFmtId="181" formatCode="#,##0;[Red]#,##0"/>
    <numFmt numFmtId="182" formatCode="_(* #,##0.00_);_(* \(#,##0.00\);_(* &quot;-&quot;_);_(@_)"/>
    <numFmt numFmtId="183" formatCode="0.0000"/>
    <numFmt numFmtId="184" formatCode="0.0%"/>
    <numFmt numFmtId="185" formatCode="0.0000000000"/>
    <numFmt numFmtId="186" formatCode="#,##0.0000"/>
    <numFmt numFmtId="187" formatCode="0.000%"/>
    <numFmt numFmtId="188" formatCode="_(* #,##0.0_);_(* \(#,##0.0\);_(* &quot;-&quot;??_);_(@_)"/>
    <numFmt numFmtId="189" formatCode="_(* #,##0.000_);_(* \(#,##0.000\);_(* &quot;-&quot;??_);_(@_)"/>
    <numFmt numFmtId="190" formatCode="_-&quot;ñ&quot;* #,##0_-;\-&quot;ñ&quot;* #,##0_-;_-&quot;ñ&quot;* &quot;-&quot;_-;_-@_-"/>
    <numFmt numFmtId="191" formatCode="_-&quot;$&quot;* #,##0_-;\-&quot;$&quot;* #,##0_-;_-&quot;$&quot;* &quot;-&quot;_-;_-@_-"/>
    <numFmt numFmtId="192" formatCode="###\ ###\ ###\ ###\ ##0"/>
    <numFmt numFmtId="193" formatCode="##.##%"/>
    <numFmt numFmtId="194" formatCode="_-* #,##0\ &quot;F&quot;_-;\-* #,##0\ &quot;F&quot;_-;_-* &quot;-&quot;\ &quot;F&quot;_-;_-@_-"/>
    <numFmt numFmtId="195" formatCode="&quot;\&quot;#,##0;[Red]&quot;\&quot;&quot;\&quot;\-#,##0"/>
    <numFmt numFmtId="196" formatCode="&quot;\&quot;#,##0.00;[Red]&quot;\&quot;&quot;\&quot;&quot;\&quot;&quot;\&quot;&quot;\&quot;&quot;\&quot;\-#,##0.00"/>
    <numFmt numFmtId="197" formatCode="_-* #,##0_$_-;\-* #,##0_$_-;_-* &quot;-&quot;_$_-;_-@_-"/>
    <numFmt numFmtId="198" formatCode="#.##00"/>
    <numFmt numFmtId="199" formatCode="&quot;Rp&quot;#,##0_);[Red]\(&quot;Rp&quot;#,##0\)"/>
    <numFmt numFmtId="200" formatCode="_(* #,##0_);_(* \(#,##0\);_(* \-??_);_(@_)"/>
    <numFmt numFmtId="201" formatCode="_-* #,##0\ _F_-;\-* #,##0\ _F_-;_-* &quot;-&quot;\ _F_-;_-@_-"/>
    <numFmt numFmtId="202" formatCode="_-* #,##0\ _F_-;\-* #,##0\ _F_-;_-* &quot;- &quot;_F_-;_-@_-"/>
    <numFmt numFmtId="203" formatCode="_-* #,##0&quot; $&quot;_-;\-* #,##0&quot; $&quot;_-;_-* &quot;- $&quot;_-;_-@_-"/>
    <numFmt numFmtId="204" formatCode="_-* #,##0\ &quot;$&quot;_-;\-* #,##0\ &quot;$&quot;_-;_-* &quot;-&quot;\ &quot;$&quot;_-;_-@_-"/>
    <numFmt numFmtId="205" formatCode="_-* #,##0.00\ _F_-;\-* #,##0.00\ _F_-;_-* &quot;-&quot;??\ _F_-;_-@_-"/>
    <numFmt numFmtId="206" formatCode="_-* #,##0.00\ _€_-;\-* #,##0.00\ _€_-;_-* &quot;-&quot;??\ _€_-;_-@_-"/>
    <numFmt numFmtId="207" formatCode="_(* #,##0.00_);_(* \(#,##0.00\);_(* \-??_);_(@_)"/>
    <numFmt numFmtId="208" formatCode="_-* #,##0.00\ _ñ_-;\-* #,##0.00\ _ñ_-;_-* &quot;-&quot;??\ _ñ_-;_-@_-"/>
    <numFmt numFmtId="209" formatCode="_-* #,##0.00\ _ñ_-;_-* #,##0.00\ _ñ\-;_-* &quot;-&quot;??\ _ñ_-;_-@_-"/>
    <numFmt numFmtId="210" formatCode="_(\$* #,##0_);_(\$* \(#,##0\);_(\$* \-_);_(@_)"/>
    <numFmt numFmtId="211" formatCode="_(&quot;$&quot;\ * #,##0_);_(&quot;$&quot;\ * \(#,##0\);_(&quot;$&quot;\ * &quot;-&quot;_);_(@_)"/>
    <numFmt numFmtId="212" formatCode="_-* #,##0\ &quot;ñ&quot;_-;\-* #,##0\ &quot;ñ&quot;_-;_-* &quot;-&quot;\ &quot;ñ&quot;_-;_-@_-"/>
    <numFmt numFmtId="213" formatCode="_-* #,##0\ _€_-;\-* #,##0\ _€_-;_-* &quot;-&quot;\ _€_-;_-@_-"/>
    <numFmt numFmtId="214" formatCode="_(* #,##0_);_(* \(#,##0\);_(* \-_);_(@_)"/>
    <numFmt numFmtId="215" formatCode="_-* #,##0\ _$_-;\-* #,##0\ _$_-;_-* &quot;- &quot;_$_-;_-@_-"/>
    <numFmt numFmtId="216" formatCode="_-* #,##0\ _$_-;\-* #,##0\ _$_-;_-* &quot;-&quot;\ _$_-;_-@_-"/>
    <numFmt numFmtId="217" formatCode="_-* #,##0\ _ñ_-;\-* #,##0\ _ñ_-;_-* &quot;-&quot;\ _ñ_-;_-@_-"/>
    <numFmt numFmtId="218" formatCode="_-* #,##0\ _ñ_-;_-* #,##0\ _ñ\-;_-* &quot;-&quot;\ _ñ_-;_-@_-"/>
    <numFmt numFmtId="219" formatCode="_ &quot;\&quot;* #,##0_ ;_ &quot;\&quot;* \-#,##0_ ;_ &quot;\&quot;* &quot;-&quot;_ ;_ @_ "/>
    <numFmt numFmtId="220" formatCode="&quot;\&quot;#,##0.00;[Red]&quot;\&quot;\-#,##0.00"/>
    <numFmt numFmtId="221" formatCode="&quot;\&quot;#,##0;[Red]&quot;\&quot;\-#,##0"/>
    <numFmt numFmtId="222" formatCode="_-* #,##0&quot;$&quot;_-;\-* #,##0&quot;$&quot;_-;_-* &quot;-&quot;&quot;$&quot;_-;_-@_-"/>
    <numFmt numFmtId="223" formatCode="_-* #,##0.00&quot;$&quot;_-;\-* #,##0.00&quot;$&quot;_-;_-* &quot;-&quot;??&quot;$&quot;_-;_-@_-"/>
    <numFmt numFmtId="224" formatCode="0%;\(0%\)"/>
    <numFmt numFmtId="225" formatCode="#,#00;[Red]\-#,#00;_@&quot;-&quot;"/>
    <numFmt numFmtId="226" formatCode="_ \\* #,##0_ ;_ \\* \-#,##0_ ;_ \\* \-_ ;_ @_ "/>
    <numFmt numFmtId="227" formatCode="_ * #,##0_)\ &quot;F&quot;_ ;_ * \(#,##0\)\ &quot;F&quot;_ ;_ * &quot;-&quot;_)\ &quot;F&quot;_ ;_ @_ "/>
    <numFmt numFmtId="228" formatCode="&quot;£&quot;#,##0.00;\-&quot;£&quot;#,##0.00"/>
    <numFmt numFmtId="229" formatCode="_ * #,##0_)\ _$_ ;_ * \(#,##0\)\ _$_ ;_ * &quot;-&quot;_)\ _$_ ;_ @_ "/>
    <numFmt numFmtId="230" formatCode="_-&quot;F&quot;* #,##0_-;\-&quot;F&quot;* #,##0_-;_-&quot;F&quot;* &quot;-&quot;_-;_-@_-"/>
    <numFmt numFmtId="231" formatCode="_ * #,##0_ ;_ * \-#,##0_ ;_ * &quot;-&quot;_ ;_ @_ "/>
    <numFmt numFmtId="232" formatCode="_ * #,##0.00_)&quot;$&quot;_ ;_ * \(#,##0.00\)&quot;$&quot;_ ;_ * &quot;-&quot;??_)&quot;$&quot;_ ;_ @_ "/>
    <numFmt numFmtId="233" formatCode="_ * #,##0.00_ ;_ * \-#,##0.00_ ;_ * &quot;-&quot;??_ ;_ @_ "/>
    <numFmt numFmtId="234" formatCode="_ * #,##0.0_)_$_ ;_ * \(#,##0.0\)_$_ ;_ * &quot;-&quot;??_)_$_ ;_ @_ "/>
    <numFmt numFmtId="235" formatCode="_-* #,##0.00_$_-;\-* #,##0.00_$_-;_-* &quot;-&quot;??_$_-;_-@_-"/>
    <numFmt numFmtId="236" formatCode=";;"/>
    <numFmt numFmtId="237" formatCode="#,##0.0_);\(#,##0.0\)"/>
    <numFmt numFmtId="238" formatCode="&quot;$&quot;#,##0.00"/>
    <numFmt numFmtId="239" formatCode="_ * #,##0.00_)&quot;£&quot;_ ;_ * \(#,##0.00\)&quot;£&quot;_ ;_ * &quot;-&quot;??_)&quot;£&quot;_ ;_ @_ "/>
    <numFmt numFmtId="240" formatCode="_-&quot;$&quot;* #,##0.00_-;\-&quot;$&quot;* #,##0.00_-;_-&quot;$&quot;* &quot;-&quot;??_-;_-@_-"/>
    <numFmt numFmtId="241" formatCode="0.0%;\(0.0%\)"/>
    <numFmt numFmtId="242" formatCode="##,###.##"/>
    <numFmt numFmtId="243" formatCode="_-* #,##0.00\ &quot;F&quot;_-;\-* #,##0.00\ &quot;F&quot;_-;_-* &quot;-&quot;??\ &quot;F&quot;_-;_-@_-"/>
    <numFmt numFmtId="244" formatCode="#0.##"/>
    <numFmt numFmtId="245" formatCode="0.000_)"/>
    <numFmt numFmtId="246" formatCode="_-* #,##0.00\ _V_N_D_-;\-* #,##0.00\ _V_N_D_-;_-* &quot;-&quot;??\ _V_N_D_-;_-@_-"/>
    <numFmt numFmtId="247" formatCode="&quot;True&quot;;&quot;True&quot;;&quot;False&quot;"/>
    <numFmt numFmtId="248" formatCode="[$€-2]\ #,##0.00_);[Red]\([$€-2]\ #,##0.00\)"/>
    <numFmt numFmtId="249" formatCode="#,##0\ &quot;þ&quot;;[Red]\-#,##0\ &quot;þ&quot;"/>
    <numFmt numFmtId="250" formatCode="#,##0.00;[Red]#,##0.00"/>
    <numFmt numFmtId="251" formatCode="_(* #,##0.00_);_(* \(#,##0.00\);_(* &quot;-&quot;&quot;?&quot;&quot;?&quot;_);_(@_)"/>
    <numFmt numFmtId="252" formatCode="#\ ###\ ###"/>
    <numFmt numFmtId="253" formatCode="#,##0;\(#,##0\)"/>
    <numFmt numFmtId="254" formatCode="_ &quot;R&quot;\ * #,##0_ ;_ &quot;R&quot;\ * \-#,##0_ ;_ &quot;R&quot;\ * &quot;-&quot;_ ;_ @_ "/>
    <numFmt numFmtId="255" formatCode="##,##0%"/>
    <numFmt numFmtId="256" formatCode="#,###%"/>
    <numFmt numFmtId="257" formatCode="##.##"/>
    <numFmt numFmtId="258" formatCode="###,###"/>
    <numFmt numFmtId="259" formatCode="###.###"/>
    <numFmt numFmtId="260" formatCode="##,###.####"/>
    <numFmt numFmtId="261" formatCode="\$#,##0_);&quot;($&quot;#,##0\)"/>
    <numFmt numFmtId="262" formatCode="\$#,##0.00_);&quot;($&quot;#,##0.00\)"/>
    <numFmt numFmtId="263" formatCode="\$#,##0\ ;\(\$#,##0\)"/>
    <numFmt numFmtId="264" formatCode="#\ ###\ ##0.0"/>
    <numFmt numFmtId="265" formatCode="\t0.00%"/>
    <numFmt numFmtId="266" formatCode="0.0000%"/>
    <numFmt numFmtId="267" formatCode="##,##0.##"/>
    <numFmt numFmtId="268" formatCode="&quot;US$&quot;#,##0.00;&quot;(US$&quot;#,##0.00\)"/>
    <numFmt numFmtId="269" formatCode="\U\S\$#,##0.00;\(\U\S\$#,##0.00\)"/>
    <numFmt numFmtId="270" formatCode="_(\§\g\ #,##0_);_(\§\g\ \(#,##0\);_(\§\g\ &quot;-&quot;??_);_(@_)"/>
    <numFmt numFmtId="271" formatCode="_(\§\g\ #,##0_);_(\§\g\ \(#,##0\);_(\§\g\ &quot;-&quot;_);_(@_)"/>
    <numFmt numFmtId="272" formatCode="#\ ###\ ###\ .00"/>
    <numFmt numFmtId="273" formatCode="\t#\ ??/??"/>
    <numFmt numFmtId="274" formatCode="\§\g#,##0_);\(\§\g#,##0\)"/>
    <numFmt numFmtId="275" formatCode="_-&quot;VND&quot;* #,##0_-;\-&quot;VND&quot;* #,##0_-;_-&quot;VND&quot;* &quot;-&quot;_-;_-@_-"/>
    <numFmt numFmtId="276" formatCode="_-&quot;VND&quot;* #,##0_-;&quot;-VND&quot;* #,##0_-;_-&quot;VND&quot;* \-_-;_-@_-"/>
    <numFmt numFmtId="277" formatCode="_-* #,##0\ _?_-;\-* #,##0\ _?_-;_-* &quot;- &quot;_?_-;_-@_-"/>
    <numFmt numFmtId="278" formatCode="_-* #,##0_-;\-* #,##0_-;_-* \-_-;_-@_-"/>
    <numFmt numFmtId="279" formatCode="_-* #,##0\ _₫_-;\-* #,##0\ _₫_-;_-* &quot;- &quot;_₫_-;_-@_-"/>
    <numFmt numFmtId="280" formatCode="_(&quot;Rp&quot;* #,##0.00_);_(&quot;Rp&quot;* \(#,##0.00\);_(&quot;Rp&quot;* &quot;-&quot;??_);_(@_)"/>
    <numFmt numFmtId="281" formatCode="_(&quot;Rp&quot;* #,##0.00_);_(&quot;Rp&quot;* \(#,##0.00\);_(&quot;Rp&quot;* \-??_);_(@_)"/>
    <numFmt numFmtId="282" formatCode="#,##0.00\ &quot;FB&quot;;[Red]\-#,##0.00\ &quot;FB&quot;"/>
    <numFmt numFmtId="283" formatCode="#,##0.00&quot; FB&quot;;[Red]\-#,##0.00&quot; FB&quot;"/>
    <numFmt numFmtId="284" formatCode="_-* #,##0\ _k_r_-;\-* #,##0\ _k_r_-;_-* &quot;- &quot;_k_r_-;_-@_-"/>
    <numFmt numFmtId="285" formatCode="_-* #,##0\ _k_r_-;\-* #,##0\ _k_r_-;_-* &quot;-&quot;\ _k_r_-;_-@_-"/>
    <numFmt numFmtId="286" formatCode="#,##0\ &quot;$&quot;;\-#,##0\ &quot;$&quot;"/>
    <numFmt numFmtId="287" formatCode="#,##0&quot; Rp&quot;;\-#,##0&quot; Rp&quot;"/>
    <numFmt numFmtId="288" formatCode="#,##0\ &quot;Rp&quot;;\-#,##0\ &quot;Rp&quot;"/>
    <numFmt numFmtId="289" formatCode="#,##0&quot; $&quot;;\-#,##0&quot; $&quot;"/>
    <numFmt numFmtId="290" formatCode="#,##0&quot; kr&quot;;\-#,##0&quot; kr&quot;"/>
    <numFmt numFmtId="291" formatCode="#,##0\ &quot;kr&quot;;\-#,##0\ &quot;kr&quot;"/>
    <numFmt numFmtId="292" formatCode="_-* #,##0.00\ _?_-;\-* #,##0.00\ _?_-;_-* \-??\ _?_-;_-@_-"/>
    <numFmt numFmtId="293" formatCode="_-* #,##0.00_-;\-* #,##0.00_-;_-* \-??_-;_-@_-"/>
    <numFmt numFmtId="294" formatCode="_-* #,##0.00\ _₫_-;\-* #,##0.00\ _₫_-;_-* \-??\ _₫_-;_-@_-"/>
    <numFmt numFmtId="295" formatCode="&quot;$&quot;#,##0;\-&quot;$&quot;#,##0"/>
    <numFmt numFmtId="296" formatCode="&quot;Rp&quot;#,##0;&quot;-Rp&quot;#,##0"/>
    <numFmt numFmtId="297" formatCode="&quot;Rp&quot;#,##0;\-&quot;Rp&quot;#,##0"/>
    <numFmt numFmtId="298" formatCode="\$#,##0;&quot;-$&quot;#,##0"/>
    <numFmt numFmtId="299" formatCode="&quot;kr&quot;#,##0;&quot;-kr&quot;#,##0"/>
    <numFmt numFmtId="300" formatCode="&quot;kr&quot;#,##0;\-&quot;kr&quot;#,##0"/>
    <numFmt numFmtId="301" formatCode="_-* #,##0\ _F_B_-;\-* #,##0\ _F_B_-;_-* &quot;-&quot;\ _F_B_-;_-@_-"/>
    <numFmt numFmtId="302" formatCode="_-* #,##0\ _F_B_-;\-* #,##0\ _F_B_-;_-* &quot;- &quot;_F_B_-;_-@_-"/>
    <numFmt numFmtId="303" formatCode="_-* #,##0.00\ _k_r_-;\-* #,##0.00\ _k_r_-;_-* \-??\ _k_r_-;_-@_-"/>
    <numFmt numFmtId="304" formatCode="_-* #,##0.00\ _k_r_-;\-* #,##0.00\ _k_r_-;_-* &quot;-&quot;??\ _k_r_-;_-@_-"/>
    <numFmt numFmtId="305" formatCode="#,##0_);\-#,##0_)"/>
    <numFmt numFmtId="306" formatCode="&quot;Dong&quot;#,##0.00_);[Red]&quot;(Dong&quot;#,##0.00\)"/>
    <numFmt numFmtId="307" formatCode="&quot;Dong&quot;#,##0.00_);[Red]\(&quot;Dong&quot;#,##0.00\)"/>
    <numFmt numFmtId="308" formatCode="#,###;\-#,###;&quot;&quot;;_(@_)"/>
    <numFmt numFmtId="309" formatCode="0."/>
    <numFmt numFmtId="310" formatCode="&quot;Fr.&quot;\ #,##0.00;&quot;Fr.&quot;\ \-#,##0.00"/>
    <numFmt numFmtId="311" formatCode="#."/>
    <numFmt numFmtId="312" formatCode="#,##0\ &quot;$&quot;_);\(#,##0\ &quot;$&quot;\)"/>
    <numFmt numFmtId="313" formatCode="_-&quot;IR£&quot;* #,##0.00_-;&quot;-IR£&quot;* #,##0.00_-;_-&quot;IR£&quot;* \-??_-;_-@_-"/>
    <numFmt numFmtId="314" formatCode="\£#,##0;[Red]&quot;-£&quot;#,##0"/>
    <numFmt numFmtId="315" formatCode="_-&quot;£&quot;* #,##0_-;\-&quot;£&quot;* #,##0_-;_-&quot;£&quot;* &quot;-&quot;_-;_-@_-"/>
    <numFmt numFmtId="316" formatCode="#,###"/>
    <numFmt numFmtId="317" formatCode="0&quot;.&quot;0000"/>
    <numFmt numFmtId="318" formatCode="_-\$* #,##0_-;&quot;-$&quot;* #,##0_-;_-\$* \-_-;_-@_-"/>
    <numFmt numFmtId="319" formatCode="_-\$* #,##0.00_-;&quot;-$&quot;* #,##0.00_-;_-\$* \-??_-;_-@_-"/>
    <numFmt numFmtId="320" formatCode="&quot;\&quot;#,##0;[Red]\-&quot;\&quot;#,##0"/>
    <numFmt numFmtId="321" formatCode="&quot;\&quot;#,##0.00;\-&quot;\&quot;#,##0.00"/>
    <numFmt numFmtId="322" formatCode="0.00_)"/>
    <numFmt numFmtId="323" formatCode="_(* #,##0.0000_);_(* \(#,##0.0000\);_(* &quot;-&quot;_);_(@_)"/>
    <numFmt numFmtId="324" formatCode="_ * #,##0_)_£_ ;_ * \(#,##0\)_£_ ;_ * &quot;-&quot;_)_£_ ;_ @_ "/>
    <numFmt numFmtId="325" formatCode="#,##0.00_);\-#,##0.00_)"/>
    <numFmt numFmtId="326" formatCode="#,##0.000_);\(#,##0.000\)"/>
    <numFmt numFmtId="327" formatCode="d"/>
    <numFmt numFmtId="328" formatCode="#"/>
    <numFmt numFmtId="329" formatCode="&quot;¡Ì&quot;#,##0;[Red]\-&quot;¡Ì&quot;#,##0"/>
    <numFmt numFmtId="330" formatCode="#,##0.00\ &quot;F&quot;;[Red]\-#,##0.00\ &quot;F&quot;"/>
    <numFmt numFmtId="331" formatCode="\$#,##0;[Red]&quot;-$&quot;#,##0"/>
    <numFmt numFmtId="332" formatCode="&quot;$&quot;#,##0;[Red]\-&quot;$&quot;#,##0"/>
    <numFmt numFmtId="333" formatCode="&quot;Rp&quot;#,##0;[Red]&quot;-Rp&quot;#,##0"/>
    <numFmt numFmtId="334" formatCode="&quot;Rp&quot;#,##0;[Red]\-&quot;Rp&quot;#,##0"/>
    <numFmt numFmtId="335" formatCode="&quot;kr&quot;#,##0;[Red]&quot;-kr&quot;#,##0"/>
    <numFmt numFmtId="336" formatCode="&quot;kr&quot;#,##0;[Red]\-&quot;kr&quot;#,##0"/>
    <numFmt numFmtId="337" formatCode="_-\£* #,##0_-;&quot;-£&quot;* #,##0_-;_-\£* \-_-;_-@_-"/>
    <numFmt numFmtId="338" formatCode="&quot;£&quot;#,##0;[Red]\-&quot;£&quot;#,##0"/>
    <numFmt numFmtId="339" formatCode="0.00000000000E+00;\?"/>
    <numFmt numFmtId="340" formatCode="0.00000"/>
    <numFmt numFmtId="341" formatCode="#,##0.00\ \ "/>
    <numFmt numFmtId="342" formatCode="#,##0.00&quot;  &quot;"/>
    <numFmt numFmtId="343" formatCode="_-&quot;£&quot;* #,##0.00_-;\-&quot;£&quot;* #,##0.00_-;_-&quot;£&quot;* &quot;-&quot;??_-;_-@_-"/>
    <numFmt numFmtId="344" formatCode="_-* #,##0.0\ _F_-;\-* #,##0.0\ _F_-;_-* &quot;-&quot;??\ _F_-;_-@_-"/>
    <numFmt numFmtId="345" formatCode="_-\£* #,##0.00_-;&quot;-£&quot;* #,##0.00_-;_-\£* \-??_-;_-@_-"/>
    <numFmt numFmtId="346" formatCode="_ * #,##0_ ;_ * \-#,##0_ ;_ * &quot;-&quot;??_ ;_ @_ "/>
    <numFmt numFmtId="347" formatCode="&quot;.&quot;#,##0.00_);[Red]\(&quot;.&quot;#,##0.00\)"/>
    <numFmt numFmtId="348" formatCode="#,##0.00&quot; F&quot;;[Red]\-#,##0.00&quot; F&quot;"/>
    <numFmt numFmtId="349" formatCode="_-* ###,0&quot;.&quot;00\ _F_B_-;\-* ###,0&quot;.&quot;00\ _F_B_-;_-* &quot;-&quot;??\ _F_B_-;_-@_-"/>
    <numFmt numFmtId="350" formatCode="_(* #.##0.00_);_(* \(#.##0.00\);_(* &quot;-&quot;??_);_(@_)"/>
    <numFmt numFmtId="351" formatCode="_-* #,##0.0\ _F_-;\-* #,##0.0\ _F_-;_-* \-??\ _F_-;_-@_-"/>
    <numFmt numFmtId="352" formatCode="#,##0.00\ \ \ \ "/>
    <numFmt numFmtId="353" formatCode="&quot;\&quot;#,##0;&quot;\&quot;\-#,##0"/>
    <numFmt numFmtId="354" formatCode="\\#,##0;&quot;\-&quot;#,##0"/>
    <numFmt numFmtId="355" formatCode="#,##0\ &quot;F&quot;;[Red]\-#,##0\ &quot;F&quot;"/>
    <numFmt numFmtId="356" formatCode="_-* ###,0\.00\ _F_B_-;\-* ###,0\.00\ _F_B_-;_-* \-??\ _F_B_-;_-@_-"/>
    <numFmt numFmtId="357" formatCode="_ * #.##._ ;_ * \-#.##._ ;_ * &quot;-&quot;??_ ;_ @_ⴆ"/>
    <numFmt numFmtId="358" formatCode="_-* #,##0\ _F_-;\-* #,##0\ _F_-;_-* &quot;-&quot;??\ _F_-;_-@_-"/>
    <numFmt numFmtId="359" formatCode="_-* ###,0&quot;.&quot;00_-;\-* ###,0&quot;.&quot;00_-;_-* &quot;-&quot;??_-;_-@_-"/>
    <numFmt numFmtId="360" formatCode="0000"/>
    <numFmt numFmtId="361" formatCode="00"/>
    <numFmt numFmtId="362" formatCode="000"/>
    <numFmt numFmtId="363" formatCode="0.000\ "/>
    <numFmt numFmtId="364" formatCode="#,##0\ &quot;Lt&quot;;[Red]\-#,##0\ &quot;Lt&quot;"/>
    <numFmt numFmtId="365" formatCode="#,##0.00\ &quot;F&quot;;\-#,##0.00\ &quot;F&quot;"/>
    <numFmt numFmtId="366" formatCode="0_);\(0\)"/>
    <numFmt numFmtId="367" formatCode="_-* #,##0_-;\-* #,##0_-;_-* &quot;-&quot;??_-;_-@_-"/>
    <numFmt numFmtId="368" formatCode="#,##0.000;[Red]#,##0.000"/>
  </numFmts>
  <fonts count="391">
    <font>
      <sz val="11"/>
      <color theme="1"/>
      <name val="Arial"/>
      <family val="2"/>
      <scheme val="minor"/>
    </font>
    <font>
      <sz val="11"/>
      <color theme="1"/>
      <name val="Arial"/>
      <family val="2"/>
      <scheme val="minor"/>
    </font>
    <font>
      <sz val="10"/>
      <color theme="1"/>
      <name val="Times New Roman"/>
      <family val="1"/>
    </font>
    <font>
      <b/>
      <sz val="12"/>
      <color theme="1"/>
      <name val="Times New Roman"/>
      <family val="1"/>
    </font>
    <font>
      <b/>
      <i/>
      <sz val="10"/>
      <name val="Times New Roman"/>
      <family val="1"/>
    </font>
    <font>
      <sz val="10"/>
      <name val="Times New Roman"/>
      <family val="1"/>
    </font>
    <font>
      <b/>
      <sz val="10"/>
      <color theme="1"/>
      <name val="Times New Roman"/>
      <family val="1"/>
    </font>
    <font>
      <b/>
      <sz val="10"/>
      <name val="Times New Roman"/>
      <family val="1"/>
    </font>
    <font>
      <i/>
      <sz val="10"/>
      <color theme="1"/>
      <name val="Times New Roman"/>
      <family val="1"/>
    </font>
    <font>
      <i/>
      <sz val="10"/>
      <name val="Times New Roman"/>
      <family val="1"/>
    </font>
    <font>
      <b/>
      <i/>
      <sz val="12"/>
      <name val="Times New Roman"/>
      <family val="1"/>
    </font>
    <font>
      <b/>
      <sz val="12"/>
      <name val="Times New Roman"/>
      <family val="1"/>
    </font>
    <font>
      <sz val="10"/>
      <name val="Arial"/>
      <family val="2"/>
      <charset val="163"/>
    </font>
    <font>
      <sz val="11"/>
      <color indexed="8"/>
      <name val="Calibri"/>
      <family val="2"/>
    </font>
    <font>
      <sz val="12"/>
      <name val="Times New Roman"/>
      <family val="1"/>
    </font>
    <font>
      <b/>
      <i/>
      <sz val="12"/>
      <color theme="1"/>
      <name val="Times New Roman"/>
      <family val="1"/>
    </font>
    <font>
      <sz val="10"/>
      <name val="Arial"/>
      <family val="2"/>
    </font>
    <font>
      <sz val="12"/>
      <color theme="1"/>
      <name val="Times New Roman"/>
      <family val="2"/>
    </font>
    <font>
      <sz val="10"/>
      <name val="Helv"/>
      <family val="2"/>
    </font>
    <font>
      <sz val="8"/>
      <name val="Arial"/>
      <family val="2"/>
      <scheme val="minor"/>
    </font>
    <font>
      <sz val="8"/>
      <name val="Times New Roman"/>
      <family val="1"/>
    </font>
    <font>
      <sz val="12"/>
      <color indexed="8"/>
      <name val="Times New Roman"/>
      <family val="2"/>
    </font>
    <font>
      <b/>
      <sz val="10"/>
      <color rgb="FFFF0000"/>
      <name val="Times New Roman"/>
      <family val="1"/>
    </font>
    <font>
      <sz val="10"/>
      <color rgb="FFFF0000"/>
      <name val="Times New Roman"/>
      <family val="1"/>
    </font>
    <font>
      <sz val="10"/>
      <color rgb="FF0070C0"/>
      <name val="Times New Roman"/>
      <family val="1"/>
    </font>
    <font>
      <b/>
      <sz val="10"/>
      <color rgb="FF0070C0"/>
      <name val="Times New Roman"/>
      <family val="1"/>
    </font>
    <font>
      <i/>
      <sz val="10"/>
      <color rgb="FF0070C0"/>
      <name val="Times New Roman"/>
      <family val="1"/>
    </font>
    <font>
      <sz val="11"/>
      <name val="Times New Roman"/>
      <family val="1"/>
    </font>
    <font>
      <b/>
      <u/>
      <sz val="10"/>
      <name val="Times New Roman"/>
      <family val="1"/>
    </font>
    <font>
      <i/>
      <sz val="8"/>
      <name val="Times New Roman"/>
      <family val="1"/>
    </font>
    <font>
      <b/>
      <sz val="8"/>
      <name val="Times New Roman"/>
      <family val="1"/>
    </font>
    <font>
      <b/>
      <sz val="11"/>
      <name val="Times New Roman"/>
      <family val="1"/>
    </font>
    <font>
      <sz val="11"/>
      <name val="Arial"/>
      <family val="2"/>
      <scheme val="minor"/>
    </font>
    <font>
      <b/>
      <sz val="10"/>
      <name val="Times New Roman"/>
      <family val="1"/>
      <charset val="163"/>
    </font>
    <font>
      <sz val="10"/>
      <name val="Times New Roman"/>
      <family val="1"/>
      <charset val="163"/>
    </font>
    <font>
      <i/>
      <sz val="10"/>
      <color indexed="8"/>
      <name val="Times New Roman"/>
      <family val="1"/>
    </font>
    <font>
      <sz val="12"/>
      <color rgb="FF0070C0"/>
      <name val="Times New Roman"/>
      <family val="1"/>
    </font>
    <font>
      <b/>
      <sz val="12"/>
      <color rgb="FF0070C0"/>
      <name val="Times New Roman"/>
      <family val="1"/>
    </font>
    <font>
      <b/>
      <i/>
      <sz val="10"/>
      <color rgb="FF0070C0"/>
      <name val="Times New Roman"/>
      <family val="1"/>
    </font>
    <font>
      <sz val="10"/>
      <name val="Times New Roman"/>
      <family val="1"/>
      <scheme val="major"/>
    </font>
    <font>
      <sz val="10"/>
      <color rgb="FF000000"/>
      <name val="Times New Roman"/>
      <family val="1"/>
    </font>
    <font>
      <sz val="11"/>
      <color rgb="FF0070C0"/>
      <name val="Arial"/>
      <family val="2"/>
      <scheme val="minor"/>
    </font>
    <font>
      <sz val="11"/>
      <color rgb="FF0070C0"/>
      <name val="Times New Roman"/>
      <family val="1"/>
    </font>
    <font>
      <b/>
      <sz val="11"/>
      <color rgb="FF0070C0"/>
      <name val="Times New Roman"/>
      <family val="1"/>
    </font>
    <font>
      <sz val="14"/>
      <color rgb="FF0070C0"/>
      <name val="Times New Roman"/>
      <family val="1"/>
    </font>
    <font>
      <sz val="10"/>
      <color rgb="FF0070C0"/>
      <name val="Times New Roman"/>
      <family val="1"/>
      <charset val="163"/>
    </font>
    <font>
      <sz val="10"/>
      <color rgb="FF0070C0"/>
      <name val="Arial"/>
      <family val="2"/>
      <scheme val="minor"/>
    </font>
    <font>
      <b/>
      <sz val="11"/>
      <color rgb="FF0070C0"/>
      <name val="Arial"/>
      <family val="2"/>
      <scheme val="minor"/>
    </font>
    <font>
      <sz val="10"/>
      <color rgb="FF0070C0"/>
      <name val="Arial"/>
      <family val="2"/>
    </font>
    <font>
      <i/>
      <sz val="10"/>
      <color rgb="FF0070C0"/>
      <name val="Arial"/>
      <family val="2"/>
    </font>
    <font>
      <b/>
      <sz val="11"/>
      <name val="Arial"/>
      <family val="2"/>
      <scheme val="minor"/>
    </font>
    <font>
      <i/>
      <sz val="11"/>
      <color rgb="FF0070C0"/>
      <name val="Arial"/>
      <family val="2"/>
      <scheme val="minor"/>
    </font>
    <font>
      <u/>
      <sz val="10"/>
      <name val="Times New Roman"/>
      <family val="1"/>
    </font>
    <font>
      <b/>
      <sz val="10.5"/>
      <color rgb="FF0070C0"/>
      <name val="Arial"/>
      <family val="2"/>
    </font>
    <font>
      <sz val="10"/>
      <color theme="0"/>
      <name val="Times New Roman"/>
      <family val="1"/>
    </font>
    <font>
      <i/>
      <sz val="10"/>
      <color theme="0"/>
      <name val="Times New Roman"/>
      <family val="1"/>
    </font>
    <font>
      <b/>
      <sz val="10"/>
      <color theme="0"/>
      <name val="Times New Roman"/>
      <family val="1"/>
    </font>
    <font>
      <sz val="9"/>
      <name val="Times New Roman"/>
      <family val="1"/>
    </font>
    <font>
      <b/>
      <vertAlign val="superscript"/>
      <sz val="10"/>
      <name val="Times New Roman"/>
      <family val="1"/>
    </font>
    <font>
      <i/>
      <sz val="11"/>
      <name val="Times New Roman"/>
      <family val="1"/>
    </font>
    <font>
      <sz val="14"/>
      <name val="Times New Roman"/>
      <family val="1"/>
    </font>
    <font>
      <sz val="7"/>
      <name val="Times New Roman"/>
      <family val="1"/>
    </font>
    <font>
      <b/>
      <sz val="7"/>
      <name val="Times New Roman"/>
      <family val="1"/>
    </font>
    <font>
      <b/>
      <sz val="11"/>
      <color theme="1"/>
      <name val="Times New Roman"/>
      <family val="1"/>
    </font>
    <font>
      <i/>
      <sz val="12"/>
      <color theme="1"/>
      <name val="Times New Roman"/>
      <family val="1"/>
    </font>
    <font>
      <b/>
      <i/>
      <sz val="14"/>
      <name val="Times New Roman"/>
      <family val="1"/>
    </font>
    <font>
      <sz val="12"/>
      <color theme="1"/>
      <name val="Times New Roman"/>
      <family val="1"/>
    </font>
    <font>
      <sz val="12"/>
      <name val="VNI-Times"/>
    </font>
    <font>
      <sz val="12"/>
      <name val=".VnTime"/>
      <family val="2"/>
    </font>
    <font>
      <sz val="12"/>
      <name val=".VnTime"/>
      <family val="2"/>
    </font>
    <font>
      <sz val="10"/>
      <color indexed="8"/>
      <name val="MS Sans Serif"/>
      <family val="2"/>
    </font>
    <font>
      <sz val="12"/>
      <name val="돋움체"/>
      <family val="3"/>
      <charset val="129"/>
    </font>
    <font>
      <b/>
      <sz val="10"/>
      <name val="SVNtimes new roman"/>
      <family val="2"/>
      <charset val="1"/>
    </font>
    <font>
      <b/>
      <sz val="10"/>
      <name val="SVNtimes new roman"/>
      <family val="2"/>
    </font>
    <font>
      <sz val="12"/>
      <name val="VNtimes new roman"/>
      <family val="2"/>
    </font>
    <font>
      <sz val="12"/>
      <name val="VNtimes new roman"/>
      <family val="2"/>
    </font>
    <font>
      <sz val="10"/>
      <name val=".VnTime"/>
      <family val="2"/>
    </font>
    <font>
      <sz val="10"/>
      <name val=".VnTime"/>
      <family val="2"/>
    </font>
    <font>
      <sz val="10"/>
      <name val="VNI-Times"/>
    </font>
    <font>
      <sz val="10"/>
      <name val="?? ??"/>
      <family val="1"/>
      <charset val="136"/>
    </font>
    <font>
      <sz val="10"/>
      <name val=".VnArial"/>
      <family val="2"/>
    </font>
    <font>
      <sz val="10"/>
      <name val="Arial"/>
      <family val="2"/>
      <charset val="1"/>
    </font>
    <font>
      <sz val="12"/>
      <name val=".VnArial"/>
      <family val="2"/>
    </font>
    <font>
      <sz val="10"/>
      <name val="??"/>
      <family val="3"/>
      <charset val="129"/>
    </font>
    <font>
      <sz val="12"/>
      <name val="??"/>
      <family val="1"/>
    </font>
    <font>
      <sz val="12"/>
      <name val="????"/>
      <family val="1"/>
      <charset val="136"/>
    </font>
    <font>
      <sz val="12"/>
      <name val="Courier"/>
      <family val="3"/>
    </font>
    <font>
      <sz val="10"/>
      <name val="AngsanaUPC"/>
      <family val="1"/>
    </font>
    <font>
      <sz val="10"/>
      <name val="Mangal"/>
      <family val="2"/>
    </font>
    <font>
      <sz val="12"/>
      <name val="|??¢¥¢¬¨Ï"/>
      <family val="1"/>
      <charset val="129"/>
    </font>
    <font>
      <sz val="12"/>
      <name val="|??´¸ⓒ"/>
      <family val="1"/>
      <charset val="129"/>
    </font>
    <font>
      <sz val="12"/>
      <name val=".VnTime"/>
      <family val="2"/>
      <charset val="1"/>
    </font>
    <font>
      <sz val="10"/>
      <name val=".VnTime"/>
      <family val="2"/>
      <charset val="1"/>
    </font>
    <font>
      <sz val="10"/>
      <name val="MS Sans Serif"/>
      <family val="2"/>
    </font>
    <font>
      <sz val="10"/>
      <name val="MS Sans Serif"/>
      <family val="2"/>
      <charset val="1"/>
    </font>
    <font>
      <sz val="10"/>
      <color indexed="8"/>
      <name val="Arial"/>
      <family val="2"/>
    </font>
    <font>
      <sz val="13"/>
      <name val=".VnTime"/>
      <family val="2"/>
      <charset val="1"/>
    </font>
    <font>
      <sz val="13"/>
      <name val=".VnTime"/>
      <family val="2"/>
    </font>
    <font>
      <sz val="10"/>
      <color indexed="8"/>
      <name val="Arial"/>
      <family val="2"/>
      <charset val="1"/>
    </font>
    <font>
      <sz val="12"/>
      <name val="???"/>
    </font>
    <font>
      <sz val="12"/>
      <name val="???"/>
      <family val="2"/>
    </font>
    <font>
      <sz val="11"/>
      <name val="‚l‚r ‚oƒSƒVƒbƒN"/>
      <family val="3"/>
      <charset val="128"/>
    </font>
    <font>
      <sz val="11"/>
      <name val="–¾’©"/>
      <family val="1"/>
      <charset val="128"/>
    </font>
    <font>
      <sz val="14"/>
      <name val="Terminal"/>
      <family val="3"/>
      <charset val="128"/>
    </font>
    <font>
      <sz val="14"/>
      <name val="VnTime"/>
    </font>
    <font>
      <sz val="14"/>
      <name val="VnTime"/>
      <family val="2"/>
    </font>
    <font>
      <sz val="13"/>
      <name val="Tms Rmn"/>
      <family val="1"/>
    </font>
    <font>
      <sz val="14"/>
      <name val="VnTime"/>
      <family val="2"/>
      <charset val="1"/>
    </font>
    <font>
      <b/>
      <u/>
      <sz val="14"/>
      <color indexed="8"/>
      <name val=".VnBook-AntiquaH"/>
      <family val="2"/>
    </font>
    <font>
      <b/>
      <u/>
      <sz val="14"/>
      <color indexed="8"/>
      <name val=".VnBook-AntiquaH"/>
      <family val="2"/>
      <charset val="1"/>
    </font>
    <font>
      <sz val="11"/>
      <name val=".VnTime"/>
      <family val="2"/>
    </font>
    <font>
      <sz val="11"/>
      <name val=".VnTime"/>
      <family val="2"/>
    </font>
    <font>
      <b/>
      <u/>
      <sz val="10"/>
      <name val="VNI-Times"/>
    </font>
    <font>
      <b/>
      <sz val="10"/>
      <name val=".VnArial"/>
      <family val="2"/>
    </font>
    <font>
      <sz val="10"/>
      <name val="VnTimes"/>
      <family val="2"/>
      <charset val="1"/>
    </font>
    <font>
      <sz val="10"/>
      <name val="VnTimes"/>
      <family val="2"/>
    </font>
    <font>
      <sz val="12"/>
      <color indexed="10"/>
      <name val=".VnArial Narrow"/>
      <family val="2"/>
    </font>
    <font>
      <sz val="12"/>
      <color indexed="8"/>
      <name val="¹ÙÅÁÃ¼"/>
      <family val="1"/>
      <charset val="129"/>
    </font>
    <font>
      <i/>
      <sz val="12"/>
      <color indexed="8"/>
      <name val=".VnBook-AntiquaH"/>
      <family val="2"/>
    </font>
    <font>
      <i/>
      <sz val="12"/>
      <color indexed="8"/>
      <name val=".VnBook-AntiquaH"/>
      <family val="2"/>
      <charset val="1"/>
    </font>
    <font>
      <sz val="12"/>
      <color indexed="8"/>
      <name val="Times New Roman"/>
      <family val="1"/>
    </font>
    <font>
      <sz val="11"/>
      <color indexed="8"/>
      <name val="Arial"/>
      <family val="2"/>
      <charset val="163"/>
    </font>
    <font>
      <b/>
      <sz val="12"/>
      <color indexed="8"/>
      <name val=".VnBook-Antiqua"/>
      <family val="2"/>
    </font>
    <font>
      <b/>
      <sz val="12"/>
      <color indexed="8"/>
      <name val=".VnBook-Antiqua"/>
      <family val="2"/>
      <charset val="1"/>
    </font>
    <font>
      <i/>
      <sz val="12"/>
      <color indexed="8"/>
      <name val=".VnBook-Antiqua"/>
      <family val="2"/>
    </font>
    <font>
      <sz val="14"/>
      <name val=".VnTimeH"/>
      <family val="2"/>
    </font>
    <font>
      <sz val="11"/>
      <color indexed="9"/>
      <name val="Calibri"/>
      <family val="2"/>
    </font>
    <font>
      <sz val="12"/>
      <color indexed="9"/>
      <name val="Times New Roman"/>
      <family val="1"/>
    </font>
    <font>
      <sz val="11"/>
      <color indexed="9"/>
      <name val="Arial"/>
      <family val="2"/>
      <charset val="163"/>
    </font>
    <font>
      <sz val="14"/>
      <name val=".VnTime"/>
      <family val="2"/>
    </font>
    <font>
      <sz val="14"/>
      <name val=".VnTime"/>
      <family val="2"/>
    </font>
    <font>
      <sz val="11"/>
      <name val="VNtimes new roman"/>
      <family val="2"/>
      <charset val="1"/>
    </font>
    <font>
      <sz val="11"/>
      <name val="VNtimes new roman"/>
      <family val="2"/>
    </font>
    <font>
      <sz val="11"/>
      <color indexed="8"/>
      <name val=".VnTime"/>
      <family val="2"/>
    </font>
    <font>
      <sz val="11"/>
      <color indexed="9"/>
      <name val=".VnTime"/>
      <family val="2"/>
    </font>
    <font>
      <sz val="8"/>
      <name val="Arial"/>
      <family val="2"/>
    </font>
    <font>
      <sz val="14"/>
      <name val="VNI-Times"/>
    </font>
    <font>
      <sz val="12"/>
      <name val="¹UAAA¼"/>
      <family val="3"/>
      <charset val="129"/>
    </font>
    <font>
      <sz val="11"/>
      <name val="VNI-Times"/>
    </font>
    <font>
      <b/>
      <sz val="12"/>
      <color indexed="63"/>
      <name val="VNI-Times"/>
    </font>
    <font>
      <sz val="12"/>
      <name val="¹ÙÅÁÃ¼"/>
      <charset val="129"/>
    </font>
    <font>
      <sz val="11"/>
      <color indexed="20"/>
      <name val="Calibri"/>
      <family val="2"/>
    </font>
    <font>
      <sz val="12"/>
      <color indexed="20"/>
      <name val="Times New Roman"/>
      <family val="1"/>
    </font>
    <font>
      <sz val="11"/>
      <color indexed="20"/>
      <name val="Arial"/>
      <family val="2"/>
      <charset val="163"/>
    </font>
    <font>
      <b/>
      <i/>
      <sz val="14"/>
      <name val="VNTime"/>
      <family val="2"/>
      <charset val="1"/>
    </font>
    <font>
      <b/>
      <i/>
      <sz val="14"/>
      <name val="VNTime"/>
      <family val="2"/>
    </font>
    <font>
      <sz val="12"/>
      <name val="Tms Rmn"/>
    </font>
    <font>
      <sz val="12"/>
      <name val="Tms Rmn"/>
      <family val="1"/>
    </font>
    <font>
      <sz val="13"/>
      <name val=".VnTime"/>
      <family val="2"/>
    </font>
    <font>
      <sz val="11"/>
      <name val="µ¸¿ò"/>
      <charset val="129"/>
    </font>
    <font>
      <sz val="12"/>
      <name val="System"/>
      <family val="1"/>
      <charset val="129"/>
    </font>
    <font>
      <sz val="10"/>
      <name val="±¼¸²A¼"/>
      <family val="3"/>
      <charset val="129"/>
    </font>
    <font>
      <sz val="12"/>
      <name val="¹ÙÅÁÃ¼"/>
      <family val="1"/>
      <charset val="129"/>
    </font>
    <font>
      <sz val="10"/>
      <name val="MS Sans Serif"/>
      <family val="2"/>
    </font>
    <font>
      <sz val="10"/>
      <name val="Helv"/>
    </font>
    <font>
      <b/>
      <sz val="11"/>
      <color indexed="52"/>
      <name val="Calibri"/>
      <family val="2"/>
    </font>
    <font>
      <b/>
      <sz val="12"/>
      <color indexed="52"/>
      <name val="Times New Roman"/>
      <family val="1"/>
    </font>
    <font>
      <b/>
      <sz val="11"/>
      <color indexed="52"/>
      <name val="Arial"/>
      <family val="2"/>
      <charset val="163"/>
    </font>
    <font>
      <b/>
      <sz val="10"/>
      <name val="Helv"/>
    </font>
    <font>
      <b/>
      <sz val="10"/>
      <name val="Helv"/>
      <family val="2"/>
    </font>
    <font>
      <b/>
      <sz val="8"/>
      <color indexed="12"/>
      <name val="Arial"/>
      <family val="2"/>
      <charset val="1"/>
    </font>
    <font>
      <b/>
      <sz val="8"/>
      <color indexed="12"/>
      <name val="Arial"/>
      <family val="2"/>
    </font>
    <font>
      <sz val="8"/>
      <color indexed="8"/>
      <name val="Arial"/>
      <family val="2"/>
      <charset val="1"/>
    </font>
    <font>
      <sz val="8"/>
      <color indexed="8"/>
      <name val="Arial"/>
      <family val="2"/>
    </font>
    <font>
      <b/>
      <sz val="9"/>
      <name val="VNI-Times"/>
    </font>
    <font>
      <sz val="8"/>
      <name val="SVNtimes new roman"/>
      <family val="2"/>
      <charset val="1"/>
    </font>
    <font>
      <sz val="8"/>
      <name val="SVNtimes new roman"/>
      <family val="2"/>
    </font>
    <font>
      <b/>
      <sz val="11"/>
      <color indexed="9"/>
      <name val="Calibri"/>
      <family val="2"/>
    </font>
    <font>
      <b/>
      <sz val="12"/>
      <color indexed="9"/>
      <name val="Times New Roman"/>
      <family val="1"/>
    </font>
    <font>
      <b/>
      <sz val="11"/>
      <color indexed="9"/>
      <name val="Arial"/>
      <family val="2"/>
      <charset val="163"/>
    </font>
    <font>
      <sz val="10"/>
      <name val=".VnArial"/>
      <family val="2"/>
    </font>
    <font>
      <sz val="10"/>
      <name val="VNI-Aptima"/>
    </font>
    <font>
      <b/>
      <sz val="13"/>
      <name val="Times New Roman"/>
      <family val="1"/>
      <charset val="1"/>
    </font>
    <font>
      <b/>
      <sz val="13"/>
      <name val="Tms Rmn"/>
      <family val="1"/>
    </font>
    <font>
      <b/>
      <sz val="10"/>
      <name val="Arial"/>
      <family val="2"/>
    </font>
    <font>
      <sz val="11"/>
      <name val="Tms Rmn"/>
    </font>
    <font>
      <sz val="11"/>
      <name val="Tms Rmn"/>
      <family val="1"/>
    </font>
    <font>
      <sz val="10"/>
      <color indexed="8"/>
      <name val="Times New Roman"/>
      <family val="2"/>
    </font>
    <font>
      <sz val="11"/>
      <name val="UVnTime"/>
    </font>
    <font>
      <sz val="10"/>
      <name val="Mangal"/>
      <family val="2"/>
      <charset val="1"/>
    </font>
    <font>
      <sz val="12"/>
      <name val="Times New Roman"/>
      <family val="1"/>
      <charset val="163"/>
    </font>
    <font>
      <sz val="12"/>
      <name val="VNI-Aptima"/>
    </font>
    <font>
      <b/>
      <sz val="12"/>
      <name val="VNTime"/>
      <family val="2"/>
    </font>
    <font>
      <sz val="10"/>
      <name val="MS Serif"/>
      <family val="1"/>
    </font>
    <font>
      <sz val="10"/>
      <name val="MS Serif"/>
      <family val="1"/>
    </font>
    <font>
      <sz val="10"/>
      <name val="Courier New"/>
      <family val="3"/>
      <charset val="1"/>
    </font>
    <font>
      <sz val="10"/>
      <name val="Courier"/>
      <family val="3"/>
    </font>
    <font>
      <sz val="11"/>
      <name val="VNtimes new roman"/>
      <family val="2"/>
    </font>
    <font>
      <sz val="11"/>
      <name val="VNcentury Gothic"/>
      <family val="2"/>
      <charset val="1"/>
    </font>
    <font>
      <sz val="11"/>
      <name val="VNcentury Gothic"/>
      <family val="2"/>
    </font>
    <font>
      <sz val="11"/>
      <name val="VNcentury Gothic"/>
    </font>
    <font>
      <b/>
      <sz val="15"/>
      <name val="VNcentury Gothic"/>
      <family val="2"/>
      <charset val="1"/>
    </font>
    <font>
      <b/>
      <sz val="15"/>
      <name val="VNcentury Gothic"/>
      <family val="2"/>
    </font>
    <font>
      <b/>
      <sz val="15"/>
      <name val="VNcentury Gothic"/>
    </font>
    <font>
      <sz val="12"/>
      <name val="SVNtimes new roman"/>
      <family val="2"/>
      <charset val="1"/>
    </font>
    <font>
      <sz val="12"/>
      <name val="SVNtimes new roman"/>
      <family val="2"/>
    </font>
    <font>
      <sz val="10"/>
      <name val="SVNtimes new roman"/>
      <family val="2"/>
      <charset val="1"/>
    </font>
    <font>
      <sz val="10"/>
      <name val="SVNtimes new roman"/>
      <family val="2"/>
    </font>
    <font>
      <b/>
      <sz val="12"/>
      <name val="VNTimeH"/>
      <family val="2"/>
    </font>
    <font>
      <sz val="10"/>
      <name val="Arial CE"/>
      <charset val="238"/>
    </font>
    <font>
      <sz val="10"/>
      <name val="Arial CE"/>
      <family val="2"/>
      <charset val="238"/>
    </font>
    <font>
      <sz val="12"/>
      <name val="Times New Roman"/>
      <family val="1"/>
      <charset val="1"/>
    </font>
    <font>
      <b/>
      <sz val="11"/>
      <color indexed="8"/>
      <name val=".VnTime"/>
      <family val="2"/>
    </font>
    <font>
      <sz val="10"/>
      <color indexed="16"/>
      <name val="MS Serif"/>
      <family val="1"/>
    </font>
    <font>
      <sz val="10"/>
      <color indexed="16"/>
      <name val="MS Serif"/>
      <family val="1"/>
    </font>
    <font>
      <sz val="10"/>
      <name val="VNI-Helve-Condense"/>
    </font>
    <font>
      <i/>
      <sz val="11"/>
      <color indexed="23"/>
      <name val="Calibri"/>
      <family val="2"/>
    </font>
    <font>
      <i/>
      <sz val="12"/>
      <color indexed="23"/>
      <name val="Times New Roman"/>
      <family val="1"/>
    </font>
    <font>
      <i/>
      <sz val="11"/>
      <color indexed="23"/>
      <name val="Arial"/>
      <family val="2"/>
      <charset val="163"/>
    </font>
    <font>
      <sz val="8"/>
      <color indexed="24"/>
      <name val="Times New Roman"/>
      <family val="1"/>
      <charset val="1"/>
    </font>
    <font>
      <sz val="8"/>
      <color indexed="24"/>
      <name val="Times New Roman"/>
      <family val="1"/>
    </font>
    <font>
      <i/>
      <sz val="12"/>
      <color indexed="24"/>
      <name val="Times New Roman"/>
      <family val="1"/>
      <charset val="1"/>
    </font>
    <font>
      <i/>
      <sz val="12"/>
      <color indexed="24"/>
      <name val="Times New Roman"/>
      <family val="1"/>
    </font>
    <font>
      <sz val="12"/>
      <color indexed="24"/>
      <name val="Arial"/>
      <family val="2"/>
      <charset val="1"/>
    </font>
    <font>
      <sz val="12"/>
      <color indexed="24"/>
      <name val="Arial"/>
      <family val="2"/>
    </font>
    <font>
      <sz val="12"/>
      <color indexed="24"/>
      <name val="Times New Roman"/>
      <family val="1"/>
    </font>
    <font>
      <sz val="8"/>
      <color indexed="24"/>
      <name val="Arial"/>
      <family val="2"/>
      <charset val="1"/>
    </font>
    <font>
      <sz val="8"/>
      <color indexed="24"/>
      <name val="Arial"/>
      <family val="2"/>
    </font>
    <font>
      <i/>
      <sz val="12"/>
      <color indexed="24"/>
      <name val="Arial"/>
      <family val="2"/>
      <charset val="1"/>
    </font>
    <font>
      <i/>
      <sz val="12"/>
      <color indexed="24"/>
      <name val="Arial"/>
      <family val="2"/>
    </font>
    <font>
      <sz val="12"/>
      <name val="VNTime"/>
      <family val="2"/>
    </font>
    <font>
      <sz val="11"/>
      <color indexed="17"/>
      <name val="Calibri"/>
      <family val="2"/>
    </font>
    <font>
      <sz val="12"/>
      <color indexed="17"/>
      <name val="Times New Roman"/>
      <family val="1"/>
    </font>
    <font>
      <sz val="11"/>
      <color indexed="17"/>
      <name val="Arial"/>
      <family val="2"/>
      <charset val="163"/>
    </font>
    <font>
      <sz val="10"/>
      <name val=".VnArialH"/>
      <family val="2"/>
    </font>
    <font>
      <sz val="10"/>
      <name val=".VnArialH"/>
      <family val="2"/>
      <charset val="1"/>
    </font>
    <font>
      <b/>
      <sz val="12"/>
      <name val=".VnBook-AntiquaH"/>
      <family val="2"/>
    </font>
    <font>
      <b/>
      <sz val="12"/>
      <color indexed="9"/>
      <name val="Tms Rmn"/>
    </font>
    <font>
      <b/>
      <sz val="12"/>
      <color indexed="9"/>
      <name val="Tms Rmn"/>
      <family val="1"/>
    </font>
    <font>
      <b/>
      <sz val="12"/>
      <name val="Helv"/>
    </font>
    <font>
      <b/>
      <sz val="12"/>
      <name val="Helv"/>
      <family val="2"/>
    </font>
    <font>
      <b/>
      <sz val="12"/>
      <name val="Arial"/>
      <family val="2"/>
    </font>
    <font>
      <b/>
      <sz val="12"/>
      <name val="Tahoma"/>
      <family val="2"/>
    </font>
    <font>
      <b/>
      <sz val="15"/>
      <color indexed="56"/>
      <name val="Calibri"/>
      <family val="2"/>
    </font>
    <font>
      <b/>
      <sz val="15"/>
      <color indexed="56"/>
      <name val="Times New Roman"/>
      <family val="1"/>
    </font>
    <font>
      <b/>
      <sz val="18"/>
      <name val="Arial"/>
      <family val="2"/>
    </font>
    <font>
      <b/>
      <sz val="13"/>
      <color indexed="56"/>
      <name val="Calibri"/>
      <family val="2"/>
    </font>
    <font>
      <b/>
      <sz val="13"/>
      <color indexed="56"/>
      <name val="Times New Roman"/>
      <family val="1"/>
    </font>
    <font>
      <b/>
      <sz val="11"/>
      <color indexed="56"/>
      <name val="Calibri"/>
      <family val="2"/>
    </font>
    <font>
      <b/>
      <sz val="11"/>
      <color indexed="56"/>
      <name val="Times New Roman"/>
      <family val="1"/>
    </font>
    <font>
      <b/>
      <sz val="11"/>
      <color indexed="56"/>
      <name val="Arial"/>
      <family val="2"/>
      <charset val="163"/>
    </font>
    <font>
      <b/>
      <sz val="1"/>
      <color indexed="8"/>
      <name val="Courier New"/>
      <family val="3"/>
      <charset val="1"/>
    </font>
    <font>
      <b/>
      <sz val="8"/>
      <name val="MS Sans Serif"/>
      <family val="2"/>
    </font>
    <font>
      <b/>
      <sz val="8"/>
      <name val="MS Sans Serif"/>
      <family val="2"/>
    </font>
    <font>
      <b/>
      <sz val="10"/>
      <name val=".VnTime"/>
      <family val="2"/>
    </font>
    <font>
      <b/>
      <sz val="14"/>
      <name val=".VnTimeH"/>
      <family val="2"/>
    </font>
    <font>
      <sz val="12"/>
      <name val="±¼¸²Ã¼"/>
      <family val="3"/>
      <charset val="129"/>
    </font>
    <font>
      <sz val="10"/>
      <name val="Tahoma"/>
      <family val="2"/>
      <charset val="1"/>
    </font>
    <font>
      <sz val="10"/>
      <name val="Tahoma"/>
      <family val="2"/>
    </font>
    <font>
      <sz val="11"/>
      <color indexed="62"/>
      <name val="Calibri"/>
      <family val="2"/>
    </font>
    <font>
      <sz val="12"/>
      <color indexed="62"/>
      <name val="Times New Roman"/>
      <family val="1"/>
    </font>
    <font>
      <sz val="11"/>
      <color indexed="62"/>
      <name val="Arial"/>
      <family val="2"/>
      <charset val="163"/>
    </font>
    <font>
      <sz val="10"/>
      <name val="VNI-Helve"/>
    </font>
    <font>
      <u/>
      <sz val="10"/>
      <color indexed="12"/>
      <name val=".VnTime"/>
      <family val="2"/>
    </font>
    <font>
      <u/>
      <sz val="10"/>
      <color indexed="12"/>
      <name val=".VnTime"/>
      <family val="2"/>
    </font>
    <font>
      <u/>
      <sz val="12"/>
      <color indexed="12"/>
      <name val=".VnTime"/>
      <family val="2"/>
    </font>
    <font>
      <u/>
      <sz val="12"/>
      <color indexed="12"/>
      <name val=".VnTime"/>
      <family val="2"/>
    </font>
    <font>
      <u/>
      <sz val="12"/>
      <color indexed="12"/>
      <name val="Arial"/>
      <family val="2"/>
    </font>
    <font>
      <sz val="12"/>
      <name val="Arial"/>
      <family val="2"/>
    </font>
    <font>
      <sz val="13"/>
      <name val="Times New Roman"/>
      <family val="1"/>
    </font>
    <font>
      <sz val="11"/>
      <color indexed="52"/>
      <name val="Calibri"/>
      <family val="2"/>
    </font>
    <font>
      <sz val="12"/>
      <color indexed="52"/>
      <name val="Times New Roman"/>
      <family val="1"/>
    </font>
    <font>
      <sz val="11"/>
      <color indexed="52"/>
      <name val="Arial"/>
      <family val="2"/>
      <charset val="163"/>
    </font>
    <font>
      <i/>
      <sz val="10"/>
      <name val=".VnTime"/>
      <family val="2"/>
    </font>
    <font>
      <sz val="8"/>
      <name val="VNarial"/>
      <family val="2"/>
    </font>
    <font>
      <b/>
      <i/>
      <sz val="12"/>
      <name val=".VnAristote"/>
      <family val="2"/>
      <charset val="1"/>
    </font>
    <font>
      <b/>
      <i/>
      <sz val="12"/>
      <name val=".VnAristote"/>
      <family val="2"/>
    </font>
    <font>
      <b/>
      <sz val="11"/>
      <name val="Helv"/>
    </font>
    <font>
      <b/>
      <sz val="11"/>
      <name val="Helv"/>
      <family val="2"/>
    </font>
    <font>
      <sz val="10"/>
      <name val=".VnAvant"/>
      <family val="2"/>
    </font>
    <font>
      <sz val="11"/>
      <color indexed="60"/>
      <name val="Calibri"/>
      <family val="2"/>
    </font>
    <font>
      <sz val="12"/>
      <color indexed="60"/>
      <name val="Times New Roman"/>
      <family val="1"/>
    </font>
    <font>
      <sz val="11"/>
      <color indexed="60"/>
      <name val="Arial"/>
      <family val="2"/>
      <charset val="163"/>
    </font>
    <font>
      <sz val="7"/>
      <name val="Small Fonts"/>
      <family val="2"/>
    </font>
    <font>
      <sz val="7"/>
      <name val="Small Fonts"/>
      <family val="2"/>
    </font>
    <font>
      <b/>
      <sz val="12"/>
      <name val="VN-NTime"/>
    </font>
    <font>
      <b/>
      <i/>
      <sz val="16"/>
      <name val="Helv"/>
    </font>
    <font>
      <sz val="12"/>
      <name val="바탕체"/>
      <family val="1"/>
      <charset val="129"/>
    </font>
    <font>
      <sz val="11"/>
      <color theme="1"/>
      <name val="Calibri"/>
      <family val="2"/>
    </font>
    <font>
      <sz val="9"/>
      <name val="Arial"/>
      <family val="2"/>
    </font>
    <font>
      <sz val="12"/>
      <color theme="1"/>
      <name val="Times New Roman"/>
      <family val="2"/>
      <charset val="163"/>
    </font>
    <font>
      <sz val="11"/>
      <color indexed="8"/>
      <name val="Helvetica Neue"/>
    </font>
    <font>
      <sz val="10"/>
      <color rgb="FF000000"/>
      <name val="Arial"/>
      <family val="2"/>
    </font>
    <font>
      <sz val="11"/>
      <color indexed="8"/>
      <name val="Calibri"/>
      <family val="2"/>
      <charset val="163"/>
    </font>
    <font>
      <sz val="11"/>
      <name val="VNI-Aptima"/>
    </font>
    <font>
      <b/>
      <sz val="11"/>
      <name val="Arial"/>
      <family val="2"/>
    </font>
    <font>
      <b/>
      <sz val="11"/>
      <color indexed="63"/>
      <name val="Calibri"/>
      <family val="2"/>
    </font>
    <font>
      <b/>
      <sz val="12"/>
      <color indexed="63"/>
      <name val="Times New Roman"/>
      <family val="1"/>
    </font>
    <font>
      <b/>
      <sz val="11"/>
      <color indexed="63"/>
      <name val="Arial"/>
      <family val="2"/>
      <charset val="163"/>
    </font>
    <font>
      <sz val="14"/>
      <name val=".VnArial Narrow"/>
      <family val="2"/>
    </font>
    <font>
      <sz val="12"/>
      <color indexed="8"/>
      <name val="Times New Roman"/>
      <family val="1"/>
      <charset val="1"/>
    </font>
    <font>
      <sz val="12"/>
      <name val="Helv"/>
    </font>
    <font>
      <sz val="10"/>
      <name val="Tms Rmn"/>
      <family val="1"/>
    </font>
    <font>
      <b/>
      <sz val="10"/>
      <name val="MS Sans Serif"/>
      <family val="2"/>
    </font>
    <font>
      <b/>
      <sz val="10"/>
      <name val="MS Sans Serif"/>
      <family val="2"/>
    </font>
    <font>
      <sz val="8"/>
      <name val="Wingdings"/>
      <charset val="2"/>
    </font>
    <font>
      <sz val="8"/>
      <name val="Helv"/>
    </font>
    <font>
      <sz val="8"/>
      <name val="Helv"/>
      <family val="2"/>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sz val="11"/>
      <name val="3C_Times_T"/>
    </font>
    <font>
      <b/>
      <sz val="18"/>
      <color indexed="62"/>
      <name val="Cambria"/>
      <family val="2"/>
    </font>
    <font>
      <u/>
      <sz val="10.199999999999999"/>
      <color indexed="12"/>
      <name val=".VnTime"/>
      <family val="2"/>
      <charset val="1"/>
    </font>
    <font>
      <b/>
      <sz val="12"/>
      <name val="宋体"/>
      <charset val="134"/>
    </font>
    <font>
      <sz val="8"/>
      <name val="MS Sans Serif"/>
      <family val="2"/>
    </font>
    <font>
      <sz val="8"/>
      <name val="MS Sans Serif"/>
      <family val="2"/>
    </font>
    <font>
      <b/>
      <sz val="10.5"/>
      <name val=".VnAvantH"/>
      <family val="2"/>
    </font>
    <font>
      <sz val="10"/>
      <name val="VNbook-Antiqua"/>
    </font>
    <font>
      <sz val="10"/>
      <name val="VNbook-Antiqua"/>
      <family val="2"/>
    </font>
    <font>
      <sz val="11"/>
      <color indexed="32"/>
      <name val="VNI-Times"/>
    </font>
    <font>
      <b/>
      <sz val="10"/>
      <name val="Tahoma"/>
      <family val="2"/>
      <charset val="1"/>
    </font>
    <font>
      <b/>
      <sz val="10"/>
      <name val="Tahoma"/>
      <family val="2"/>
    </font>
    <font>
      <b/>
      <sz val="8"/>
      <color indexed="8"/>
      <name val="Helv"/>
    </font>
    <font>
      <b/>
      <sz val="8"/>
      <color indexed="8"/>
      <name val="Helv"/>
      <family val="2"/>
    </font>
    <font>
      <sz val="10"/>
      <name val="Symbol"/>
      <family val="1"/>
      <charset val="2"/>
    </font>
    <font>
      <sz val="13"/>
      <name val=".VnArial"/>
      <family val="2"/>
      <charset val="1"/>
    </font>
    <font>
      <sz val="13"/>
      <name val=".VnArial"/>
      <family val="2"/>
    </font>
    <font>
      <sz val="13"/>
      <name val=".VnArial"/>
      <family val="2"/>
    </font>
    <font>
      <sz val="10"/>
      <name val="VNI-Times"/>
      <family val="2"/>
    </font>
    <font>
      <b/>
      <sz val="10"/>
      <name val="VNI-Univer"/>
    </font>
    <font>
      <sz val="10"/>
      <name val=".VnBook-Antiqua"/>
      <family val="2"/>
    </font>
    <font>
      <sz val="10"/>
      <name val=".VnBook-Antiqua"/>
      <family val="2"/>
    </font>
    <font>
      <b/>
      <sz val="12"/>
      <name val="VNI-Cooper"/>
    </font>
    <font>
      <b/>
      <sz val="12"/>
      <name val="VNI-Times"/>
    </font>
    <font>
      <sz val="12"/>
      <name val="VNTime"/>
    </font>
    <font>
      <sz val="11"/>
      <name val=".VnAvant"/>
      <family val="2"/>
    </font>
    <font>
      <b/>
      <sz val="13"/>
      <color indexed="8"/>
      <name val=".VnTimeH"/>
      <family val="2"/>
    </font>
    <font>
      <sz val="14"/>
      <name val=".Vn3DH"/>
      <family val="2"/>
    </font>
    <font>
      <b/>
      <sz val="12"/>
      <name val=".VnTime"/>
      <family val="2"/>
    </font>
    <font>
      <b/>
      <u val="double"/>
      <sz val="12"/>
      <color indexed="12"/>
      <name val=".VnBahamasB"/>
      <family val="2"/>
    </font>
    <font>
      <b/>
      <i/>
      <u/>
      <sz val="12"/>
      <name val=".VnTimeH"/>
      <family val="2"/>
    </font>
    <font>
      <sz val="10"/>
      <name val=".VnArial Narrow"/>
      <family val="2"/>
    </font>
    <font>
      <sz val="9.5"/>
      <name val=".VnBlackH"/>
      <family val="2"/>
    </font>
    <font>
      <b/>
      <sz val="10"/>
      <name val=".VnBahamasBH"/>
      <family val="2"/>
    </font>
    <font>
      <b/>
      <sz val="11"/>
      <name val=".VnArialH"/>
      <family val="2"/>
    </font>
    <font>
      <b/>
      <sz val="18"/>
      <color indexed="56"/>
      <name val="Cambria"/>
      <family val="2"/>
    </font>
    <font>
      <b/>
      <sz val="18"/>
      <color indexed="56"/>
      <name val="Times New Roman"/>
      <family val="2"/>
      <charset val="163"/>
    </font>
    <font>
      <sz val="8"/>
      <name val="VNI-Helve"/>
    </font>
    <font>
      <b/>
      <sz val="10"/>
      <name val=".VnTimeH"/>
      <family val="2"/>
    </font>
    <font>
      <b/>
      <sz val="11"/>
      <name val=".VnTimeH"/>
      <family val="2"/>
    </font>
    <font>
      <b/>
      <sz val="10"/>
      <name val=".VnArialH"/>
      <family val="2"/>
    </font>
    <font>
      <b/>
      <sz val="11"/>
      <color indexed="8"/>
      <name val="Calibri"/>
      <family val="2"/>
    </font>
    <font>
      <sz val="10"/>
      <name val="VNtimes new roman"/>
      <family val="2"/>
    </font>
    <font>
      <sz val="10"/>
      <name val="VNtimes new roman"/>
      <family val="2"/>
    </font>
    <font>
      <b/>
      <sz val="8"/>
      <name val="VN Helvetica"/>
    </font>
    <font>
      <b/>
      <sz val="10"/>
      <name val="VN AvantGBook"/>
    </font>
    <font>
      <b/>
      <sz val="16"/>
      <name val=".VnTime"/>
      <family val="2"/>
    </font>
    <font>
      <sz val="9"/>
      <name val=".VnTime"/>
      <family val="2"/>
    </font>
    <font>
      <sz val="11"/>
      <color indexed="10"/>
      <name val="Calibri"/>
      <family val="2"/>
    </font>
    <font>
      <sz val="11"/>
      <color indexed="10"/>
      <name val="Arial"/>
      <family val="2"/>
      <charset val="163"/>
    </font>
    <font>
      <sz val="10"/>
      <name val="Geneva"/>
      <family val="2"/>
    </font>
    <font>
      <b/>
      <i/>
      <sz val="12"/>
      <name val=".VnTime"/>
      <family val="2"/>
    </font>
    <font>
      <sz val="14"/>
      <name val=".VnArial"/>
      <family val="2"/>
    </font>
    <font>
      <sz val="22"/>
      <name val="ＭＳ 明朝"/>
      <family val="1"/>
      <charset val="128"/>
    </font>
    <font>
      <sz val="16"/>
      <name val="AngsanaUPC"/>
      <family val="3"/>
    </font>
    <font>
      <sz val="10"/>
      <name val=" "/>
      <family val="1"/>
      <charset val="136"/>
    </font>
    <font>
      <sz val="14"/>
      <name val="뼻뮝"/>
      <family val="3"/>
      <charset val="129"/>
    </font>
    <font>
      <sz val="12"/>
      <color indexed="8"/>
      <name val="바탕체"/>
      <family val="3"/>
    </font>
    <font>
      <sz val="12"/>
      <name val="뼻뮝"/>
      <family val="1"/>
      <charset val="129"/>
    </font>
    <font>
      <sz val="10"/>
      <name val="명조"/>
      <family val="3"/>
      <charset val="129"/>
    </font>
    <font>
      <sz val="10"/>
      <name val="돋움체"/>
      <family val="3"/>
      <charset val="129"/>
    </font>
    <font>
      <u/>
      <sz val="9"/>
      <color indexed="36"/>
      <name val="新細明體"/>
      <family val="1"/>
      <charset val="136"/>
    </font>
    <font>
      <u/>
      <sz val="9"/>
      <color indexed="12"/>
      <name val="新細明體"/>
      <family val="1"/>
      <charset val="136"/>
    </font>
    <font>
      <u/>
      <sz val="12"/>
      <color indexed="12"/>
      <name val="新細明體"/>
      <family val="1"/>
      <charset val="136"/>
    </font>
    <font>
      <u/>
      <sz val="12"/>
      <color indexed="36"/>
      <name val="新細明體"/>
      <family val="1"/>
      <charset val="136"/>
    </font>
    <font>
      <sz val="12"/>
      <name val="Times New Roman"/>
      <family val="1"/>
    </font>
    <font>
      <b/>
      <i/>
      <sz val="10"/>
      <color theme="0"/>
      <name val="Times New Roman"/>
      <family val="1"/>
    </font>
    <font>
      <i/>
      <sz val="10"/>
      <color rgb="FF0070C0"/>
      <name val="Arial"/>
      <family val="2"/>
      <scheme val="minor"/>
    </font>
    <font>
      <i/>
      <sz val="12"/>
      <name val="Times New Roman"/>
      <family val="1"/>
    </font>
    <font>
      <sz val="10"/>
      <color theme="1"/>
      <name val="Arial"/>
      <family val="2"/>
      <scheme val="minor"/>
    </font>
    <font>
      <b/>
      <sz val="10"/>
      <color theme="1"/>
      <name val="Arial"/>
      <family val="2"/>
      <scheme val="minor"/>
    </font>
    <font>
      <b/>
      <i/>
      <sz val="10"/>
      <color theme="1"/>
      <name val="Times New Roman"/>
      <family val="1"/>
    </font>
    <font>
      <b/>
      <sz val="10"/>
      <color indexed="8"/>
      <name val="Times New Roman"/>
      <family val="1"/>
    </font>
    <font>
      <sz val="10"/>
      <color indexed="8"/>
      <name val="Times New Roman"/>
      <family val="1"/>
    </font>
    <font>
      <sz val="12"/>
      <color rgb="FFFF0000"/>
      <name val="Times New Roman"/>
      <family val="1"/>
    </font>
    <font>
      <vertAlign val="superscript"/>
      <sz val="10"/>
      <name val="Times New Roman"/>
      <family val="1"/>
    </font>
    <font>
      <sz val="11"/>
      <color theme="1"/>
      <name val="Arial"/>
      <family val="2"/>
      <charset val="163"/>
      <scheme val="minor"/>
    </font>
    <font>
      <b/>
      <sz val="12"/>
      <name val="Times New Roman"/>
      <family val="1"/>
      <charset val="163"/>
    </font>
    <font>
      <sz val="11"/>
      <name val="Times New Roman"/>
      <family val="1"/>
      <charset val="163"/>
    </font>
    <font>
      <sz val="11"/>
      <color theme="1"/>
      <name val="Times New Roman"/>
      <family val="1"/>
    </font>
    <font>
      <sz val="11"/>
      <color rgb="FFC00000"/>
      <name val="Times New Roman"/>
      <family val="1"/>
    </font>
    <font>
      <b/>
      <sz val="11"/>
      <name val="Times New Roman"/>
      <family val="1"/>
      <charset val="163"/>
    </font>
    <font>
      <sz val="9"/>
      <color indexed="81"/>
      <name val="Tahoma"/>
      <family val="2"/>
    </font>
    <font>
      <b/>
      <sz val="9"/>
      <color indexed="81"/>
      <name val="Tahoma"/>
      <family val="2"/>
    </font>
    <font>
      <b/>
      <u/>
      <sz val="12"/>
      <name val="Times New Roman"/>
      <family val="1"/>
    </font>
    <font>
      <b/>
      <sz val="12"/>
      <color rgb="FF000000"/>
      <name val="Times New Roman"/>
      <family val="1"/>
    </font>
    <font>
      <b/>
      <i/>
      <sz val="11"/>
      <color theme="1"/>
      <name val="Times New Roman"/>
      <family val="1"/>
    </font>
  </fonts>
  <fills count="73">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rgb="FF00B050"/>
        <bgColor indexed="64"/>
      </patternFill>
    </fill>
    <fill>
      <patternFill patternType="solid">
        <fgColor theme="9" tint="0.79998168889431442"/>
        <bgColor indexed="64"/>
      </patternFill>
    </fill>
    <fill>
      <patternFill patternType="solid">
        <fgColor indexed="22"/>
        <bgColor indexed="64"/>
      </patternFill>
    </fill>
    <fill>
      <patternFill patternType="solid">
        <fgColor indexed="22"/>
        <bgColor indexed="31"/>
      </patternFill>
    </fill>
    <fill>
      <patternFill patternType="solid">
        <fgColor indexed="1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42"/>
        <bgColor indexed="27"/>
      </patternFill>
    </fill>
    <fill>
      <patternFill patternType="solid">
        <fgColor indexed="42"/>
        <bgColor indexed="64"/>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9"/>
        <bgColor indexed="64"/>
      </patternFill>
    </fill>
    <fill>
      <patternFill patternType="solid">
        <fgColor indexed="27"/>
        <bgColor indexed="41"/>
      </patternFill>
    </fill>
    <fill>
      <patternFill patternType="solid">
        <fgColor indexed="41"/>
        <bgColor indexed="64"/>
      </patternFill>
    </fill>
    <fill>
      <patternFill patternType="solid">
        <fgColor indexed="65"/>
        <bgColor indexed="64"/>
      </patternFill>
    </fill>
    <fill>
      <patternFill patternType="solid">
        <fgColor indexed="26"/>
        <bgColor indexed="64"/>
      </patternFill>
    </fill>
    <fill>
      <patternFill patternType="solid">
        <fgColor indexed="40"/>
        <bgColor indexed="64"/>
      </patternFill>
    </fill>
    <fill>
      <patternFill patternType="solid">
        <fgColor indexed="26"/>
        <bgColor indexed="9"/>
      </patternFill>
    </fill>
    <fill>
      <patternFill patternType="solid">
        <fgColor indexed="15"/>
        <bgColor indexed="35"/>
      </patternFill>
    </fill>
    <fill>
      <patternFill patternType="solid">
        <fgColor indexed="15"/>
      </patternFill>
    </fill>
    <fill>
      <patternFill patternType="solid">
        <fgColor indexed="12"/>
        <bgColor indexed="39"/>
      </patternFill>
    </fill>
    <fill>
      <patternFill patternType="solid">
        <fgColor indexed="12"/>
      </patternFill>
    </fill>
    <fill>
      <patternFill patternType="solid">
        <fgColor indexed="43"/>
      </patternFill>
    </fill>
    <fill>
      <patternFill patternType="solid">
        <fgColor indexed="26"/>
      </patternFill>
    </fill>
    <fill>
      <patternFill patternType="solid">
        <fgColor indexed="9"/>
        <bgColor indexed="26"/>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35"/>
        <bgColor indexed="64"/>
      </patternFill>
    </fill>
    <fill>
      <patternFill patternType="gray125">
        <fgColor indexed="35"/>
      </patternFill>
    </fill>
    <fill>
      <patternFill patternType="solid">
        <fgColor indexed="9"/>
        <bgColor indexed="10"/>
      </patternFill>
    </fill>
  </fills>
  <borders count="9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thin">
        <color auto="1"/>
      </top>
      <bottom/>
      <diagonal/>
    </border>
    <border>
      <left style="thin">
        <color auto="1"/>
      </left>
      <right style="thin">
        <color auto="1"/>
      </right>
      <top style="hair">
        <color auto="1"/>
      </top>
      <bottom style="hair">
        <color auto="1"/>
      </bottom>
      <diagonal/>
    </border>
    <border>
      <left style="thin">
        <color auto="1"/>
      </left>
      <right style="thin">
        <color auto="1"/>
      </right>
      <top/>
      <bottom style="thin">
        <color auto="1"/>
      </bottom>
      <diagonal/>
    </border>
    <border>
      <left style="thin">
        <color auto="1"/>
      </left>
      <right style="thin">
        <color auto="1"/>
      </right>
      <top style="hair">
        <color auto="1"/>
      </top>
      <bottom style="thin">
        <color auto="1"/>
      </bottom>
      <diagonal/>
    </border>
    <border>
      <left/>
      <right/>
      <top style="thin">
        <color auto="1"/>
      </top>
      <bottom/>
      <diagonal/>
    </border>
    <border>
      <left style="thin">
        <color auto="1"/>
      </left>
      <right style="thin">
        <color auto="1"/>
      </right>
      <top style="hair">
        <color auto="1"/>
      </top>
      <bottom/>
      <diagonal/>
    </border>
    <border>
      <left/>
      <right/>
      <top/>
      <bottom style="thin">
        <color auto="1"/>
      </bottom>
      <diagonal/>
    </border>
    <border>
      <left style="thin">
        <color auto="1"/>
      </left>
      <right style="thin">
        <color auto="1"/>
      </right>
      <top/>
      <bottom style="hair">
        <color auto="1"/>
      </bottom>
      <diagonal/>
    </border>
    <border>
      <left style="thin">
        <color auto="1"/>
      </left>
      <right/>
      <top/>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medium">
        <color auto="1"/>
      </right>
      <top style="hair">
        <color auto="1"/>
      </top>
      <bottom style="hair">
        <color auto="1"/>
      </bottom>
      <diagonal/>
    </border>
    <border>
      <left/>
      <right style="thin">
        <color auto="1"/>
      </right>
      <top/>
      <bottom/>
      <diagonal/>
    </border>
    <border>
      <left/>
      <right style="thin">
        <color auto="1"/>
      </right>
      <top/>
      <bottom style="thin">
        <color auto="1"/>
      </bottom>
      <diagonal/>
    </border>
    <border>
      <left style="thin">
        <color indexed="64"/>
      </left>
      <right/>
      <top/>
      <bottom style="thin">
        <color auto="1"/>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hair">
        <color indexed="8"/>
      </top>
      <bottom style="hair">
        <color indexed="8"/>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thin">
        <color indexed="8"/>
      </bottom>
      <diagonal/>
    </border>
    <border>
      <left/>
      <right/>
      <top/>
      <bottom style="thin">
        <color indexed="64"/>
      </bottom>
      <diagonal/>
    </border>
    <border>
      <left style="thin">
        <color indexed="8"/>
      </left>
      <right style="thin">
        <color indexed="8"/>
      </right>
      <top/>
      <bottom style="hair">
        <color indexed="8"/>
      </bottom>
      <diagonal/>
    </border>
    <border>
      <left style="thin">
        <color auto="1"/>
      </left>
      <right style="thin">
        <color auto="1"/>
      </right>
      <top/>
      <bottom style="hair">
        <color auto="1"/>
      </bottom>
      <diagonal/>
    </border>
    <border>
      <left style="thin">
        <color indexed="8"/>
      </left>
      <right/>
      <top/>
      <bottom/>
      <diagonal/>
    </border>
    <border>
      <left style="thin">
        <color indexed="64"/>
      </left>
      <right/>
      <top/>
      <bottom/>
      <diagonal/>
    </border>
    <border>
      <left/>
      <right style="double">
        <color indexed="64"/>
      </right>
      <top/>
      <bottom/>
      <diagonal/>
    </border>
    <border>
      <left style="thin">
        <color auto="1"/>
      </left>
      <right style="thin">
        <color auto="1"/>
      </right>
      <top/>
      <bottom/>
      <diagonal/>
    </border>
    <border>
      <left/>
      <right/>
      <top style="double">
        <color indexed="8"/>
      </top>
      <bottom style="double">
        <color indexed="8"/>
      </bottom>
      <diagonal/>
    </border>
    <border>
      <left/>
      <right/>
      <top style="double">
        <color indexed="64"/>
      </top>
      <bottom style="double">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style="thin">
        <color indexed="64"/>
      </left>
      <right/>
      <top style="thin">
        <color indexed="64"/>
      </top>
      <bottom style="thin">
        <color indexed="64"/>
      </bottom>
      <diagonal/>
    </border>
    <border>
      <left style="thin">
        <color indexed="8"/>
      </left>
      <right style="thin">
        <color indexed="8"/>
      </right>
      <top/>
      <bottom style="thin">
        <color indexed="8"/>
      </bottom>
      <diagonal/>
    </border>
    <border>
      <left style="thin">
        <color indexed="64"/>
      </left>
      <right style="thin">
        <color indexed="64"/>
      </right>
      <top/>
      <bottom style="dotted">
        <color indexed="64"/>
      </bottom>
      <diagonal/>
    </border>
    <border>
      <left style="thin">
        <color indexed="8"/>
      </left>
      <right style="thin">
        <color indexed="8"/>
      </right>
      <top/>
      <bottom/>
      <diagonal/>
    </border>
    <border>
      <left style="thin">
        <color indexed="64"/>
      </left>
      <right style="thin">
        <color indexed="64"/>
      </right>
      <top/>
      <bottom/>
      <diagonal/>
    </border>
    <border>
      <left style="thin">
        <color indexed="64"/>
      </left>
      <right style="thin">
        <color indexed="64"/>
      </right>
      <top style="thin">
        <color indexed="8"/>
      </top>
      <bottom style="thin">
        <color indexed="64"/>
      </bottom>
      <diagonal/>
    </border>
    <border>
      <left/>
      <right/>
      <top/>
      <bottom style="double">
        <color indexed="52"/>
      </bottom>
      <diagonal/>
    </border>
    <border>
      <left/>
      <right/>
      <top/>
      <bottom style="hair">
        <color indexed="8"/>
      </bottom>
      <diagonal/>
    </border>
    <border>
      <left style="medium">
        <color indexed="8"/>
      </left>
      <right style="medium">
        <color indexed="8"/>
      </right>
      <top style="medium">
        <color indexed="8"/>
      </top>
      <bottom style="medium">
        <color indexed="8"/>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8"/>
      </left>
      <right/>
      <top style="thin">
        <color indexed="8"/>
      </top>
      <bottom style="thin">
        <color indexed="8"/>
      </bottom>
      <diagonal/>
    </border>
    <border>
      <left style="thin">
        <color indexed="64"/>
      </left>
      <right style="medium">
        <color indexed="64"/>
      </right>
      <top style="medium">
        <color indexed="64"/>
      </top>
      <bottom style="thin">
        <color indexed="64"/>
      </bottom>
      <diagonal/>
    </border>
    <border>
      <left/>
      <right style="medium">
        <color indexed="0"/>
      </right>
      <top/>
      <bottom/>
      <diagonal/>
    </border>
    <border>
      <left/>
      <right style="medium">
        <color indexed="8"/>
      </right>
      <top/>
      <bottom/>
      <diagonal/>
    </border>
    <border>
      <left style="thin">
        <color auto="1"/>
      </left>
      <right style="thin">
        <color auto="1"/>
      </right>
      <top style="thin">
        <color auto="1"/>
      </top>
      <bottom style="hair">
        <color auto="1"/>
      </bottom>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diagonal/>
    </border>
    <border>
      <left style="double">
        <color indexed="64"/>
      </left>
      <right style="thin">
        <color indexed="64"/>
      </right>
      <top style="hair">
        <color indexed="64"/>
      </top>
      <bottom style="double">
        <color indexed="64"/>
      </bottom>
      <diagonal/>
    </border>
    <border>
      <left/>
      <right/>
      <top style="thin">
        <color indexed="62"/>
      </top>
      <bottom style="double">
        <color indexed="62"/>
      </bottom>
      <diagonal/>
    </border>
    <border>
      <left style="medium">
        <color indexed="9"/>
      </left>
      <right style="medium">
        <color indexed="9"/>
      </right>
      <top style="medium">
        <color indexed="9"/>
      </top>
      <bottom style="medium">
        <color indexed="9"/>
      </bottom>
      <diagonal/>
    </border>
    <border>
      <left style="hair">
        <color indexed="64"/>
      </left>
      <right/>
      <top/>
      <bottom/>
      <diagonal/>
    </border>
    <border>
      <left/>
      <right style="thin">
        <color indexed="64"/>
      </right>
      <top style="thin">
        <color indexed="64"/>
      </top>
      <bottom style="thin">
        <color indexed="64"/>
      </bottom>
      <diagonal/>
    </border>
    <border>
      <left/>
      <right/>
      <top style="thin">
        <color indexed="64"/>
      </top>
      <bottom/>
      <diagonal/>
    </border>
    <border>
      <left style="hair">
        <color indexed="13"/>
      </left>
      <right style="hair">
        <color indexed="13"/>
      </right>
      <top style="hair">
        <color indexed="13"/>
      </top>
      <bottom style="hair">
        <color indexed="13"/>
      </bottom>
      <diagonal/>
    </border>
    <border>
      <left style="thin">
        <color indexed="64"/>
      </left>
      <right style="thin">
        <color indexed="64"/>
      </right>
      <top style="medium">
        <color indexed="64"/>
      </top>
      <bottom/>
      <diagonal/>
    </border>
    <border>
      <left/>
      <right/>
      <top/>
      <bottom style="hair">
        <color indexed="64"/>
      </bottom>
      <diagonal/>
    </border>
    <border>
      <left/>
      <right style="thin">
        <color auto="1"/>
      </right>
      <top style="thin">
        <color auto="1"/>
      </top>
      <bottom/>
      <diagonal/>
    </border>
    <border>
      <left style="thin">
        <color auto="1"/>
      </left>
      <right style="thin">
        <color auto="1"/>
      </right>
      <top style="hair">
        <color auto="1"/>
      </top>
      <bottom style="hair">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n">
        <color auto="1"/>
      </left>
      <right style="thin">
        <color auto="1"/>
      </right>
      <top style="thin">
        <color auto="1"/>
      </top>
      <bottom/>
      <diagonal/>
    </border>
  </borders>
  <cellStyleXfs count="11005">
    <xf numFmtId="0" fontId="0" fillId="0" borderId="0"/>
    <xf numFmtId="170" fontId="1" fillId="0" borderId="0" applyFont="0" applyFill="0" applyBorder="0" applyAlignment="0" applyProtection="0"/>
    <xf numFmtId="170" fontId="12" fillId="0" borderId="0" applyFont="0" applyFill="0" applyBorder="0" applyAlignment="0" applyProtection="0"/>
    <xf numFmtId="0" fontId="13" fillId="0" borderId="0"/>
    <xf numFmtId="170" fontId="14" fillId="0" borderId="0" applyFont="0" applyFill="0" applyBorder="0" applyAlignment="0" applyProtection="0"/>
    <xf numFmtId="0" fontId="1" fillId="0" borderId="0"/>
    <xf numFmtId="0" fontId="16" fillId="0" borderId="0"/>
    <xf numFmtId="0" fontId="16" fillId="0" borderId="0"/>
    <xf numFmtId="0" fontId="17" fillId="0" borderId="0"/>
    <xf numFmtId="170" fontId="16" fillId="0" borderId="0" applyFont="0" applyFill="0" applyBorder="0" applyAlignment="0" applyProtection="0"/>
    <xf numFmtId="0" fontId="18" fillId="0" borderId="0"/>
    <xf numFmtId="0" fontId="1" fillId="0" borderId="0"/>
    <xf numFmtId="0" fontId="1" fillId="0" borderId="0"/>
    <xf numFmtId="170" fontId="1" fillId="0" borderId="0" applyFont="0" applyFill="0" applyBorder="0" applyAlignment="0" applyProtection="0"/>
    <xf numFmtId="43" fontId="1" fillId="0" borderId="0" applyFont="0" applyFill="0" applyBorder="0" applyAlignment="0" applyProtection="0"/>
    <xf numFmtId="0" fontId="1" fillId="0" borderId="0"/>
    <xf numFmtId="170" fontId="16" fillId="0" borderId="0" applyFont="0" applyFill="0" applyBorder="0" applyAlignment="0" applyProtection="0"/>
    <xf numFmtId="170" fontId="1" fillId="0" borderId="0" applyFont="0" applyFill="0" applyBorder="0" applyAlignment="0" applyProtection="0"/>
    <xf numFmtId="0" fontId="16" fillId="0" borderId="0"/>
    <xf numFmtId="0" fontId="21" fillId="0" borderId="0"/>
    <xf numFmtId="170" fontId="1" fillId="0" borderId="0" applyFont="0" applyFill="0" applyBorder="0" applyAlignment="0" applyProtection="0"/>
    <xf numFmtId="190" fontId="67" fillId="0" borderId="0" applyFon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191" fontId="67" fillId="0" borderId="0" applyFont="0" applyFill="0" applyBorder="0" applyAlignment="0" applyProtection="0"/>
    <xf numFmtId="0" fontId="70" fillId="0" borderId="0"/>
    <xf numFmtId="0" fontId="70" fillId="0" borderId="0"/>
    <xf numFmtId="192" fontId="67" fillId="0" borderId="0" applyFont="0" applyFill="0" applyBorder="0" applyAlignment="0" applyProtection="0">
      <protection locked="0"/>
    </xf>
    <xf numFmtId="3" fontId="71" fillId="0" borderId="1"/>
    <xf numFmtId="3" fontId="71" fillId="0" borderId="1"/>
    <xf numFmtId="193" fontId="72" fillId="0" borderId="22">
      <alignment horizontal="center"/>
      <protection hidden="1"/>
    </xf>
    <xf numFmtId="193" fontId="73" fillId="0" borderId="23">
      <alignment horizontal="center"/>
      <protection hidden="1"/>
    </xf>
    <xf numFmtId="175" fontId="74" fillId="0" borderId="24" applyFont="0" applyBorder="0"/>
    <xf numFmtId="175" fontId="75" fillId="0" borderId="24" applyFont="0" applyBorder="0"/>
    <xf numFmtId="175" fontId="75" fillId="0" borderId="24" applyFont="0" applyBorder="0"/>
    <xf numFmtId="0" fontId="76" fillId="0" borderId="0"/>
    <xf numFmtId="0" fontId="77" fillId="0" borderId="0"/>
    <xf numFmtId="0" fontId="77" fillId="0" borderId="0"/>
    <xf numFmtId="194" fontId="78" fillId="0" borderId="0" applyFont="0" applyFill="0" applyBorder="0" applyAlignment="0" applyProtection="0"/>
    <xf numFmtId="0" fontId="79" fillId="0" borderId="0" applyFont="0" applyFill="0" applyBorder="0" applyAlignment="0" applyProtection="0"/>
    <xf numFmtId="195" fontId="16" fillId="0" borderId="0" applyFont="0" applyFill="0" applyBorder="0" applyAlignment="0" applyProtection="0"/>
    <xf numFmtId="174" fontId="80" fillId="0" borderId="0" applyFont="0" applyFill="0" applyBorder="0" applyAlignment="0" applyProtection="0"/>
    <xf numFmtId="174" fontId="80" fillId="0" borderId="0" applyFont="0" applyFill="0" applyBorder="0" applyAlignment="0" applyProtection="0"/>
    <xf numFmtId="195" fontId="16"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96" fontId="16"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179" fontId="80"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81"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81" fillId="0" borderId="0" applyNumberFormat="0" applyFill="0" applyBorder="0" applyAlignment="0" applyProtection="0"/>
    <xf numFmtId="0" fontId="16" fillId="0" borderId="0" applyNumberFormat="0" applyFill="0" applyBorder="0" applyAlignment="0" applyProtection="0"/>
    <xf numFmtId="0" fontId="82" fillId="0" borderId="0" applyFont="0" applyFill="0" applyBorder="0" applyAlignment="0" applyProtection="0"/>
    <xf numFmtId="0" fontId="83" fillId="0" borderId="25"/>
    <xf numFmtId="0" fontId="83" fillId="0" borderId="25"/>
    <xf numFmtId="197" fontId="84" fillId="0" borderId="0" applyFont="0" applyFill="0" applyBorder="0" applyAlignment="0" applyProtection="0"/>
    <xf numFmtId="198" fontId="77" fillId="0" borderId="0" applyFont="0" applyFill="0" applyBorder="0" applyAlignment="0" applyProtection="0"/>
    <xf numFmtId="171" fontId="85" fillId="0" borderId="0" applyFont="0" applyFill="0" applyBorder="0" applyAlignment="0" applyProtection="0"/>
    <xf numFmtId="172" fontId="85" fillId="0" borderId="0" applyFont="0" applyFill="0" applyBorder="0" applyAlignment="0" applyProtection="0"/>
    <xf numFmtId="199" fontId="86" fillId="0" borderId="0" applyFont="0" applyFill="0" applyBorder="0" applyAlignment="0" applyProtection="0"/>
    <xf numFmtId="0" fontId="87" fillId="0" borderId="0" applyFont="0" applyFill="0" applyBorder="0" applyAlignment="0" applyProtection="0"/>
    <xf numFmtId="0" fontId="88" fillId="0" borderId="0" applyFill="0" applyBorder="0" applyAlignment="0" applyProtection="0"/>
    <xf numFmtId="0" fontId="88" fillId="0" borderId="0" applyFill="0" applyBorder="0" applyAlignment="0" applyProtection="0"/>
    <xf numFmtId="0" fontId="16" fillId="0" borderId="0"/>
    <xf numFmtId="0" fontId="16" fillId="0" borderId="0"/>
    <xf numFmtId="0" fontId="89" fillId="0" borderId="0"/>
    <xf numFmtId="0" fontId="90" fillId="0" borderId="0"/>
    <xf numFmtId="0" fontId="16" fillId="0" borderId="0" applyNumberFormat="0" applyFill="0" applyBorder="0" applyAlignment="0" applyProtection="0"/>
    <xf numFmtId="0" fontId="16" fillId="0" borderId="0" applyNumberFormat="0" applyFill="0" applyBorder="0" applyAlignment="0" applyProtection="0"/>
    <xf numFmtId="0" fontId="81" fillId="0" borderId="0" applyNumberFormat="0" applyFill="0" applyBorder="0" applyAlignment="0" applyProtection="0"/>
    <xf numFmtId="0" fontId="16" fillId="0" borderId="0" applyNumberFormat="0" applyFill="0" applyBorder="0" applyAlignment="0" applyProtection="0"/>
    <xf numFmtId="200" fontId="91" fillId="0" borderId="0" applyFill="0" applyBorder="0" applyAlignment="0" applyProtection="0"/>
    <xf numFmtId="0" fontId="81" fillId="0" borderId="0" applyNumberFormat="0" applyFill="0" applyBorder="0" applyAlignment="0" applyProtection="0"/>
    <xf numFmtId="0" fontId="16" fillId="0" borderId="0" applyNumberFormat="0" applyFill="0" applyBorder="0" applyAlignment="0" applyProtection="0"/>
    <xf numFmtId="0" fontId="11" fillId="0" borderId="0" applyNumberFormat="0" applyFill="0" applyBorder="0" applyProtection="0">
      <alignment horizontal="center" vertical="center"/>
    </xf>
    <xf numFmtId="171" fontId="68" fillId="0" borderId="0" applyFont="0" applyFill="0" applyBorder="0" applyAlignment="0" applyProtection="0"/>
    <xf numFmtId="0" fontId="92"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67" fontId="78" fillId="0" borderId="0" applyFont="0" applyFill="0" applyBorder="0" applyAlignment="0" applyProtection="0"/>
    <xf numFmtId="167" fontId="78" fillId="0" borderId="0" applyFont="0" applyFill="0" applyBorder="0" applyAlignment="0" applyProtection="0"/>
    <xf numFmtId="0" fontId="76" fillId="0" borderId="0" applyNumberFormat="0" applyFill="0" applyBorder="0" applyAlignment="0" applyProtection="0"/>
    <xf numFmtId="0" fontId="93" fillId="0" borderId="0"/>
    <xf numFmtId="0" fontId="93" fillId="0" borderId="0"/>
    <xf numFmtId="0" fontId="94" fillId="0" borderId="0"/>
    <xf numFmtId="0" fontId="93" fillId="0" borderId="0"/>
    <xf numFmtId="0" fontId="93" fillId="0" borderId="0"/>
    <xf numFmtId="0" fontId="93" fillId="0" borderId="0"/>
    <xf numFmtId="0" fontId="93" fillId="0" borderId="0"/>
    <xf numFmtId="201" fontId="68" fillId="0" borderId="0" applyFont="0" applyFill="0" applyBorder="0" applyAlignment="0" applyProtection="0"/>
    <xf numFmtId="201" fontId="69" fillId="0" borderId="0" applyFont="0" applyFill="0" applyBorder="0" applyAlignment="0" applyProtection="0"/>
    <xf numFmtId="202" fontId="91" fillId="0" borderId="0" applyFill="0" applyBorder="0" applyAlignment="0" applyProtection="0"/>
    <xf numFmtId="202" fontId="69" fillId="0" borderId="0" applyFill="0" applyBorder="0" applyAlignment="0" applyProtection="0"/>
    <xf numFmtId="202" fontId="69" fillId="0" borderId="0" applyFill="0" applyBorder="0" applyAlignment="0" applyProtection="0"/>
    <xf numFmtId="202" fontId="69" fillId="0" borderId="0" applyFill="0" applyBorder="0" applyAlignment="0" applyProtection="0"/>
    <xf numFmtId="202" fontId="69" fillId="0" borderId="0" applyFill="0" applyBorder="0" applyAlignment="0" applyProtection="0"/>
    <xf numFmtId="0" fontId="94" fillId="0" borderId="0"/>
    <xf numFmtId="0" fontId="93" fillId="0" borderId="0"/>
    <xf numFmtId="0" fontId="92"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67" fontId="78" fillId="0" borderId="0" applyFont="0" applyFill="0" applyBorder="0" applyAlignment="0" applyProtection="0"/>
    <xf numFmtId="167" fontId="78" fillId="0" borderId="0" applyFont="0" applyFill="0" applyBorder="0" applyAlignment="0" applyProtection="0"/>
    <xf numFmtId="167" fontId="78" fillId="0" borderId="0" applyFont="0" applyFill="0" applyBorder="0" applyAlignment="0" applyProtection="0"/>
    <xf numFmtId="167" fontId="78" fillId="0" borderId="0" applyFont="0" applyFill="0" applyBorder="0" applyAlignment="0" applyProtection="0"/>
    <xf numFmtId="0" fontId="18" fillId="0" borderId="0"/>
    <xf numFmtId="0" fontId="18" fillId="0" borderId="0"/>
    <xf numFmtId="0" fontId="77" fillId="0" borderId="0" applyNumberFormat="0" applyFill="0" applyBorder="0" applyAlignment="0" applyProtection="0"/>
    <xf numFmtId="0" fontId="95" fillId="0" borderId="0">
      <alignment vertical="top"/>
    </xf>
    <xf numFmtId="0" fontId="94" fillId="0" borderId="0"/>
    <xf numFmtId="0" fontId="81" fillId="0" borderId="0"/>
    <xf numFmtId="0" fontId="18" fillId="0" borderId="0"/>
    <xf numFmtId="0" fontId="77" fillId="0" borderId="0" applyNumberFormat="0" applyFill="0" applyBorder="0" applyAlignment="0" applyProtection="0"/>
    <xf numFmtId="0" fontId="81" fillId="0" borderId="0"/>
    <xf numFmtId="0" fontId="76"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67" fontId="78" fillId="0" borderId="0" applyFont="0" applyFill="0" applyBorder="0" applyAlignment="0" applyProtection="0"/>
    <xf numFmtId="0" fontId="93" fillId="0" borderId="0"/>
    <xf numFmtId="0" fontId="18" fillId="0" borderId="0"/>
    <xf numFmtId="0" fontId="94" fillId="0" borderId="0"/>
    <xf numFmtId="0" fontId="93" fillId="0" borderId="0"/>
    <xf numFmtId="0" fontId="81" fillId="0" borderId="0"/>
    <xf numFmtId="0" fontId="94" fillId="0" borderId="0"/>
    <xf numFmtId="0" fontId="93" fillId="0" borderId="0"/>
    <xf numFmtId="0" fontId="94" fillId="0" borderId="0"/>
    <xf numFmtId="0" fontId="94" fillId="0" borderId="0"/>
    <xf numFmtId="0" fontId="93" fillId="0" borderId="0"/>
    <xf numFmtId="0" fontId="93" fillId="0" borderId="0"/>
    <xf numFmtId="0" fontId="93" fillId="0" borderId="0"/>
    <xf numFmtId="203" fontId="88" fillId="0" borderId="0" applyFill="0" applyBorder="0" applyAlignment="0" applyProtection="0"/>
    <xf numFmtId="0" fontId="93" fillId="0" borderId="0"/>
    <xf numFmtId="203" fontId="88" fillId="0" borderId="0" applyFill="0" applyBorder="0" applyAlignment="0" applyProtection="0"/>
    <xf numFmtId="204" fontId="78" fillId="0" borderId="0" applyFont="0" applyFill="0" applyBorder="0" applyAlignment="0" applyProtection="0"/>
    <xf numFmtId="203" fontId="88" fillId="0" borderId="0" applyFill="0" applyBorder="0" applyAlignment="0" applyProtection="0"/>
    <xf numFmtId="204" fontId="78" fillId="0" borderId="0" applyFont="0" applyFill="0" applyBorder="0" applyAlignment="0" applyProtection="0"/>
    <xf numFmtId="0" fontId="94" fillId="0" borderId="0"/>
    <xf numFmtId="0" fontId="93" fillId="0" borderId="0"/>
    <xf numFmtId="0" fontId="93" fillId="0" borderId="0"/>
    <xf numFmtId="0" fontId="93" fillId="0" borderId="0"/>
    <xf numFmtId="0" fontId="93" fillId="0" borderId="0"/>
    <xf numFmtId="0" fontId="94" fillId="0" borderId="0"/>
    <xf numFmtId="0" fontId="18" fillId="0" borderId="0"/>
    <xf numFmtId="0" fontId="94" fillId="0" borderId="0"/>
    <xf numFmtId="0" fontId="77" fillId="0" borderId="0" applyNumberFormat="0" applyFill="0" applyBorder="0" applyAlignment="0" applyProtection="0"/>
    <xf numFmtId="0" fontId="93" fillId="0" borderId="0"/>
    <xf numFmtId="0" fontId="77" fillId="0" borderId="0" applyNumberFormat="0" applyFill="0" applyBorder="0" applyAlignment="0" applyProtection="0"/>
    <xf numFmtId="0" fontId="77" fillId="0" borderId="0" applyNumberFormat="0" applyFill="0" applyBorder="0" applyAlignment="0" applyProtection="0"/>
    <xf numFmtId="0" fontId="93" fillId="0" borderId="0"/>
    <xf numFmtId="0" fontId="81" fillId="0" borderId="0"/>
    <xf numFmtId="0" fontId="18" fillId="0" borderId="0"/>
    <xf numFmtId="0" fontId="94" fillId="0" borderId="0"/>
    <xf numFmtId="0" fontId="93" fillId="0" borderId="0"/>
    <xf numFmtId="0" fontId="93" fillId="0" borderId="0"/>
    <xf numFmtId="0" fontId="93" fillId="0" borderId="0"/>
    <xf numFmtId="0" fontId="93" fillId="0" borderId="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167" fontId="78" fillId="0" borderId="0" applyFont="0" applyFill="0" applyBorder="0" applyAlignment="0" applyProtection="0"/>
    <xf numFmtId="0" fontId="18" fillId="0" borderId="0"/>
    <xf numFmtId="0" fontId="18" fillId="0" borderId="0"/>
    <xf numFmtId="0" fontId="18" fillId="0" borderId="0"/>
    <xf numFmtId="0" fontId="76" fillId="0" borderId="0" applyNumberFormat="0" applyFill="0" applyBorder="0" applyAlignment="0" applyProtection="0"/>
    <xf numFmtId="0" fontId="92"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xf numFmtId="0" fontId="18" fillId="0" borderId="0"/>
    <xf numFmtId="0" fontId="92"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81" fillId="0" borderId="0"/>
    <xf numFmtId="0" fontId="18" fillId="0" borderId="0"/>
    <xf numFmtId="167" fontId="78" fillId="0" borderId="0" applyFont="0" applyFill="0" applyBorder="0" applyAlignment="0" applyProtection="0"/>
    <xf numFmtId="0" fontId="93" fillId="0" borderId="0"/>
    <xf numFmtId="0" fontId="81" fillId="0" borderId="0"/>
    <xf numFmtId="0" fontId="18" fillId="0" borderId="0"/>
    <xf numFmtId="0" fontId="94" fillId="0" borderId="0"/>
    <xf numFmtId="0" fontId="93" fillId="0" borderId="0"/>
    <xf numFmtId="0" fontId="77" fillId="0" borderId="0" applyNumberFormat="0" applyFill="0" applyBorder="0" applyAlignment="0" applyProtection="0"/>
    <xf numFmtId="0" fontId="95" fillId="0" borderId="0">
      <alignment vertical="top"/>
    </xf>
    <xf numFmtId="0" fontId="95" fillId="0" borderId="0">
      <alignment vertical="top"/>
    </xf>
    <xf numFmtId="167" fontId="78" fillId="0" borderId="0" applyFont="0" applyFill="0" applyBorder="0" applyAlignment="0" applyProtection="0"/>
    <xf numFmtId="0" fontId="92"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67" fontId="78" fillId="0" borderId="0" applyFont="0" applyFill="0" applyBorder="0" applyAlignment="0" applyProtection="0"/>
    <xf numFmtId="167" fontId="78" fillId="0" borderId="0" applyFont="0" applyFill="0" applyBorder="0" applyAlignment="0" applyProtection="0"/>
    <xf numFmtId="0" fontId="94" fillId="0" borderId="0"/>
    <xf numFmtId="0" fontId="93" fillId="0" borderId="0"/>
    <xf numFmtId="0" fontId="93" fillId="0" borderId="0"/>
    <xf numFmtId="0" fontId="93" fillId="0" borderId="0"/>
    <xf numFmtId="0" fontId="93" fillId="0" borderId="0"/>
    <xf numFmtId="0" fontId="94" fillId="0" borderId="0"/>
    <xf numFmtId="0" fontId="93" fillId="0" borderId="0"/>
    <xf numFmtId="0" fontId="93" fillId="0" borderId="0"/>
    <xf numFmtId="0" fontId="94" fillId="0" borderId="0"/>
    <xf numFmtId="0" fontId="93" fillId="0" borderId="0"/>
    <xf numFmtId="0" fontId="93" fillId="0" borderId="0"/>
    <xf numFmtId="0" fontId="93" fillId="0" borderId="0"/>
    <xf numFmtId="0" fontId="94" fillId="0" borderId="0"/>
    <xf numFmtId="0" fontId="93" fillId="0" borderId="0"/>
    <xf numFmtId="0" fontId="93" fillId="0" borderId="0"/>
    <xf numFmtId="0" fontId="93" fillId="0" borderId="0"/>
    <xf numFmtId="0" fontId="93" fillId="0" borderId="0"/>
    <xf numFmtId="0" fontId="93" fillId="0" borderId="0"/>
    <xf numFmtId="0" fontId="94" fillId="0" borderId="0"/>
    <xf numFmtId="0" fontId="93" fillId="0" borderId="0"/>
    <xf numFmtId="0" fontId="93" fillId="0" borderId="0"/>
    <xf numFmtId="0" fontId="93" fillId="0" borderId="0"/>
    <xf numFmtId="0" fontId="93" fillId="0" borderId="0"/>
    <xf numFmtId="0" fontId="94" fillId="0" borderId="0"/>
    <xf numFmtId="0" fontId="93" fillId="0" borderId="0"/>
    <xf numFmtId="0" fontId="93" fillId="0" borderId="0"/>
    <xf numFmtId="0" fontId="93" fillId="0" borderId="0"/>
    <xf numFmtId="0" fontId="94" fillId="0" borderId="0"/>
    <xf numFmtId="0" fontId="93" fillId="0" borderId="0"/>
    <xf numFmtId="0" fontId="93" fillId="0" borderId="0"/>
    <xf numFmtId="0" fontId="93" fillId="0" borderId="0"/>
    <xf numFmtId="0" fontId="93" fillId="0" borderId="0"/>
    <xf numFmtId="0" fontId="94" fillId="0" borderId="0"/>
    <xf numFmtId="0" fontId="93" fillId="0" borderId="0"/>
    <xf numFmtId="0" fontId="93" fillId="0" borderId="0"/>
    <xf numFmtId="0" fontId="93" fillId="0" borderId="0"/>
    <xf numFmtId="0" fontId="93" fillId="0" borderId="0"/>
    <xf numFmtId="0" fontId="94" fillId="0" borderId="0"/>
    <xf numFmtId="0" fontId="93" fillId="0" borderId="0"/>
    <xf numFmtId="0" fontId="93" fillId="0" borderId="0"/>
    <xf numFmtId="0" fontId="93" fillId="0" borderId="0"/>
    <xf numFmtId="0" fontId="93" fillId="0" borderId="0"/>
    <xf numFmtId="0" fontId="94" fillId="0" borderId="0"/>
    <xf numFmtId="0" fontId="93" fillId="0" borderId="0"/>
    <xf numFmtId="0" fontId="93" fillId="0" borderId="0"/>
    <xf numFmtId="0" fontId="93" fillId="0" borderId="0"/>
    <xf numFmtId="0" fontId="93" fillId="0" borderId="0"/>
    <xf numFmtId="0" fontId="81" fillId="0" borderId="0"/>
    <xf numFmtId="0" fontId="18" fillId="0" borderId="0"/>
    <xf numFmtId="0" fontId="92" fillId="0" borderId="0" applyNumberFormat="0" applyFill="0" applyBorder="0" applyAlignment="0" applyProtection="0"/>
    <xf numFmtId="0" fontId="77" fillId="0" borderId="0" applyNumberFormat="0" applyFill="0" applyBorder="0" applyAlignment="0" applyProtection="0"/>
    <xf numFmtId="0" fontId="93" fillId="0" borderId="0"/>
    <xf numFmtId="0" fontId="81" fillId="0" borderId="0"/>
    <xf numFmtId="0" fontId="18" fillId="0" borderId="0"/>
    <xf numFmtId="0" fontId="18" fillId="0" borderId="0"/>
    <xf numFmtId="0" fontId="81" fillId="0" borderId="0"/>
    <xf numFmtId="0" fontId="18" fillId="0" borderId="0"/>
    <xf numFmtId="0" fontId="81" fillId="0" borderId="0"/>
    <xf numFmtId="0" fontId="18" fillId="0" borderId="0"/>
    <xf numFmtId="0" fontId="81" fillId="0" borderId="0"/>
    <xf numFmtId="0" fontId="16" fillId="0" borderId="0"/>
    <xf numFmtId="0" fontId="81" fillId="0" borderId="0"/>
    <xf numFmtId="0" fontId="18" fillId="0" borderId="0"/>
    <xf numFmtId="0" fontId="81" fillId="0" borderId="0"/>
    <xf numFmtId="0" fontId="16" fillId="0" borderId="0"/>
    <xf numFmtId="0" fontId="81" fillId="0" borderId="0"/>
    <xf numFmtId="0" fontId="16" fillId="0" borderId="0"/>
    <xf numFmtId="0" fontId="81" fillId="0" borderId="0"/>
    <xf numFmtId="0" fontId="16" fillId="0" borderId="0"/>
    <xf numFmtId="0" fontId="81" fillId="0" borderId="0"/>
    <xf numFmtId="0" fontId="16" fillId="0" borderId="0"/>
    <xf numFmtId="0" fontId="93" fillId="0" borderId="0"/>
    <xf numFmtId="0" fontId="81" fillId="0" borderId="0"/>
    <xf numFmtId="0" fontId="18" fillId="0" borderId="0"/>
    <xf numFmtId="0" fontId="81" fillId="0" borderId="0"/>
    <xf numFmtId="0" fontId="18" fillId="0" borderId="0"/>
    <xf numFmtId="0" fontId="81" fillId="0" borderId="0"/>
    <xf numFmtId="0" fontId="18" fillId="0" borderId="0"/>
    <xf numFmtId="0" fontId="81" fillId="0" borderId="0"/>
    <xf numFmtId="0" fontId="16" fillId="0" borderId="0"/>
    <xf numFmtId="0" fontId="18" fillId="0" borderId="0"/>
    <xf numFmtId="0" fontId="81" fillId="0" borderId="0"/>
    <xf numFmtId="0" fontId="18" fillId="0" borderId="0"/>
    <xf numFmtId="0" fontId="81" fillId="0" borderId="0"/>
    <xf numFmtId="0" fontId="18" fillId="0" borderId="0"/>
    <xf numFmtId="0" fontId="81" fillId="0" borderId="0"/>
    <xf numFmtId="0" fontId="18" fillId="0" borderId="0"/>
    <xf numFmtId="0" fontId="92"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92"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92"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81" fillId="0" borderId="0"/>
    <xf numFmtId="0" fontId="18" fillId="0" borderId="0"/>
    <xf numFmtId="0" fontId="93" fillId="0" borderId="0" applyFont="0" applyFill="0" applyBorder="0" applyAlignment="0" applyProtection="0"/>
    <xf numFmtId="0" fontId="93" fillId="0" borderId="0" applyFont="0" applyFill="0" applyBorder="0" applyAlignment="0" applyProtection="0"/>
    <xf numFmtId="0" fontId="93" fillId="0" borderId="0" applyFont="0" applyFill="0" applyBorder="0" applyAlignment="0" applyProtection="0"/>
    <xf numFmtId="0" fontId="93" fillId="0" borderId="0" applyFont="0" applyFill="0" applyBorder="0" applyAlignment="0" applyProtection="0"/>
    <xf numFmtId="0" fontId="93" fillId="0" borderId="0" applyFont="0" applyFill="0" applyBorder="0" applyAlignment="0" applyProtection="0"/>
    <xf numFmtId="0" fontId="93" fillId="0" borderId="0" applyFont="0" applyFill="0" applyBorder="0" applyAlignment="0" applyProtection="0"/>
    <xf numFmtId="0" fontId="18" fillId="0" borderId="0"/>
    <xf numFmtId="0" fontId="76" fillId="0" borderId="0" applyNumberFormat="0" applyFill="0" applyBorder="0" applyAlignment="0" applyProtection="0"/>
    <xf numFmtId="0" fontId="92"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xf numFmtId="0" fontId="18" fillId="0" borderId="0"/>
    <xf numFmtId="0" fontId="18" fillId="0" borderId="0"/>
    <xf numFmtId="0" fontId="93" fillId="0" borderId="0"/>
    <xf numFmtId="0" fontId="18" fillId="0" borderId="0"/>
    <xf numFmtId="167" fontId="78" fillId="0" borderId="0" applyFont="0" applyFill="0" applyBorder="0" applyAlignment="0" applyProtection="0"/>
    <xf numFmtId="167" fontId="78" fillId="0" borderId="0" applyFont="0" applyFill="0" applyBorder="0" applyAlignment="0" applyProtection="0"/>
    <xf numFmtId="191" fontId="67" fillId="0" borderId="0" applyFont="0" applyFill="0" applyBorder="0" applyAlignment="0" applyProtection="0"/>
    <xf numFmtId="191" fontId="67" fillId="0" borderId="0" applyFont="0" applyFill="0" applyBorder="0" applyAlignment="0" applyProtection="0"/>
    <xf numFmtId="191" fontId="67" fillId="0" borderId="0" applyFont="0" applyFill="0" applyBorder="0" applyAlignment="0" applyProtection="0"/>
    <xf numFmtId="190" fontId="67" fillId="0" borderId="0" applyFont="0" applyFill="0" applyBorder="0" applyAlignment="0" applyProtection="0"/>
    <xf numFmtId="172" fontId="67" fillId="0" borderId="0" applyFont="0" applyFill="0" applyBorder="0" applyAlignment="0" applyProtection="0"/>
    <xf numFmtId="172" fontId="67" fillId="0" borderId="0" applyFont="0" applyFill="0" applyBorder="0" applyAlignment="0" applyProtection="0"/>
    <xf numFmtId="205" fontId="78" fillId="0" borderId="0" applyFont="0" applyFill="0" applyBorder="0" applyAlignment="0" applyProtection="0"/>
    <xf numFmtId="170" fontId="78" fillId="0" borderId="0" applyFont="0" applyFill="0" applyBorder="0" applyAlignment="0" applyProtection="0"/>
    <xf numFmtId="172"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170" fontId="78" fillId="0" borderId="0" applyFont="0" applyFill="0" applyBorder="0" applyAlignment="0" applyProtection="0"/>
    <xf numFmtId="172" fontId="78" fillId="0" borderId="0" applyFont="0" applyFill="0" applyBorder="0" applyAlignment="0" applyProtection="0"/>
    <xf numFmtId="172" fontId="78" fillId="0" borderId="0" applyFont="0" applyFill="0" applyBorder="0" applyAlignment="0" applyProtection="0"/>
    <xf numFmtId="172" fontId="78" fillId="0" borderId="0" applyFont="0" applyFill="0" applyBorder="0" applyAlignment="0" applyProtection="0"/>
    <xf numFmtId="206" fontId="78" fillId="0" borderId="0" applyFont="0" applyFill="0" applyBorder="0" applyAlignment="0" applyProtection="0"/>
    <xf numFmtId="207" fontId="88" fillId="0" borderId="0" applyFill="0" applyBorder="0" applyAlignment="0" applyProtection="0"/>
    <xf numFmtId="172" fontId="78" fillId="0" borderId="0" applyFont="0" applyFill="0" applyBorder="0" applyAlignment="0" applyProtection="0"/>
    <xf numFmtId="205" fontId="78" fillId="0" borderId="0" applyFont="0" applyFill="0" applyBorder="0" applyAlignment="0" applyProtection="0"/>
    <xf numFmtId="170"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205" fontId="78" fillId="0" borderId="0" applyFont="0" applyFill="0" applyBorder="0" applyAlignment="0" applyProtection="0"/>
    <xf numFmtId="172" fontId="78" fillId="0" borderId="0" applyFont="0" applyFill="0" applyBorder="0" applyAlignment="0" applyProtection="0"/>
    <xf numFmtId="172" fontId="78" fillId="0" borderId="0" applyFont="0" applyFill="0" applyBorder="0" applyAlignment="0" applyProtection="0"/>
    <xf numFmtId="205" fontId="78" fillId="0" borderId="0" applyFont="0" applyFill="0" applyBorder="0" applyAlignment="0" applyProtection="0"/>
    <xf numFmtId="205"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170" fontId="78" fillId="0" borderId="0" applyFont="0" applyFill="0" applyBorder="0" applyAlignment="0" applyProtection="0"/>
    <xf numFmtId="172" fontId="78" fillId="0" borderId="0" applyFont="0" applyFill="0" applyBorder="0" applyAlignment="0" applyProtection="0"/>
    <xf numFmtId="205" fontId="78" fillId="0" borderId="0" applyFont="0" applyFill="0" applyBorder="0" applyAlignment="0" applyProtection="0"/>
    <xf numFmtId="170" fontId="78" fillId="0" borderId="0" applyFont="0" applyFill="0" applyBorder="0" applyAlignment="0" applyProtection="0"/>
    <xf numFmtId="170" fontId="78" fillId="0" borderId="0" applyFont="0" applyFill="0" applyBorder="0" applyAlignment="0" applyProtection="0"/>
    <xf numFmtId="207" fontId="88" fillId="0" borderId="0" applyFill="0" applyBorder="0" applyAlignment="0" applyProtection="0"/>
    <xf numFmtId="170" fontId="78" fillId="0" borderId="0" applyFont="0" applyFill="0" applyBorder="0" applyAlignment="0" applyProtection="0"/>
    <xf numFmtId="0" fontId="88" fillId="0" borderId="0" applyFill="0" applyBorder="0" applyAlignment="0" applyProtection="0"/>
    <xf numFmtId="0" fontId="78" fillId="0" borderId="0" applyFont="0" applyFill="0" applyBorder="0" applyAlignment="0" applyProtection="0"/>
    <xf numFmtId="0" fontId="88" fillId="0" borderId="0" applyFill="0" applyBorder="0" applyAlignment="0" applyProtection="0"/>
    <xf numFmtId="0" fontId="78" fillId="0" borderId="0" applyFont="0" applyFill="0" applyBorder="0" applyAlignment="0" applyProtection="0"/>
    <xf numFmtId="205" fontId="78" fillId="0" borderId="0" applyFont="0" applyFill="0" applyBorder="0" applyAlignment="0" applyProtection="0"/>
    <xf numFmtId="170" fontId="78" fillId="0" borderId="0" applyFont="0" applyFill="0" applyBorder="0" applyAlignment="0" applyProtection="0"/>
    <xf numFmtId="172" fontId="78" fillId="0" borderId="0" applyFont="0" applyFill="0" applyBorder="0" applyAlignment="0" applyProtection="0"/>
    <xf numFmtId="170" fontId="78" fillId="0" borderId="0" applyFont="0" applyFill="0" applyBorder="0" applyAlignment="0" applyProtection="0"/>
    <xf numFmtId="208" fontId="78" fillId="0" borderId="0" applyFont="0" applyFill="0" applyBorder="0" applyAlignment="0" applyProtection="0"/>
    <xf numFmtId="209" fontId="78" fillId="0" borderId="0" applyFont="0" applyFill="0" applyBorder="0" applyAlignment="0" applyProtection="0"/>
    <xf numFmtId="170" fontId="78" fillId="0" borderId="0" applyFont="0" applyFill="0" applyBorder="0" applyAlignment="0" applyProtection="0"/>
    <xf numFmtId="170" fontId="78" fillId="0" borderId="0" applyFont="0" applyFill="0" applyBorder="0" applyAlignment="0" applyProtection="0"/>
    <xf numFmtId="171" fontId="67" fillId="0" borderId="0" applyFont="0" applyFill="0" applyBorder="0" applyAlignment="0" applyProtection="0"/>
    <xf numFmtId="171" fontId="67" fillId="0" borderId="0" applyFont="0" applyFill="0" applyBorder="0" applyAlignment="0" applyProtection="0"/>
    <xf numFmtId="167" fontId="78" fillId="0" borderId="0" applyFont="0" applyFill="0" applyBorder="0" applyAlignment="0" applyProtection="0"/>
    <xf numFmtId="167" fontId="78" fillId="0" borderId="0" applyFont="0" applyFill="0" applyBorder="0" applyAlignment="0" applyProtection="0"/>
    <xf numFmtId="210" fontId="88" fillId="0" borderId="0" applyFill="0" applyBorder="0" applyAlignment="0" applyProtection="0"/>
    <xf numFmtId="203" fontId="88" fillId="0" borderId="0" applyFill="0" applyBorder="0" applyAlignment="0" applyProtection="0"/>
    <xf numFmtId="210" fontId="88" fillId="0" borderId="0" applyFill="0" applyBorder="0" applyAlignment="0" applyProtection="0"/>
    <xf numFmtId="167" fontId="78" fillId="0" borderId="0" applyFont="0" applyFill="0" applyBorder="0" applyAlignment="0" applyProtection="0"/>
    <xf numFmtId="203" fontId="88" fillId="0" borderId="0" applyFill="0" applyBorder="0" applyAlignment="0" applyProtection="0"/>
    <xf numFmtId="204" fontId="78" fillId="0" borderId="0" applyFont="0" applyFill="0" applyBorder="0" applyAlignment="0" applyProtection="0"/>
    <xf numFmtId="203" fontId="88" fillId="0" borderId="0" applyFill="0" applyBorder="0" applyAlignment="0" applyProtection="0"/>
    <xf numFmtId="204" fontId="78" fillId="0" borderId="0" applyFont="0" applyFill="0" applyBorder="0" applyAlignment="0" applyProtection="0"/>
    <xf numFmtId="167" fontId="78" fillId="0" borderId="0" applyFont="0" applyFill="0" applyBorder="0" applyAlignment="0" applyProtection="0"/>
    <xf numFmtId="194" fontId="78" fillId="0" borderId="0" applyFont="0" applyFill="0" applyBorder="0" applyAlignment="0" applyProtection="0"/>
    <xf numFmtId="211" fontId="78" fillId="0" borderId="0" applyFont="0" applyFill="0" applyBorder="0" applyAlignment="0" applyProtection="0"/>
    <xf numFmtId="211" fontId="78" fillId="0" borderId="0" applyFont="0" applyFill="0" applyBorder="0" applyAlignment="0" applyProtection="0"/>
    <xf numFmtId="194" fontId="67" fillId="0" borderId="0" applyFont="0" applyFill="0" applyBorder="0" applyAlignment="0" applyProtection="0"/>
    <xf numFmtId="194" fontId="67" fillId="0" borderId="0" applyFont="0" applyFill="0" applyBorder="0" applyAlignment="0" applyProtection="0"/>
    <xf numFmtId="211" fontId="78" fillId="0" borderId="0" applyFont="0" applyFill="0" applyBorder="0" applyAlignment="0" applyProtection="0"/>
    <xf numFmtId="194" fontId="78" fillId="0" borderId="0" applyFont="0" applyFill="0" applyBorder="0" applyAlignment="0" applyProtection="0"/>
    <xf numFmtId="194" fontId="78" fillId="0" borderId="0" applyFont="0" applyFill="0" applyBorder="0" applyAlignment="0" applyProtection="0"/>
    <xf numFmtId="212" fontId="78" fillId="0" borderId="0" applyFont="0" applyFill="0" applyBorder="0" applyAlignment="0" applyProtection="0"/>
    <xf numFmtId="205" fontId="78" fillId="0" borderId="0" applyFont="0" applyFill="0" applyBorder="0" applyAlignment="0" applyProtection="0"/>
    <xf numFmtId="170" fontId="78" fillId="0" borderId="0" applyFont="0" applyFill="0" applyBorder="0" applyAlignment="0" applyProtection="0"/>
    <xf numFmtId="172"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170" fontId="78" fillId="0" borderId="0" applyFont="0" applyFill="0" applyBorder="0" applyAlignment="0" applyProtection="0"/>
    <xf numFmtId="172" fontId="78" fillId="0" borderId="0" applyFont="0" applyFill="0" applyBorder="0" applyAlignment="0" applyProtection="0"/>
    <xf numFmtId="172" fontId="78" fillId="0" borderId="0" applyFont="0" applyFill="0" applyBorder="0" applyAlignment="0" applyProtection="0"/>
    <xf numFmtId="172" fontId="78" fillId="0" borderId="0" applyFont="0" applyFill="0" applyBorder="0" applyAlignment="0" applyProtection="0"/>
    <xf numFmtId="206" fontId="78" fillId="0" borderId="0" applyFont="0" applyFill="0" applyBorder="0" applyAlignment="0" applyProtection="0"/>
    <xf numFmtId="207" fontId="88" fillId="0" borderId="0" applyFill="0" applyBorder="0" applyAlignment="0" applyProtection="0"/>
    <xf numFmtId="172" fontId="78" fillId="0" borderId="0" applyFont="0" applyFill="0" applyBorder="0" applyAlignment="0" applyProtection="0"/>
    <xf numFmtId="205" fontId="78" fillId="0" borderId="0" applyFont="0" applyFill="0" applyBorder="0" applyAlignment="0" applyProtection="0"/>
    <xf numFmtId="170"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205" fontId="78" fillId="0" borderId="0" applyFont="0" applyFill="0" applyBorder="0" applyAlignment="0" applyProtection="0"/>
    <xf numFmtId="172" fontId="78" fillId="0" borderId="0" applyFont="0" applyFill="0" applyBorder="0" applyAlignment="0" applyProtection="0"/>
    <xf numFmtId="172" fontId="78" fillId="0" borderId="0" applyFont="0" applyFill="0" applyBorder="0" applyAlignment="0" applyProtection="0"/>
    <xf numFmtId="205" fontId="78" fillId="0" borderId="0" applyFont="0" applyFill="0" applyBorder="0" applyAlignment="0" applyProtection="0"/>
    <xf numFmtId="205"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170" fontId="78" fillId="0" borderId="0" applyFont="0" applyFill="0" applyBorder="0" applyAlignment="0" applyProtection="0"/>
    <xf numFmtId="172" fontId="78" fillId="0" borderId="0" applyFont="0" applyFill="0" applyBorder="0" applyAlignment="0" applyProtection="0"/>
    <xf numFmtId="205" fontId="78" fillId="0" borderId="0" applyFont="0" applyFill="0" applyBorder="0" applyAlignment="0" applyProtection="0"/>
    <xf numFmtId="170" fontId="78" fillId="0" borderId="0" applyFont="0" applyFill="0" applyBorder="0" applyAlignment="0" applyProtection="0"/>
    <xf numFmtId="170" fontId="78" fillId="0" borderId="0" applyFont="0" applyFill="0" applyBorder="0" applyAlignment="0" applyProtection="0"/>
    <xf numFmtId="207" fontId="88" fillId="0" borderId="0" applyFill="0" applyBorder="0" applyAlignment="0" applyProtection="0"/>
    <xf numFmtId="170" fontId="78" fillId="0" borderId="0" applyFont="0" applyFill="0" applyBorder="0" applyAlignment="0" applyProtection="0"/>
    <xf numFmtId="0" fontId="88" fillId="0" borderId="0" applyFill="0" applyBorder="0" applyAlignment="0" applyProtection="0"/>
    <xf numFmtId="0" fontId="78" fillId="0" borderId="0" applyFont="0" applyFill="0" applyBorder="0" applyAlignment="0" applyProtection="0"/>
    <xf numFmtId="0" fontId="88" fillId="0" borderId="0" applyFill="0" applyBorder="0" applyAlignment="0" applyProtection="0"/>
    <xf numFmtId="0" fontId="78" fillId="0" borderId="0" applyFont="0" applyFill="0" applyBorder="0" applyAlignment="0" applyProtection="0"/>
    <xf numFmtId="205" fontId="78" fillId="0" borderId="0" applyFont="0" applyFill="0" applyBorder="0" applyAlignment="0" applyProtection="0"/>
    <xf numFmtId="170" fontId="78" fillId="0" borderId="0" applyFont="0" applyFill="0" applyBorder="0" applyAlignment="0" applyProtection="0"/>
    <xf numFmtId="172" fontId="78" fillId="0" borderId="0" applyFont="0" applyFill="0" applyBorder="0" applyAlignment="0" applyProtection="0"/>
    <xf numFmtId="170" fontId="78" fillId="0" borderId="0" applyFont="0" applyFill="0" applyBorder="0" applyAlignment="0" applyProtection="0"/>
    <xf numFmtId="208" fontId="78" fillId="0" borderId="0" applyFont="0" applyFill="0" applyBorder="0" applyAlignment="0" applyProtection="0"/>
    <xf numFmtId="209" fontId="78" fillId="0" borderId="0" applyFont="0" applyFill="0" applyBorder="0" applyAlignment="0" applyProtection="0"/>
    <xf numFmtId="172" fontId="67" fillId="0" borderId="0" applyFont="0" applyFill="0" applyBorder="0" applyAlignment="0" applyProtection="0"/>
    <xf numFmtId="172" fontId="67" fillId="0" borderId="0" applyFont="0" applyFill="0" applyBorder="0" applyAlignment="0" applyProtection="0"/>
    <xf numFmtId="170" fontId="78" fillId="0" borderId="0" applyFont="0" applyFill="0" applyBorder="0" applyAlignment="0" applyProtection="0"/>
    <xf numFmtId="170" fontId="78" fillId="0" borderId="0" applyFont="0" applyFill="0" applyBorder="0" applyAlignment="0" applyProtection="0"/>
    <xf numFmtId="201" fontId="78" fillId="0" borderId="0" applyFont="0" applyFill="0" applyBorder="0" applyAlignment="0" applyProtection="0"/>
    <xf numFmtId="168" fontId="78" fillId="0" borderId="0" applyFont="0" applyFill="0" applyBorder="0" applyAlignment="0" applyProtection="0"/>
    <xf numFmtId="171"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168" fontId="78" fillId="0" borderId="0" applyFont="0" applyFill="0" applyBorder="0" applyAlignment="0" applyProtection="0"/>
    <xf numFmtId="171" fontId="78" fillId="0" borderId="0" applyFont="0" applyFill="0" applyBorder="0" applyAlignment="0" applyProtection="0"/>
    <xf numFmtId="171" fontId="78" fillId="0" borderId="0" applyFont="0" applyFill="0" applyBorder="0" applyAlignment="0" applyProtection="0"/>
    <xf numFmtId="171" fontId="78" fillId="0" borderId="0" applyFont="0" applyFill="0" applyBorder="0" applyAlignment="0" applyProtection="0"/>
    <xf numFmtId="213" fontId="78" fillId="0" borderId="0" applyFont="0" applyFill="0" applyBorder="0" applyAlignment="0" applyProtection="0"/>
    <xf numFmtId="214" fontId="88" fillId="0" borderId="0" applyFill="0" applyBorder="0" applyAlignment="0" applyProtection="0"/>
    <xf numFmtId="171" fontId="78" fillId="0" borderId="0" applyFont="0" applyFill="0" applyBorder="0" applyAlignment="0" applyProtection="0"/>
    <xf numFmtId="201" fontId="78" fillId="0" borderId="0" applyFont="0" applyFill="0" applyBorder="0" applyAlignment="0" applyProtection="0"/>
    <xf numFmtId="168"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201" fontId="78" fillId="0" borderId="0" applyFont="0" applyFill="0" applyBorder="0" applyAlignment="0" applyProtection="0"/>
    <xf numFmtId="171" fontId="78" fillId="0" borderId="0" applyFont="0" applyFill="0" applyBorder="0" applyAlignment="0" applyProtection="0"/>
    <xf numFmtId="171" fontId="78" fillId="0" borderId="0" applyFont="0" applyFill="0" applyBorder="0" applyAlignment="0" applyProtection="0"/>
    <xf numFmtId="201" fontId="78" fillId="0" borderId="0" applyFont="0" applyFill="0" applyBorder="0" applyAlignment="0" applyProtection="0"/>
    <xf numFmtId="201"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168" fontId="78" fillId="0" borderId="0" applyFont="0" applyFill="0" applyBorder="0" applyAlignment="0" applyProtection="0"/>
    <xf numFmtId="171" fontId="78" fillId="0" borderId="0" applyFont="0" applyFill="0" applyBorder="0" applyAlignment="0" applyProtection="0"/>
    <xf numFmtId="201" fontId="78" fillId="0" borderId="0" applyFont="0" applyFill="0" applyBorder="0" applyAlignment="0" applyProtection="0"/>
    <xf numFmtId="168" fontId="78" fillId="0" borderId="0" applyFont="0" applyFill="0" applyBorder="0" applyAlignment="0" applyProtection="0"/>
    <xf numFmtId="168" fontId="78" fillId="0" borderId="0" applyFont="0" applyFill="0" applyBorder="0" applyAlignment="0" applyProtection="0"/>
    <xf numFmtId="214" fontId="88" fillId="0" borderId="0" applyFill="0" applyBorder="0" applyAlignment="0" applyProtection="0"/>
    <xf numFmtId="168" fontId="78" fillId="0" borderId="0" applyFont="0" applyFill="0" applyBorder="0" applyAlignment="0" applyProtection="0"/>
    <xf numFmtId="215" fontId="88" fillId="0" borderId="0" applyFill="0" applyBorder="0" applyAlignment="0" applyProtection="0"/>
    <xf numFmtId="216" fontId="78" fillId="0" borderId="0" applyFont="0" applyFill="0" applyBorder="0" applyAlignment="0" applyProtection="0"/>
    <xf numFmtId="215" fontId="88" fillId="0" borderId="0" applyFill="0" applyBorder="0" applyAlignment="0" applyProtection="0"/>
    <xf numFmtId="216" fontId="78" fillId="0" borderId="0" applyFont="0" applyFill="0" applyBorder="0" applyAlignment="0" applyProtection="0"/>
    <xf numFmtId="201" fontId="78" fillId="0" borderId="0" applyFont="0" applyFill="0" applyBorder="0" applyAlignment="0" applyProtection="0"/>
    <xf numFmtId="168" fontId="78" fillId="0" borderId="0" applyFont="0" applyFill="0" applyBorder="0" applyAlignment="0" applyProtection="0"/>
    <xf numFmtId="171" fontId="78" fillId="0" borderId="0" applyFont="0" applyFill="0" applyBorder="0" applyAlignment="0" applyProtection="0"/>
    <xf numFmtId="168" fontId="78" fillId="0" borderId="0" applyFont="0" applyFill="0" applyBorder="0" applyAlignment="0" applyProtection="0"/>
    <xf numFmtId="217" fontId="78" fillId="0" borderId="0" applyFont="0" applyFill="0" applyBorder="0" applyAlignment="0" applyProtection="0"/>
    <xf numFmtId="218" fontId="78" fillId="0" borderId="0" applyFont="0" applyFill="0" applyBorder="0" applyAlignment="0" applyProtection="0"/>
    <xf numFmtId="168" fontId="78" fillId="0" borderId="0" applyFont="0" applyFill="0" applyBorder="0" applyAlignment="0" applyProtection="0"/>
    <xf numFmtId="168" fontId="78" fillId="0" borderId="0" applyFont="0" applyFill="0" applyBorder="0" applyAlignment="0" applyProtection="0"/>
    <xf numFmtId="210" fontId="88" fillId="0" borderId="0" applyFill="0" applyBorder="0" applyAlignment="0" applyProtection="0"/>
    <xf numFmtId="203" fontId="88" fillId="0" borderId="0" applyFill="0" applyBorder="0" applyAlignment="0" applyProtection="0"/>
    <xf numFmtId="210" fontId="88" fillId="0" borderId="0" applyFill="0" applyBorder="0" applyAlignment="0" applyProtection="0"/>
    <xf numFmtId="167" fontId="78" fillId="0" borderId="0" applyFont="0" applyFill="0" applyBorder="0" applyAlignment="0" applyProtection="0"/>
    <xf numFmtId="203" fontId="88" fillId="0" borderId="0" applyFill="0" applyBorder="0" applyAlignment="0" applyProtection="0"/>
    <xf numFmtId="204" fontId="78" fillId="0" borderId="0" applyFont="0" applyFill="0" applyBorder="0" applyAlignment="0" applyProtection="0"/>
    <xf numFmtId="203" fontId="88" fillId="0" borderId="0" applyFill="0" applyBorder="0" applyAlignment="0" applyProtection="0"/>
    <xf numFmtId="204" fontId="78" fillId="0" borderId="0" applyFont="0" applyFill="0" applyBorder="0" applyAlignment="0" applyProtection="0"/>
    <xf numFmtId="167" fontId="78" fillId="0" borderId="0" applyFont="0" applyFill="0" applyBorder="0" applyAlignment="0" applyProtection="0"/>
    <xf numFmtId="194" fontId="78" fillId="0" borderId="0" applyFont="0" applyFill="0" applyBorder="0" applyAlignment="0" applyProtection="0"/>
    <xf numFmtId="211" fontId="78" fillId="0" borderId="0" applyFont="0" applyFill="0" applyBorder="0" applyAlignment="0" applyProtection="0"/>
    <xf numFmtId="211" fontId="78" fillId="0" borderId="0" applyFont="0" applyFill="0" applyBorder="0" applyAlignment="0" applyProtection="0"/>
    <xf numFmtId="194" fontId="67" fillId="0" borderId="0" applyFont="0" applyFill="0" applyBorder="0" applyAlignment="0" applyProtection="0"/>
    <xf numFmtId="194" fontId="67" fillId="0" borderId="0" applyFont="0" applyFill="0" applyBorder="0" applyAlignment="0" applyProtection="0"/>
    <xf numFmtId="211" fontId="78" fillId="0" borderId="0" applyFont="0" applyFill="0" applyBorder="0" applyAlignment="0" applyProtection="0"/>
    <xf numFmtId="194" fontId="78" fillId="0" borderId="0" applyFont="0" applyFill="0" applyBorder="0" applyAlignment="0" applyProtection="0"/>
    <xf numFmtId="194" fontId="78" fillId="0" borderId="0" applyFont="0" applyFill="0" applyBorder="0" applyAlignment="0" applyProtection="0"/>
    <xf numFmtId="212" fontId="78" fillId="0" borderId="0" applyFont="0" applyFill="0" applyBorder="0" applyAlignment="0" applyProtection="0"/>
    <xf numFmtId="171" fontId="67" fillId="0" borderId="0" applyFont="0" applyFill="0" applyBorder="0" applyAlignment="0" applyProtection="0"/>
    <xf numFmtId="171" fontId="67" fillId="0" borderId="0" applyFont="0" applyFill="0" applyBorder="0" applyAlignment="0" applyProtection="0"/>
    <xf numFmtId="172" fontId="67" fillId="0" borderId="0" applyFont="0" applyFill="0" applyBorder="0" applyAlignment="0" applyProtection="0"/>
    <xf numFmtId="172" fontId="67" fillId="0" borderId="0" applyFont="0" applyFill="0" applyBorder="0" applyAlignment="0" applyProtection="0"/>
    <xf numFmtId="201" fontId="78" fillId="0" borderId="0" applyFont="0" applyFill="0" applyBorder="0" applyAlignment="0" applyProtection="0"/>
    <xf numFmtId="168" fontId="78" fillId="0" borderId="0" applyFont="0" applyFill="0" applyBorder="0" applyAlignment="0" applyProtection="0"/>
    <xf numFmtId="171"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168" fontId="78" fillId="0" borderId="0" applyFont="0" applyFill="0" applyBorder="0" applyAlignment="0" applyProtection="0"/>
    <xf numFmtId="171" fontId="78" fillId="0" borderId="0" applyFont="0" applyFill="0" applyBorder="0" applyAlignment="0" applyProtection="0"/>
    <xf numFmtId="171" fontId="78" fillId="0" borderId="0" applyFont="0" applyFill="0" applyBorder="0" applyAlignment="0" applyProtection="0"/>
    <xf numFmtId="171" fontId="78" fillId="0" borderId="0" applyFont="0" applyFill="0" applyBorder="0" applyAlignment="0" applyProtection="0"/>
    <xf numFmtId="213" fontId="78" fillId="0" borderId="0" applyFont="0" applyFill="0" applyBorder="0" applyAlignment="0" applyProtection="0"/>
    <xf numFmtId="214" fontId="88" fillId="0" borderId="0" applyFill="0" applyBorder="0" applyAlignment="0" applyProtection="0"/>
    <xf numFmtId="171" fontId="78" fillId="0" borderId="0" applyFont="0" applyFill="0" applyBorder="0" applyAlignment="0" applyProtection="0"/>
    <xf numFmtId="201" fontId="78" fillId="0" borderId="0" applyFont="0" applyFill="0" applyBorder="0" applyAlignment="0" applyProtection="0"/>
    <xf numFmtId="168"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201" fontId="78" fillId="0" borderId="0" applyFont="0" applyFill="0" applyBorder="0" applyAlignment="0" applyProtection="0"/>
    <xf numFmtId="171" fontId="78" fillId="0" borderId="0" applyFont="0" applyFill="0" applyBorder="0" applyAlignment="0" applyProtection="0"/>
    <xf numFmtId="171" fontId="78" fillId="0" borderId="0" applyFont="0" applyFill="0" applyBorder="0" applyAlignment="0" applyProtection="0"/>
    <xf numFmtId="201" fontId="78" fillId="0" borderId="0" applyFont="0" applyFill="0" applyBorder="0" applyAlignment="0" applyProtection="0"/>
    <xf numFmtId="201"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168" fontId="78" fillId="0" borderId="0" applyFont="0" applyFill="0" applyBorder="0" applyAlignment="0" applyProtection="0"/>
    <xf numFmtId="171" fontId="78" fillId="0" borderId="0" applyFont="0" applyFill="0" applyBorder="0" applyAlignment="0" applyProtection="0"/>
    <xf numFmtId="201" fontId="78" fillId="0" borderId="0" applyFont="0" applyFill="0" applyBorder="0" applyAlignment="0" applyProtection="0"/>
    <xf numFmtId="168" fontId="78" fillId="0" borderId="0" applyFont="0" applyFill="0" applyBorder="0" applyAlignment="0" applyProtection="0"/>
    <xf numFmtId="168" fontId="78" fillId="0" borderId="0" applyFont="0" applyFill="0" applyBorder="0" applyAlignment="0" applyProtection="0"/>
    <xf numFmtId="214" fontId="88" fillId="0" borderId="0" applyFill="0" applyBorder="0" applyAlignment="0" applyProtection="0"/>
    <xf numFmtId="168" fontId="78" fillId="0" borderId="0" applyFont="0" applyFill="0" applyBorder="0" applyAlignment="0" applyProtection="0"/>
    <xf numFmtId="215" fontId="88" fillId="0" borderId="0" applyFill="0" applyBorder="0" applyAlignment="0" applyProtection="0"/>
    <xf numFmtId="216" fontId="78" fillId="0" borderId="0" applyFont="0" applyFill="0" applyBorder="0" applyAlignment="0" applyProtection="0"/>
    <xf numFmtId="215" fontId="88" fillId="0" borderId="0" applyFill="0" applyBorder="0" applyAlignment="0" applyProtection="0"/>
    <xf numFmtId="216" fontId="78" fillId="0" borderId="0" applyFont="0" applyFill="0" applyBorder="0" applyAlignment="0" applyProtection="0"/>
    <xf numFmtId="201" fontId="78" fillId="0" borderId="0" applyFont="0" applyFill="0" applyBorder="0" applyAlignment="0" applyProtection="0"/>
    <xf numFmtId="168" fontId="78" fillId="0" borderId="0" applyFont="0" applyFill="0" applyBorder="0" applyAlignment="0" applyProtection="0"/>
    <xf numFmtId="171" fontId="78" fillId="0" borderId="0" applyFont="0" applyFill="0" applyBorder="0" applyAlignment="0" applyProtection="0"/>
    <xf numFmtId="168" fontId="78" fillId="0" borderId="0" applyFont="0" applyFill="0" applyBorder="0" applyAlignment="0" applyProtection="0"/>
    <xf numFmtId="217" fontId="78" fillId="0" borderId="0" applyFont="0" applyFill="0" applyBorder="0" applyAlignment="0" applyProtection="0"/>
    <xf numFmtId="218" fontId="78" fillId="0" borderId="0" applyFont="0" applyFill="0" applyBorder="0" applyAlignment="0" applyProtection="0"/>
    <xf numFmtId="168" fontId="78" fillId="0" borderId="0" applyFont="0" applyFill="0" applyBorder="0" applyAlignment="0" applyProtection="0"/>
    <xf numFmtId="168" fontId="78" fillId="0" borderId="0" applyFont="0" applyFill="0" applyBorder="0" applyAlignment="0" applyProtection="0"/>
    <xf numFmtId="205" fontId="78" fillId="0" borderId="0" applyFont="0" applyFill="0" applyBorder="0" applyAlignment="0" applyProtection="0"/>
    <xf numFmtId="170" fontId="78" fillId="0" borderId="0" applyFont="0" applyFill="0" applyBorder="0" applyAlignment="0" applyProtection="0"/>
    <xf numFmtId="172"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170" fontId="78" fillId="0" borderId="0" applyFont="0" applyFill="0" applyBorder="0" applyAlignment="0" applyProtection="0"/>
    <xf numFmtId="172" fontId="78" fillId="0" borderId="0" applyFont="0" applyFill="0" applyBorder="0" applyAlignment="0" applyProtection="0"/>
    <xf numFmtId="172" fontId="78" fillId="0" borderId="0" applyFont="0" applyFill="0" applyBorder="0" applyAlignment="0" applyProtection="0"/>
    <xf numFmtId="172" fontId="78" fillId="0" borderId="0" applyFont="0" applyFill="0" applyBorder="0" applyAlignment="0" applyProtection="0"/>
    <xf numFmtId="206" fontId="78" fillId="0" borderId="0" applyFont="0" applyFill="0" applyBorder="0" applyAlignment="0" applyProtection="0"/>
    <xf numFmtId="207" fontId="88" fillId="0" borderId="0" applyFill="0" applyBorder="0" applyAlignment="0" applyProtection="0"/>
    <xf numFmtId="172" fontId="78" fillId="0" borderId="0" applyFont="0" applyFill="0" applyBorder="0" applyAlignment="0" applyProtection="0"/>
    <xf numFmtId="205" fontId="78" fillId="0" borderId="0" applyFont="0" applyFill="0" applyBorder="0" applyAlignment="0" applyProtection="0"/>
    <xf numFmtId="170"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205" fontId="78" fillId="0" borderId="0" applyFont="0" applyFill="0" applyBorder="0" applyAlignment="0" applyProtection="0"/>
    <xf numFmtId="172" fontId="78" fillId="0" borderId="0" applyFont="0" applyFill="0" applyBorder="0" applyAlignment="0" applyProtection="0"/>
    <xf numFmtId="172" fontId="78" fillId="0" borderId="0" applyFont="0" applyFill="0" applyBorder="0" applyAlignment="0" applyProtection="0"/>
    <xf numFmtId="205" fontId="78" fillId="0" borderId="0" applyFont="0" applyFill="0" applyBorder="0" applyAlignment="0" applyProtection="0"/>
    <xf numFmtId="205"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170" fontId="78" fillId="0" borderId="0" applyFont="0" applyFill="0" applyBorder="0" applyAlignment="0" applyProtection="0"/>
    <xf numFmtId="172" fontId="78" fillId="0" borderId="0" applyFont="0" applyFill="0" applyBorder="0" applyAlignment="0" applyProtection="0"/>
    <xf numFmtId="205" fontId="78" fillId="0" borderId="0" applyFont="0" applyFill="0" applyBorder="0" applyAlignment="0" applyProtection="0"/>
    <xf numFmtId="170" fontId="78" fillId="0" borderId="0" applyFont="0" applyFill="0" applyBorder="0" applyAlignment="0" applyProtection="0"/>
    <xf numFmtId="170" fontId="78" fillId="0" borderId="0" applyFont="0" applyFill="0" applyBorder="0" applyAlignment="0" applyProtection="0"/>
    <xf numFmtId="207" fontId="88" fillId="0" borderId="0" applyFill="0" applyBorder="0" applyAlignment="0" applyProtection="0"/>
    <xf numFmtId="170" fontId="78" fillId="0" borderId="0" applyFont="0" applyFill="0" applyBorder="0" applyAlignment="0" applyProtection="0"/>
    <xf numFmtId="0" fontId="88" fillId="0" borderId="0" applyFill="0" applyBorder="0" applyAlignment="0" applyProtection="0"/>
    <xf numFmtId="0" fontId="78" fillId="0" borderId="0" applyFont="0" applyFill="0" applyBorder="0" applyAlignment="0" applyProtection="0"/>
    <xf numFmtId="0" fontId="88" fillId="0" borderId="0" applyFill="0" applyBorder="0" applyAlignment="0" applyProtection="0"/>
    <xf numFmtId="0" fontId="78" fillId="0" borderId="0" applyFont="0" applyFill="0" applyBorder="0" applyAlignment="0" applyProtection="0"/>
    <xf numFmtId="205" fontId="78" fillId="0" borderId="0" applyFont="0" applyFill="0" applyBorder="0" applyAlignment="0" applyProtection="0"/>
    <xf numFmtId="170" fontId="78" fillId="0" borderId="0" applyFont="0" applyFill="0" applyBorder="0" applyAlignment="0" applyProtection="0"/>
    <xf numFmtId="172" fontId="78" fillId="0" borderId="0" applyFont="0" applyFill="0" applyBorder="0" applyAlignment="0" applyProtection="0"/>
    <xf numFmtId="170" fontId="78" fillId="0" borderId="0" applyFont="0" applyFill="0" applyBorder="0" applyAlignment="0" applyProtection="0"/>
    <xf numFmtId="208" fontId="78" fillId="0" borderId="0" applyFont="0" applyFill="0" applyBorder="0" applyAlignment="0" applyProtection="0"/>
    <xf numFmtId="209" fontId="78" fillId="0" borderId="0" applyFont="0" applyFill="0" applyBorder="0" applyAlignment="0" applyProtection="0"/>
    <xf numFmtId="170" fontId="78" fillId="0" borderId="0" applyFont="0" applyFill="0" applyBorder="0" applyAlignment="0" applyProtection="0"/>
    <xf numFmtId="170" fontId="78" fillId="0" borderId="0" applyFont="0" applyFill="0" applyBorder="0" applyAlignment="0" applyProtection="0"/>
    <xf numFmtId="171" fontId="67" fillId="0" borderId="0" applyFont="0" applyFill="0" applyBorder="0" applyAlignment="0" applyProtection="0"/>
    <xf numFmtId="171" fontId="67" fillId="0" borderId="0" applyFont="0" applyFill="0" applyBorder="0" applyAlignment="0" applyProtection="0"/>
    <xf numFmtId="191" fontId="67" fillId="0" borderId="0" applyFont="0" applyFill="0" applyBorder="0" applyAlignment="0" applyProtection="0"/>
    <xf numFmtId="191" fontId="67" fillId="0" borderId="0" applyFont="0" applyFill="0" applyBorder="0" applyAlignment="0" applyProtection="0"/>
    <xf numFmtId="191" fontId="67" fillId="0" borderId="0" applyFont="0" applyFill="0" applyBorder="0" applyAlignment="0" applyProtection="0"/>
    <xf numFmtId="190" fontId="67" fillId="0" borderId="0" applyFont="0" applyFill="0" applyBorder="0" applyAlignment="0" applyProtection="0"/>
    <xf numFmtId="167" fontId="78" fillId="0" borderId="0" applyFont="0" applyFill="0" applyBorder="0" applyAlignment="0" applyProtection="0"/>
    <xf numFmtId="0" fontId="92"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67" fontId="78" fillId="0" borderId="0" applyFont="0" applyFill="0" applyBorder="0" applyAlignment="0" applyProtection="0"/>
    <xf numFmtId="167" fontId="78" fillId="0" borderId="0" applyFon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94" fontId="78" fillId="0" borderId="0" applyFont="0" applyFill="0" applyBorder="0" applyAlignment="0" applyProtection="0"/>
    <xf numFmtId="211" fontId="78" fillId="0" borderId="0" applyFont="0" applyFill="0" applyBorder="0" applyAlignment="0" applyProtection="0"/>
    <xf numFmtId="211" fontId="78" fillId="0" borderId="0" applyFont="0" applyFill="0" applyBorder="0" applyAlignment="0" applyProtection="0"/>
    <xf numFmtId="194" fontId="67" fillId="0" borderId="0" applyFont="0" applyFill="0" applyBorder="0" applyAlignment="0" applyProtection="0"/>
    <xf numFmtId="194" fontId="67" fillId="0" borderId="0" applyFont="0" applyFill="0" applyBorder="0" applyAlignment="0" applyProtection="0"/>
    <xf numFmtId="211" fontId="78" fillId="0" borderId="0" applyFont="0" applyFill="0" applyBorder="0" applyAlignment="0" applyProtection="0"/>
    <xf numFmtId="194" fontId="78" fillId="0" borderId="0" applyFont="0" applyFill="0" applyBorder="0" applyAlignment="0" applyProtection="0"/>
    <xf numFmtId="194" fontId="78" fillId="0" borderId="0" applyFont="0" applyFill="0" applyBorder="0" applyAlignment="0" applyProtection="0"/>
    <xf numFmtId="0" fontId="92"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81" fillId="0" borderId="0"/>
    <xf numFmtId="0" fontId="18" fillId="0" borderId="0"/>
    <xf numFmtId="0" fontId="76" fillId="0" borderId="0" applyNumberFormat="0" applyFill="0" applyBorder="0" applyAlignment="0" applyProtection="0"/>
    <xf numFmtId="0" fontId="18" fillId="0" borderId="0"/>
    <xf numFmtId="0" fontId="18" fillId="0" borderId="0"/>
    <xf numFmtId="0" fontId="18" fillId="0" borderId="0"/>
    <xf numFmtId="167" fontId="78" fillId="0" borderId="0" applyFont="0" applyFill="0" applyBorder="0" applyAlignment="0" applyProtection="0"/>
    <xf numFmtId="167" fontId="78" fillId="0" borderId="0" applyFont="0" applyFill="0" applyBorder="0" applyAlignment="0" applyProtection="0"/>
    <xf numFmtId="167" fontId="78" fillId="0" borderId="0" applyFont="0" applyFill="0" applyBorder="0" applyAlignment="0" applyProtection="0"/>
    <xf numFmtId="167" fontId="78" fillId="0" borderId="0" applyFont="0" applyFill="0" applyBorder="0" applyAlignment="0" applyProtection="0"/>
    <xf numFmtId="0" fontId="94" fillId="0" borderId="0"/>
    <xf numFmtId="0" fontId="93" fillId="0" borderId="0"/>
    <xf numFmtId="0" fontId="18" fillId="0" borderId="0"/>
    <xf numFmtId="0" fontId="18" fillId="0" borderId="0"/>
    <xf numFmtId="212" fontId="78" fillId="0" borderId="0" applyFont="0" applyFill="0" applyBorder="0" applyAlignment="0" applyProtection="0"/>
    <xf numFmtId="0" fontId="92"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67" fontId="78" fillId="0" borderId="0" applyFont="0" applyFill="0" applyBorder="0" applyAlignment="0" applyProtection="0"/>
    <xf numFmtId="167" fontId="78" fillId="0" borderId="0" applyFont="0" applyFill="0" applyBorder="0" applyAlignment="0" applyProtection="0"/>
    <xf numFmtId="167" fontId="78" fillId="0" borderId="0" applyFont="0" applyFill="0" applyBorder="0" applyAlignment="0" applyProtection="0"/>
    <xf numFmtId="167" fontId="78" fillId="0" borderId="0" applyFont="0" applyFill="0" applyBorder="0" applyAlignment="0" applyProtection="0"/>
    <xf numFmtId="167" fontId="78" fillId="0" borderId="0" applyFont="0" applyFill="0" applyBorder="0" applyAlignment="0" applyProtection="0"/>
    <xf numFmtId="171" fontId="67" fillId="0" borderId="0" applyFont="0" applyFill="0" applyBorder="0" applyAlignment="0" applyProtection="0"/>
    <xf numFmtId="171" fontId="67" fillId="0" borderId="0" applyFont="0" applyFill="0" applyBorder="0" applyAlignment="0" applyProtection="0"/>
    <xf numFmtId="201" fontId="78" fillId="0" borderId="0" applyFont="0" applyFill="0" applyBorder="0" applyAlignment="0" applyProtection="0"/>
    <xf numFmtId="168" fontId="78" fillId="0" borderId="0" applyFont="0" applyFill="0" applyBorder="0" applyAlignment="0" applyProtection="0"/>
    <xf numFmtId="171"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168" fontId="78" fillId="0" borderId="0" applyFont="0" applyFill="0" applyBorder="0" applyAlignment="0" applyProtection="0"/>
    <xf numFmtId="171" fontId="78" fillId="0" borderId="0" applyFont="0" applyFill="0" applyBorder="0" applyAlignment="0" applyProtection="0"/>
    <xf numFmtId="171" fontId="78" fillId="0" borderId="0" applyFont="0" applyFill="0" applyBorder="0" applyAlignment="0" applyProtection="0"/>
    <xf numFmtId="171" fontId="78" fillId="0" borderId="0" applyFont="0" applyFill="0" applyBorder="0" applyAlignment="0" applyProtection="0"/>
    <xf numFmtId="213" fontId="78" fillId="0" borderId="0" applyFont="0" applyFill="0" applyBorder="0" applyAlignment="0" applyProtection="0"/>
    <xf numFmtId="214" fontId="88" fillId="0" borderId="0" applyFill="0" applyBorder="0" applyAlignment="0" applyProtection="0"/>
    <xf numFmtId="171" fontId="78" fillId="0" borderId="0" applyFont="0" applyFill="0" applyBorder="0" applyAlignment="0" applyProtection="0"/>
    <xf numFmtId="201" fontId="78" fillId="0" borderId="0" applyFont="0" applyFill="0" applyBorder="0" applyAlignment="0" applyProtection="0"/>
    <xf numFmtId="168"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201" fontId="78" fillId="0" borderId="0" applyFont="0" applyFill="0" applyBorder="0" applyAlignment="0" applyProtection="0"/>
    <xf numFmtId="171" fontId="78" fillId="0" borderId="0" applyFont="0" applyFill="0" applyBorder="0" applyAlignment="0" applyProtection="0"/>
    <xf numFmtId="171" fontId="78" fillId="0" borderId="0" applyFont="0" applyFill="0" applyBorder="0" applyAlignment="0" applyProtection="0"/>
    <xf numFmtId="201" fontId="78" fillId="0" borderId="0" applyFont="0" applyFill="0" applyBorder="0" applyAlignment="0" applyProtection="0"/>
    <xf numFmtId="201"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168" fontId="78" fillId="0" borderId="0" applyFont="0" applyFill="0" applyBorder="0" applyAlignment="0" applyProtection="0"/>
    <xf numFmtId="171" fontId="78" fillId="0" borderId="0" applyFont="0" applyFill="0" applyBorder="0" applyAlignment="0" applyProtection="0"/>
    <xf numFmtId="201" fontId="78" fillId="0" borderId="0" applyFont="0" applyFill="0" applyBorder="0" applyAlignment="0" applyProtection="0"/>
    <xf numFmtId="168" fontId="78" fillId="0" borderId="0" applyFont="0" applyFill="0" applyBorder="0" applyAlignment="0" applyProtection="0"/>
    <xf numFmtId="168" fontId="78" fillId="0" borderId="0" applyFont="0" applyFill="0" applyBorder="0" applyAlignment="0" applyProtection="0"/>
    <xf numFmtId="214" fontId="88" fillId="0" borderId="0" applyFill="0" applyBorder="0" applyAlignment="0" applyProtection="0"/>
    <xf numFmtId="168" fontId="78" fillId="0" borderId="0" applyFont="0" applyFill="0" applyBorder="0" applyAlignment="0" applyProtection="0"/>
    <xf numFmtId="215" fontId="88" fillId="0" borderId="0" applyFill="0" applyBorder="0" applyAlignment="0" applyProtection="0"/>
    <xf numFmtId="216" fontId="78" fillId="0" borderId="0" applyFont="0" applyFill="0" applyBorder="0" applyAlignment="0" applyProtection="0"/>
    <xf numFmtId="215" fontId="88" fillId="0" borderId="0" applyFill="0" applyBorder="0" applyAlignment="0" applyProtection="0"/>
    <xf numFmtId="216" fontId="78" fillId="0" borderId="0" applyFont="0" applyFill="0" applyBorder="0" applyAlignment="0" applyProtection="0"/>
    <xf numFmtId="201" fontId="78" fillId="0" borderId="0" applyFont="0" applyFill="0" applyBorder="0" applyAlignment="0" applyProtection="0"/>
    <xf numFmtId="168" fontId="78" fillId="0" borderId="0" applyFont="0" applyFill="0" applyBorder="0" applyAlignment="0" applyProtection="0"/>
    <xf numFmtId="171" fontId="78" fillId="0" borderId="0" applyFont="0" applyFill="0" applyBorder="0" applyAlignment="0" applyProtection="0"/>
    <xf numFmtId="168" fontId="78" fillId="0" borderId="0" applyFont="0" applyFill="0" applyBorder="0" applyAlignment="0" applyProtection="0"/>
    <xf numFmtId="217" fontId="78" fillId="0" borderId="0" applyFont="0" applyFill="0" applyBorder="0" applyAlignment="0" applyProtection="0"/>
    <xf numFmtId="218" fontId="78" fillId="0" borderId="0" applyFont="0" applyFill="0" applyBorder="0" applyAlignment="0" applyProtection="0"/>
    <xf numFmtId="168" fontId="78" fillId="0" borderId="0" applyFont="0" applyFill="0" applyBorder="0" applyAlignment="0" applyProtection="0"/>
    <xf numFmtId="168" fontId="78" fillId="0" borderId="0" applyFont="0" applyFill="0" applyBorder="0" applyAlignment="0" applyProtection="0"/>
    <xf numFmtId="205" fontId="78" fillId="0" borderId="0" applyFont="0" applyFill="0" applyBorder="0" applyAlignment="0" applyProtection="0"/>
    <xf numFmtId="170" fontId="78" fillId="0" borderId="0" applyFont="0" applyFill="0" applyBorder="0" applyAlignment="0" applyProtection="0"/>
    <xf numFmtId="172"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170" fontId="78" fillId="0" borderId="0" applyFont="0" applyFill="0" applyBorder="0" applyAlignment="0" applyProtection="0"/>
    <xf numFmtId="172" fontId="78" fillId="0" borderId="0" applyFont="0" applyFill="0" applyBorder="0" applyAlignment="0" applyProtection="0"/>
    <xf numFmtId="172" fontId="78" fillId="0" borderId="0" applyFont="0" applyFill="0" applyBorder="0" applyAlignment="0" applyProtection="0"/>
    <xf numFmtId="172" fontId="78" fillId="0" borderId="0" applyFont="0" applyFill="0" applyBorder="0" applyAlignment="0" applyProtection="0"/>
    <xf numFmtId="206" fontId="78" fillId="0" borderId="0" applyFont="0" applyFill="0" applyBorder="0" applyAlignment="0" applyProtection="0"/>
    <xf numFmtId="207" fontId="88" fillId="0" borderId="0" applyFill="0" applyBorder="0" applyAlignment="0" applyProtection="0"/>
    <xf numFmtId="172" fontId="78" fillId="0" borderId="0" applyFont="0" applyFill="0" applyBorder="0" applyAlignment="0" applyProtection="0"/>
    <xf numFmtId="205" fontId="78" fillId="0" borderId="0" applyFont="0" applyFill="0" applyBorder="0" applyAlignment="0" applyProtection="0"/>
    <xf numFmtId="170"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205" fontId="78" fillId="0" borderId="0" applyFont="0" applyFill="0" applyBorder="0" applyAlignment="0" applyProtection="0"/>
    <xf numFmtId="172" fontId="78" fillId="0" borderId="0" applyFont="0" applyFill="0" applyBorder="0" applyAlignment="0" applyProtection="0"/>
    <xf numFmtId="172" fontId="78" fillId="0" borderId="0" applyFont="0" applyFill="0" applyBorder="0" applyAlignment="0" applyProtection="0"/>
    <xf numFmtId="205" fontId="78" fillId="0" borderId="0" applyFont="0" applyFill="0" applyBorder="0" applyAlignment="0" applyProtection="0"/>
    <xf numFmtId="205"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170" fontId="78" fillId="0" borderId="0" applyFont="0" applyFill="0" applyBorder="0" applyAlignment="0" applyProtection="0"/>
    <xf numFmtId="172" fontId="78" fillId="0" borderId="0" applyFont="0" applyFill="0" applyBorder="0" applyAlignment="0" applyProtection="0"/>
    <xf numFmtId="205" fontId="78" fillId="0" borderId="0" applyFont="0" applyFill="0" applyBorder="0" applyAlignment="0" applyProtection="0"/>
    <xf numFmtId="170" fontId="78" fillId="0" borderId="0" applyFont="0" applyFill="0" applyBorder="0" applyAlignment="0" applyProtection="0"/>
    <xf numFmtId="170" fontId="78" fillId="0" borderId="0" applyFont="0" applyFill="0" applyBorder="0" applyAlignment="0" applyProtection="0"/>
    <xf numFmtId="207" fontId="88" fillId="0" borderId="0" applyFill="0" applyBorder="0" applyAlignment="0" applyProtection="0"/>
    <xf numFmtId="170" fontId="78" fillId="0" borderId="0" applyFont="0" applyFill="0" applyBorder="0" applyAlignment="0" applyProtection="0"/>
    <xf numFmtId="0" fontId="88" fillId="0" borderId="0" applyFill="0" applyBorder="0" applyAlignment="0" applyProtection="0"/>
    <xf numFmtId="0" fontId="78" fillId="0" borderId="0" applyFont="0" applyFill="0" applyBorder="0" applyAlignment="0" applyProtection="0"/>
    <xf numFmtId="0" fontId="88" fillId="0" borderId="0" applyFill="0" applyBorder="0" applyAlignment="0" applyProtection="0"/>
    <xf numFmtId="0" fontId="78" fillId="0" borderId="0" applyFont="0" applyFill="0" applyBorder="0" applyAlignment="0" applyProtection="0"/>
    <xf numFmtId="205" fontId="78" fillId="0" borderId="0" applyFont="0" applyFill="0" applyBorder="0" applyAlignment="0" applyProtection="0"/>
    <xf numFmtId="170" fontId="78" fillId="0" borderId="0" applyFont="0" applyFill="0" applyBorder="0" applyAlignment="0" applyProtection="0"/>
    <xf numFmtId="172" fontId="78" fillId="0" borderId="0" applyFont="0" applyFill="0" applyBorder="0" applyAlignment="0" applyProtection="0"/>
    <xf numFmtId="170" fontId="78" fillId="0" borderId="0" applyFont="0" applyFill="0" applyBorder="0" applyAlignment="0" applyProtection="0"/>
    <xf numFmtId="208" fontId="78" fillId="0" borderId="0" applyFont="0" applyFill="0" applyBorder="0" applyAlignment="0" applyProtection="0"/>
    <xf numFmtId="209" fontId="78" fillId="0" borderId="0" applyFont="0" applyFill="0" applyBorder="0" applyAlignment="0" applyProtection="0"/>
    <xf numFmtId="170" fontId="78" fillId="0" borderId="0" applyFont="0" applyFill="0" applyBorder="0" applyAlignment="0" applyProtection="0"/>
    <xf numFmtId="170" fontId="78" fillId="0" borderId="0" applyFont="0" applyFill="0" applyBorder="0" applyAlignment="0" applyProtection="0"/>
    <xf numFmtId="191" fontId="67" fillId="0" borderId="0" applyFont="0" applyFill="0" applyBorder="0" applyAlignment="0" applyProtection="0"/>
    <xf numFmtId="191" fontId="67" fillId="0" borderId="0" applyFont="0" applyFill="0" applyBorder="0" applyAlignment="0" applyProtection="0"/>
    <xf numFmtId="191" fontId="67" fillId="0" borderId="0" applyFont="0" applyFill="0" applyBorder="0" applyAlignment="0" applyProtection="0"/>
    <xf numFmtId="190" fontId="67" fillId="0" borderId="0" applyFont="0" applyFill="0" applyBorder="0" applyAlignment="0" applyProtection="0"/>
    <xf numFmtId="172" fontId="67" fillId="0" borderId="0" applyFont="0" applyFill="0" applyBorder="0" applyAlignment="0" applyProtection="0"/>
    <xf numFmtId="172" fontId="67" fillId="0" borderId="0" applyFont="0" applyFill="0" applyBorder="0" applyAlignment="0" applyProtection="0"/>
    <xf numFmtId="0" fontId="81" fillId="0" borderId="0"/>
    <xf numFmtId="0" fontId="18" fillId="0" borderId="0"/>
    <xf numFmtId="0" fontId="94" fillId="0" borderId="0"/>
    <xf numFmtId="0" fontId="93" fillId="0" borderId="0"/>
    <xf numFmtId="0" fontId="81" fillId="0" borderId="0"/>
    <xf numFmtId="0" fontId="18" fillId="0" borderId="0"/>
    <xf numFmtId="0" fontId="81" fillId="0" borderId="0"/>
    <xf numFmtId="0" fontId="18" fillId="0" borderId="0"/>
    <xf numFmtId="167" fontId="78" fillId="0" borderId="0" applyFont="0" applyFill="0" applyBorder="0" applyAlignment="0" applyProtection="0"/>
    <xf numFmtId="167" fontId="78" fillId="0" borderId="0" applyFont="0" applyFill="0" applyBorder="0" applyAlignment="0" applyProtection="0"/>
    <xf numFmtId="0" fontId="94" fillId="0" borderId="0"/>
    <xf numFmtId="0" fontId="93" fillId="0" borderId="0"/>
    <xf numFmtId="0" fontId="92"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81" fillId="0" borderId="0"/>
    <xf numFmtId="0" fontId="18" fillId="0" borderId="0"/>
    <xf numFmtId="0" fontId="96"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4" fillId="0" borderId="0"/>
    <xf numFmtId="0" fontId="93" fillId="0" borderId="0"/>
    <xf numFmtId="0" fontId="93" fillId="0" borderId="0"/>
    <xf numFmtId="0" fontId="93" fillId="0" borderId="0"/>
    <xf numFmtId="0" fontId="93" fillId="0" borderId="0"/>
    <xf numFmtId="0" fontId="76" fillId="0" borderId="0" applyNumberFormat="0" applyFill="0" applyBorder="0" applyAlignment="0" applyProtection="0"/>
    <xf numFmtId="0" fontId="92"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67" fontId="78" fillId="0" borderId="0" applyFont="0" applyFill="0" applyBorder="0" applyAlignment="0" applyProtection="0"/>
    <xf numFmtId="167" fontId="78" fillId="0" borderId="0" applyFont="0" applyFill="0" applyBorder="0" applyAlignment="0" applyProtection="0"/>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16" fillId="0" borderId="0"/>
    <xf numFmtId="0" fontId="95" fillId="0" borderId="0">
      <alignment vertical="top"/>
    </xf>
    <xf numFmtId="0" fontId="95" fillId="0" borderId="0">
      <alignment vertical="top"/>
    </xf>
    <xf numFmtId="0" fontId="98" fillId="0" borderId="0">
      <alignment vertical="top"/>
    </xf>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98" fillId="0" borderId="0">
      <alignment vertical="top"/>
    </xf>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95" fillId="0" borderId="0">
      <alignment vertical="top"/>
    </xf>
    <xf numFmtId="0" fontId="93" fillId="0" borderId="0"/>
    <xf numFmtId="0" fontId="93" fillId="0" borderId="0"/>
    <xf numFmtId="0" fontId="81" fillId="0" borderId="0"/>
    <xf numFmtId="0" fontId="16" fillId="0" borderId="0"/>
    <xf numFmtId="0" fontId="16" fillId="0" borderId="0"/>
    <xf numFmtId="0" fontId="16" fillId="0" borderId="0"/>
    <xf numFmtId="0" fontId="16" fillId="0" borderId="0"/>
    <xf numFmtId="0" fontId="16" fillId="0" borderId="0"/>
    <xf numFmtId="0" fontId="76"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xf numFmtId="0" fontId="18" fillId="0" borderId="0"/>
    <xf numFmtId="0" fontId="18" fillId="0" borderId="0"/>
    <xf numFmtId="219" fontId="99" fillId="0" borderId="0" applyFont="0" applyFill="0" applyBorder="0" applyAlignment="0" applyProtection="0"/>
    <xf numFmtId="219" fontId="99" fillId="0" borderId="0" applyFont="0" applyFill="0" applyBorder="0" applyAlignment="0" applyProtection="0"/>
    <xf numFmtId="219" fontId="100" fillId="0" borderId="0" applyFont="0" applyFill="0" applyBorder="0" applyAlignment="0" applyProtection="0"/>
    <xf numFmtId="219" fontId="100" fillId="0" borderId="0" applyFont="0" applyFill="0" applyBorder="0" applyAlignment="0" applyProtection="0"/>
    <xf numFmtId="0" fontId="16" fillId="0" borderId="0"/>
    <xf numFmtId="220" fontId="101" fillId="0" borderId="0" applyFont="0" applyFill="0" applyBorder="0" applyAlignment="0" applyProtection="0"/>
    <xf numFmtId="221" fontId="101" fillId="0" borderId="0" applyFont="0" applyFill="0" applyBorder="0" applyAlignment="0" applyProtection="0"/>
    <xf numFmtId="0" fontId="16" fillId="0" borderId="0" applyNumberFormat="0" applyFill="0" applyBorder="0" applyAlignment="0" applyProtection="0"/>
    <xf numFmtId="222" fontId="16" fillId="0" borderId="0" applyFont="0" applyFill="0" applyBorder="0" applyAlignment="0" applyProtection="0"/>
    <xf numFmtId="223" fontId="16" fillId="0" borderId="0" applyFont="0" applyFill="0" applyBorder="0" applyAlignment="0" applyProtection="0"/>
    <xf numFmtId="0" fontId="102" fillId="0" borderId="0"/>
    <xf numFmtId="0" fontId="102" fillId="0" borderId="0"/>
    <xf numFmtId="0" fontId="103" fillId="0" borderId="0"/>
    <xf numFmtId="0" fontId="5" fillId="0" borderId="0"/>
    <xf numFmtId="1" fontId="104" fillId="0" borderId="1" applyBorder="0" applyAlignment="0">
      <alignment horizontal="center"/>
    </xf>
    <xf numFmtId="1" fontId="104" fillId="0" borderId="1" applyBorder="0" applyAlignment="0">
      <alignment horizontal="center"/>
    </xf>
    <xf numFmtId="1" fontId="105" fillId="0" borderId="1" applyBorder="0" applyAlignment="0">
      <alignment horizontal="center"/>
    </xf>
    <xf numFmtId="224" fontId="88" fillId="0" borderId="0" applyFill="0" applyBorder="0" applyAlignment="0" applyProtection="0"/>
    <xf numFmtId="224" fontId="106" fillId="0" borderId="0" applyFont="0" applyFill="0" applyBorder="0" applyAlignment="0" applyProtection="0"/>
    <xf numFmtId="3" fontId="71" fillId="0" borderId="1"/>
    <xf numFmtId="3" fontId="71" fillId="0" borderId="1"/>
    <xf numFmtId="184" fontId="88" fillId="0" borderId="0" applyFill="0" applyBorder="0" applyAlignment="0" applyProtection="0"/>
    <xf numFmtId="184" fontId="106" fillId="0" borderId="0" applyFont="0" applyFill="0" applyBorder="0" applyAlignment="0" applyProtection="0"/>
    <xf numFmtId="0" fontId="67" fillId="0" borderId="0" applyFont="0" applyFill="0" applyBorder="0" applyAlignment="0"/>
    <xf numFmtId="3" fontId="71" fillId="0" borderId="1"/>
    <xf numFmtId="3" fontId="71" fillId="0" borderId="1"/>
    <xf numFmtId="10" fontId="88" fillId="0" borderId="0" applyFill="0" applyBorder="0" applyAlignment="0" applyProtection="0"/>
    <xf numFmtId="10" fontId="106" fillId="0" borderId="0" applyFont="0" applyFill="0" applyBorder="0" applyAlignment="0" applyProtection="0"/>
    <xf numFmtId="1" fontId="105" fillId="0" borderId="1" applyBorder="0" applyAlignment="0">
      <alignment horizontal="center"/>
    </xf>
    <xf numFmtId="1" fontId="105" fillId="0" borderId="1" applyBorder="0" applyAlignment="0">
      <alignment horizontal="center"/>
    </xf>
    <xf numFmtId="1" fontId="107" fillId="0" borderId="0" applyBorder="0" applyAlignment="0"/>
    <xf numFmtId="1" fontId="104" fillId="0" borderId="1" applyBorder="0" applyAlignment="0">
      <alignment horizontal="center"/>
    </xf>
    <xf numFmtId="1" fontId="105" fillId="0" borderId="1" applyBorder="0" applyAlignment="0">
      <alignment horizontal="center"/>
    </xf>
    <xf numFmtId="1" fontId="104" fillId="0" borderId="0" applyBorder="0" applyAlignment="0"/>
    <xf numFmtId="1" fontId="104" fillId="0" borderId="1" applyBorder="0" applyAlignment="0">
      <alignment horizontal="center"/>
    </xf>
    <xf numFmtId="1" fontId="105" fillId="0" borderId="1" applyBorder="0" applyAlignment="0">
      <alignment horizontal="center"/>
    </xf>
    <xf numFmtId="225" fontId="67" fillId="0" borderId="0" applyFont="0" applyFill="0" applyBorder="0" applyAlignment="0" applyProtection="0"/>
    <xf numFmtId="219" fontId="99" fillId="0" borderId="0" applyFont="0" applyFill="0" applyBorder="0" applyAlignment="0" applyProtection="0"/>
    <xf numFmtId="219" fontId="100" fillId="0" borderId="0" applyFont="0" applyFill="0" applyBorder="0" applyAlignment="0" applyProtection="0"/>
    <xf numFmtId="0" fontId="108" fillId="7" borderId="0"/>
    <xf numFmtId="219" fontId="99" fillId="0" borderId="0" applyFont="0" applyFill="0" applyBorder="0" applyAlignment="0" applyProtection="0"/>
    <xf numFmtId="0" fontId="108" fillId="7" borderId="0"/>
    <xf numFmtId="226" fontId="91" fillId="0" borderId="0" applyFill="0" applyBorder="0" applyAlignment="0" applyProtection="0"/>
    <xf numFmtId="0" fontId="108" fillId="7" borderId="0"/>
    <xf numFmtId="0" fontId="108" fillId="7" borderId="0"/>
    <xf numFmtId="0" fontId="108" fillId="7" borderId="0"/>
    <xf numFmtId="0" fontId="108" fillId="7" borderId="0"/>
    <xf numFmtId="0" fontId="108" fillId="7" borderId="0"/>
    <xf numFmtId="0" fontId="109" fillId="8" borderId="0"/>
    <xf numFmtId="0" fontId="108" fillId="7" borderId="0"/>
    <xf numFmtId="0" fontId="109" fillId="8" borderId="0"/>
    <xf numFmtId="0" fontId="108" fillId="7" borderId="0"/>
    <xf numFmtId="219" fontId="100" fillId="0" borderId="0" applyFont="0" applyFill="0" applyBorder="0" applyAlignment="0" applyProtection="0"/>
    <xf numFmtId="0" fontId="108" fillId="7" borderId="0"/>
    <xf numFmtId="0" fontId="108" fillId="7" borderId="0"/>
    <xf numFmtId="0" fontId="110" fillId="7" borderId="0"/>
    <xf numFmtId="0" fontId="111" fillId="7" borderId="0"/>
    <xf numFmtId="0" fontId="111" fillId="7" borderId="0"/>
    <xf numFmtId="0" fontId="111" fillId="7" borderId="0"/>
    <xf numFmtId="0" fontId="110" fillId="7" borderId="0"/>
    <xf numFmtId="0" fontId="111" fillId="7" borderId="0"/>
    <xf numFmtId="0" fontId="111" fillId="7" borderId="0"/>
    <xf numFmtId="0" fontId="111" fillId="7" borderId="0"/>
    <xf numFmtId="219" fontId="99" fillId="0" borderId="0" applyFont="0" applyFill="0" applyBorder="0" applyAlignment="0" applyProtection="0"/>
    <xf numFmtId="226" fontId="88" fillId="0" borderId="0" applyFill="0" applyBorder="0" applyAlignment="0" applyProtection="0"/>
    <xf numFmtId="219" fontId="99" fillId="0" borderId="0" applyFont="0" applyFill="0" applyBorder="0" applyAlignment="0" applyProtection="0"/>
    <xf numFmtId="0" fontId="109" fillId="8" borderId="0"/>
    <xf numFmtId="0" fontId="108" fillId="7" borderId="0"/>
    <xf numFmtId="219" fontId="100" fillId="0" borderId="0" applyFont="0" applyFill="0" applyBorder="0" applyAlignment="0" applyProtection="0"/>
    <xf numFmtId="226" fontId="88" fillId="0" borderId="0" applyFill="0" applyBorder="0" applyAlignment="0" applyProtection="0"/>
    <xf numFmtId="219" fontId="99" fillId="0" borderId="0" applyFont="0" applyFill="0" applyBorder="0" applyAlignment="0" applyProtection="0"/>
    <xf numFmtId="0" fontId="110" fillId="7" borderId="0"/>
    <xf numFmtId="0" fontId="111" fillId="7" borderId="0"/>
    <xf numFmtId="0" fontId="111" fillId="7" borderId="0"/>
    <xf numFmtId="0" fontId="111" fillId="7" borderId="0"/>
    <xf numFmtId="0" fontId="109" fillId="8" borderId="0"/>
    <xf numFmtId="0" fontId="108" fillId="7" borderId="0"/>
    <xf numFmtId="226" fontId="88" fillId="0" borderId="0" applyFill="0" applyBorder="0" applyAlignment="0" applyProtection="0"/>
    <xf numFmtId="219" fontId="99" fillId="0" borderId="0" applyFont="0" applyFill="0" applyBorder="0" applyAlignment="0" applyProtection="0"/>
    <xf numFmtId="0" fontId="110" fillId="7" borderId="0"/>
    <xf numFmtId="0" fontId="111" fillId="7" borderId="0"/>
    <xf numFmtId="0" fontId="111" fillId="7" borderId="0"/>
    <xf numFmtId="226" fontId="88" fillId="0" borderId="0" applyFill="0" applyBorder="0" applyAlignment="0" applyProtection="0"/>
    <xf numFmtId="219" fontId="99" fillId="0" borderId="0" applyFont="0" applyFill="0" applyBorder="0" applyAlignment="0" applyProtection="0"/>
    <xf numFmtId="0" fontId="109" fillId="8" borderId="0"/>
    <xf numFmtId="0" fontId="108" fillId="7" borderId="0"/>
    <xf numFmtId="0" fontId="109" fillId="8" borderId="0"/>
    <xf numFmtId="0" fontId="108" fillId="7" borderId="0"/>
    <xf numFmtId="226" fontId="88" fillId="0" borderId="0" applyFill="0" applyBorder="0" applyAlignment="0" applyProtection="0"/>
    <xf numFmtId="219" fontId="99" fillId="0" borderId="0" applyFont="0" applyFill="0" applyBorder="0" applyAlignment="0" applyProtection="0"/>
    <xf numFmtId="0" fontId="112" fillId="0" borderId="0" applyFont="0" applyFill="0" applyBorder="0" applyAlignment="0">
      <alignment horizontal="left"/>
    </xf>
    <xf numFmtId="0" fontId="112" fillId="0" borderId="0" applyFont="0" applyFill="0" applyBorder="0" applyAlignment="0">
      <alignment horizontal="left"/>
    </xf>
    <xf numFmtId="0" fontId="112" fillId="0" borderId="0" applyFont="0" applyFill="0" applyBorder="0" applyAlignment="0">
      <alignment horizontal="left"/>
    </xf>
    <xf numFmtId="0" fontId="110" fillId="7" borderId="0"/>
    <xf numFmtId="0" fontId="111" fillId="7" borderId="0"/>
    <xf numFmtId="0" fontId="111" fillId="7" borderId="0"/>
    <xf numFmtId="0" fontId="111" fillId="7" borderId="0"/>
    <xf numFmtId="219" fontId="99" fillId="0" borderId="0" applyFont="0" applyFill="0" applyBorder="0" applyAlignment="0" applyProtection="0"/>
    <xf numFmtId="0" fontId="109" fillId="8" borderId="0"/>
    <xf numFmtId="0" fontId="108" fillId="8" borderId="0"/>
    <xf numFmtId="0" fontId="109" fillId="8" borderId="0"/>
    <xf numFmtId="0" fontId="108" fillId="8" borderId="0"/>
    <xf numFmtId="226" fontId="88" fillId="0" borderId="0" applyFill="0" applyBorder="0" applyAlignment="0" applyProtection="0"/>
    <xf numFmtId="219" fontId="99" fillId="0" borderId="0" applyFont="0" applyFill="0" applyBorder="0" applyAlignment="0" applyProtection="0"/>
    <xf numFmtId="219" fontId="99" fillId="0" borderId="0" applyFont="0" applyFill="0" applyBorder="0" applyAlignment="0" applyProtection="0"/>
    <xf numFmtId="219" fontId="99" fillId="0" borderId="0" applyFont="0" applyFill="0" applyBorder="0" applyAlignment="0" applyProtection="0"/>
    <xf numFmtId="226" fontId="88" fillId="0" borderId="0" applyFill="0" applyBorder="0" applyAlignment="0" applyProtection="0"/>
    <xf numFmtId="226" fontId="88" fillId="0" borderId="0" applyFill="0" applyBorder="0" applyAlignment="0" applyProtection="0"/>
    <xf numFmtId="226" fontId="88" fillId="0" borderId="0" applyFill="0" applyBorder="0" applyAlignment="0" applyProtection="0"/>
    <xf numFmtId="219" fontId="99" fillId="0" borderId="0" applyFont="0" applyFill="0" applyBorder="0" applyAlignment="0" applyProtection="0"/>
    <xf numFmtId="226" fontId="88" fillId="0" borderId="0" applyFill="0" applyBorder="0" applyAlignment="0" applyProtection="0"/>
    <xf numFmtId="219" fontId="99" fillId="0" borderId="0" applyFont="0" applyFill="0" applyBorder="0" applyAlignment="0" applyProtection="0"/>
    <xf numFmtId="0" fontId="109" fillId="8" borderId="0"/>
    <xf numFmtId="0" fontId="108" fillId="7" borderId="0"/>
    <xf numFmtId="0" fontId="109" fillId="8" borderId="0"/>
    <xf numFmtId="0" fontId="108" fillId="7" borderId="0"/>
    <xf numFmtId="219" fontId="99" fillId="0" borderId="0" applyFont="0" applyFill="0" applyBorder="0" applyAlignment="0" applyProtection="0"/>
    <xf numFmtId="0" fontId="109" fillId="8" borderId="0"/>
    <xf numFmtId="0" fontId="108" fillId="7" borderId="0"/>
    <xf numFmtId="0" fontId="108" fillId="7" borderId="0"/>
    <xf numFmtId="0" fontId="108" fillId="7" borderId="0"/>
    <xf numFmtId="0" fontId="108" fillId="7" borderId="0"/>
    <xf numFmtId="0" fontId="108" fillId="7" borderId="0"/>
    <xf numFmtId="0" fontId="108" fillId="7" borderId="0"/>
    <xf numFmtId="0" fontId="113" fillId="0" borderId="1" applyNumberFormat="0" applyFont="0" applyBorder="0">
      <alignment horizontal="left" indent="2"/>
    </xf>
    <xf numFmtId="0" fontId="113" fillId="0" borderId="1" applyNumberFormat="0" applyFont="0" applyBorder="0">
      <alignment horizontal="left" indent="2"/>
    </xf>
    <xf numFmtId="0" fontId="112" fillId="0" borderId="0" applyFont="0" applyFill="0" applyBorder="0" applyAlignment="0">
      <alignment horizontal="left"/>
    </xf>
    <xf numFmtId="0" fontId="112" fillId="0" borderId="0" applyFont="0" applyFill="0" applyBorder="0" applyAlignment="0">
      <alignment horizontal="left"/>
    </xf>
    <xf numFmtId="0" fontId="112" fillId="0" borderId="0" applyFont="0" applyFill="0" applyBorder="0" applyAlignment="0">
      <alignment horizontal="left"/>
    </xf>
    <xf numFmtId="0" fontId="114" fillId="0" borderId="0"/>
    <xf numFmtId="0" fontId="115" fillId="0" borderId="0"/>
    <xf numFmtId="0" fontId="116" fillId="9" borderId="26" applyFont="0" applyFill="0" applyAlignment="0">
      <alignment vertical="center" wrapText="1"/>
    </xf>
    <xf numFmtId="0" fontId="116" fillId="9" borderId="26" applyFont="0" applyFill="0" applyAlignment="0">
      <alignment vertical="center" wrapText="1"/>
    </xf>
    <xf numFmtId="9" fontId="117" fillId="0" borderId="0" applyBorder="0" applyAlignment="0" applyProtection="0"/>
    <xf numFmtId="0" fontId="118" fillId="7" borderId="0"/>
    <xf numFmtId="0" fontId="118" fillId="7" borderId="0"/>
    <xf numFmtId="0" fontId="119" fillId="8" borderId="0"/>
    <xf numFmtId="0" fontId="118" fillId="7" borderId="0"/>
    <xf numFmtId="0" fontId="119" fillId="8" borderId="0"/>
    <xf numFmtId="0" fontId="118" fillId="7" borderId="0"/>
    <xf numFmtId="0" fontId="118" fillId="7" borderId="0"/>
    <xf numFmtId="0" fontId="118" fillId="7" borderId="0"/>
    <xf numFmtId="0" fontId="110" fillId="7" borderId="0"/>
    <xf numFmtId="0" fontId="111" fillId="7" borderId="0"/>
    <xf numFmtId="0" fontId="111" fillId="7" borderId="0"/>
    <xf numFmtId="0" fontId="111" fillId="7" borderId="0"/>
    <xf numFmtId="0" fontId="110" fillId="7" borderId="0"/>
    <xf numFmtId="0" fontId="111" fillId="7" borderId="0"/>
    <xf numFmtId="0" fontId="111" fillId="7" borderId="0"/>
    <xf numFmtId="0" fontId="111" fillId="7" borderId="0"/>
    <xf numFmtId="0" fontId="119" fillId="8" borderId="0"/>
    <xf numFmtId="0" fontId="118" fillId="7" borderId="0"/>
    <xf numFmtId="0" fontId="119" fillId="8" borderId="0"/>
    <xf numFmtId="0" fontId="118" fillId="8" borderId="0"/>
    <xf numFmtId="0" fontId="110" fillId="7" borderId="0"/>
    <xf numFmtId="0" fontId="111" fillId="7" borderId="0"/>
    <xf numFmtId="0" fontId="111" fillId="7" borderId="0"/>
    <xf numFmtId="0" fontId="111" fillId="7" borderId="0"/>
    <xf numFmtId="0" fontId="119" fillId="8" borderId="0"/>
    <xf numFmtId="0" fontId="118" fillId="7" borderId="0"/>
    <xf numFmtId="0" fontId="110" fillId="7" borderId="0"/>
    <xf numFmtId="0" fontId="111" fillId="7" borderId="0"/>
    <xf numFmtId="0" fontId="111" fillId="7" borderId="0"/>
    <xf numFmtId="0" fontId="119" fillId="8" borderId="0"/>
    <xf numFmtId="0" fontId="118" fillId="8" borderId="0"/>
    <xf numFmtId="0" fontId="110" fillId="7" borderId="0"/>
    <xf numFmtId="0" fontId="111" fillId="7" borderId="0"/>
    <xf numFmtId="0" fontId="111" fillId="7" borderId="0"/>
    <xf numFmtId="0" fontId="111" fillId="7" borderId="0"/>
    <xf numFmtId="0" fontId="119" fillId="8" borderId="0"/>
    <xf numFmtId="0" fontId="118" fillId="8" borderId="0"/>
    <xf numFmtId="0" fontId="119" fillId="8" borderId="0"/>
    <xf numFmtId="0" fontId="118" fillId="7" borderId="0"/>
    <xf numFmtId="0" fontId="118" fillId="7" borderId="0"/>
    <xf numFmtId="0" fontId="118" fillId="7" borderId="0"/>
    <xf numFmtId="0" fontId="118" fillId="7" borderId="0"/>
    <xf numFmtId="0" fontId="118" fillId="7" borderId="0"/>
    <xf numFmtId="0" fontId="113" fillId="0" borderId="1" applyNumberFormat="0" applyFont="0" applyBorder="0" applyAlignment="0">
      <alignment horizontal="center"/>
    </xf>
    <xf numFmtId="0" fontId="113" fillId="0" borderId="1" applyNumberFormat="0" applyFont="0" applyBorder="0" applyAlignment="0">
      <alignment horizontal="center"/>
    </xf>
    <xf numFmtId="0" fontId="91" fillId="0" borderId="0"/>
    <xf numFmtId="0" fontId="69" fillId="0" borderId="0"/>
    <xf numFmtId="0" fontId="69" fillId="0" borderId="0"/>
    <xf numFmtId="0" fontId="69" fillId="0" borderId="0"/>
    <xf numFmtId="0" fontId="13" fillId="10" borderId="0" applyNumberFormat="0" applyBorder="0" applyAlignment="0" applyProtection="0"/>
    <xf numFmtId="0" fontId="13" fillId="10" borderId="0" applyNumberFormat="0" applyBorder="0" applyAlignment="0" applyProtection="0"/>
    <xf numFmtId="0" fontId="120" fillId="10" borderId="0" applyNumberFormat="0" applyBorder="0" applyAlignment="0" applyProtection="0">
      <alignment vertical="center"/>
    </xf>
    <xf numFmtId="0" fontId="13" fillId="10" borderId="0" applyNumberFormat="0" applyBorder="0" applyAlignment="0" applyProtection="0"/>
    <xf numFmtId="0" fontId="121"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20" fillId="11" borderId="0" applyNumberFormat="0" applyBorder="0" applyAlignment="0" applyProtection="0">
      <alignment vertical="center"/>
    </xf>
    <xf numFmtId="0" fontId="13" fillId="11" borderId="0" applyNumberFormat="0" applyBorder="0" applyAlignment="0" applyProtection="0"/>
    <xf numFmtId="0" fontId="121"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20" fillId="12" borderId="0" applyNumberFormat="0" applyBorder="0" applyAlignment="0" applyProtection="0">
      <alignment vertical="center"/>
    </xf>
    <xf numFmtId="0" fontId="13" fillId="12" borderId="0" applyNumberFormat="0" applyBorder="0" applyAlignment="0" applyProtection="0"/>
    <xf numFmtId="0" fontId="121"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20" fillId="13" borderId="0" applyNumberFormat="0" applyBorder="0" applyAlignment="0" applyProtection="0">
      <alignment vertical="center"/>
    </xf>
    <xf numFmtId="0" fontId="13" fillId="13" borderId="0" applyNumberFormat="0" applyBorder="0" applyAlignment="0" applyProtection="0"/>
    <xf numFmtId="0" fontId="121"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20" fillId="14" borderId="0" applyNumberFormat="0" applyBorder="0" applyAlignment="0" applyProtection="0">
      <alignment vertical="center"/>
    </xf>
    <xf numFmtId="0" fontId="13" fillId="14" borderId="0" applyNumberFormat="0" applyBorder="0" applyAlignment="0" applyProtection="0"/>
    <xf numFmtId="0" fontId="121"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20" fillId="15" borderId="0" applyNumberFormat="0" applyBorder="0" applyAlignment="0" applyProtection="0">
      <alignment vertical="center"/>
    </xf>
    <xf numFmtId="0" fontId="13" fillId="15" borderId="0" applyNumberFormat="0" applyBorder="0" applyAlignment="0" applyProtection="0"/>
    <xf numFmtId="0" fontId="121" fillId="15" borderId="0" applyNumberFormat="0" applyBorder="0" applyAlignment="0" applyProtection="0"/>
    <xf numFmtId="0" fontId="16" fillId="0" borderId="0"/>
    <xf numFmtId="0" fontId="16" fillId="0" borderId="0"/>
    <xf numFmtId="0" fontId="16" fillId="0" borderId="0"/>
    <xf numFmtId="0" fontId="16" fillId="0" borderId="0"/>
    <xf numFmtId="0" fontId="122" fillId="7" borderId="0"/>
    <xf numFmtId="0" fontId="122" fillId="7" borderId="0"/>
    <xf numFmtId="0" fontId="123" fillId="8" borderId="0"/>
    <xf numFmtId="0" fontId="122" fillId="7" borderId="0"/>
    <xf numFmtId="0" fontId="123" fillId="8" borderId="0"/>
    <xf numFmtId="0" fontId="122" fillId="7" borderId="0"/>
    <xf numFmtId="0" fontId="122" fillId="7" borderId="0"/>
    <xf numFmtId="0" fontId="122" fillId="7" borderId="0"/>
    <xf numFmtId="0" fontId="110" fillId="7" borderId="0"/>
    <xf numFmtId="0" fontId="111" fillId="7" borderId="0"/>
    <xf numFmtId="0" fontId="111" fillId="7" borderId="0"/>
    <xf numFmtId="0" fontId="111" fillId="7" borderId="0"/>
    <xf numFmtId="0" fontId="110" fillId="7" borderId="0"/>
    <xf numFmtId="0" fontId="111" fillId="7" borderId="0"/>
    <xf numFmtId="0" fontId="111" fillId="7" borderId="0"/>
    <xf numFmtId="0" fontId="111" fillId="7" borderId="0"/>
    <xf numFmtId="0" fontId="123" fillId="8" borderId="0"/>
    <xf numFmtId="0" fontId="122" fillId="7" borderId="0"/>
    <xf numFmtId="0" fontId="123" fillId="8" borderId="0"/>
    <xf numFmtId="0" fontId="122" fillId="8" borderId="0"/>
    <xf numFmtId="0" fontId="110" fillId="7" borderId="0"/>
    <xf numFmtId="0" fontId="111" fillId="7" borderId="0"/>
    <xf numFmtId="0" fontId="111" fillId="7" borderId="0"/>
    <xf numFmtId="0" fontId="111" fillId="7" borderId="0"/>
    <xf numFmtId="0" fontId="123" fillId="8" borderId="0"/>
    <xf numFmtId="0" fontId="122" fillId="7" borderId="0"/>
    <xf numFmtId="0" fontId="110" fillId="7" borderId="0"/>
    <xf numFmtId="0" fontId="111" fillId="7" borderId="0"/>
    <xf numFmtId="0" fontId="111" fillId="7" borderId="0"/>
    <xf numFmtId="0" fontId="123" fillId="8" borderId="0"/>
    <xf numFmtId="0" fontId="122" fillId="8" borderId="0"/>
    <xf numFmtId="0" fontId="110" fillId="7" borderId="0"/>
    <xf numFmtId="0" fontId="111" fillId="7" borderId="0"/>
    <xf numFmtId="0" fontId="111" fillId="7" borderId="0"/>
    <xf numFmtId="0" fontId="111" fillId="7" borderId="0"/>
    <xf numFmtId="0" fontId="123" fillId="8" borderId="0"/>
    <xf numFmtId="0" fontId="122" fillId="8" borderId="0"/>
    <xf numFmtId="0" fontId="123" fillId="8" borderId="0"/>
    <xf numFmtId="0" fontId="122" fillId="7" borderId="0"/>
    <xf numFmtId="0" fontId="122" fillId="7" borderId="0"/>
    <xf numFmtId="0" fontId="122" fillId="7" borderId="0"/>
    <xf numFmtId="0" fontId="14" fillId="0" borderId="0"/>
    <xf numFmtId="0" fontId="124" fillId="0" borderId="0">
      <alignment wrapText="1"/>
    </xf>
    <xf numFmtId="0" fontId="124" fillId="0" borderId="0">
      <alignment wrapText="1"/>
    </xf>
    <xf numFmtId="0" fontId="124" fillId="0" borderId="0">
      <alignment wrapText="1"/>
    </xf>
    <xf numFmtId="0" fontId="124" fillId="0" borderId="0">
      <alignment wrapText="1"/>
    </xf>
    <xf numFmtId="0" fontId="110" fillId="0" borderId="0">
      <alignment wrapText="1"/>
    </xf>
    <xf numFmtId="0" fontId="111" fillId="0" borderId="0">
      <alignment wrapText="1"/>
    </xf>
    <xf numFmtId="0" fontId="111" fillId="0" borderId="0">
      <alignment wrapText="1"/>
    </xf>
    <xf numFmtId="0" fontId="111" fillId="0" borderId="0">
      <alignment wrapText="1"/>
    </xf>
    <xf numFmtId="0" fontId="110" fillId="0" borderId="0">
      <alignment wrapText="1"/>
    </xf>
    <xf numFmtId="0" fontId="111" fillId="0" borderId="0">
      <alignment wrapText="1"/>
    </xf>
    <xf numFmtId="0" fontId="111" fillId="0" borderId="0">
      <alignment wrapText="1"/>
    </xf>
    <xf numFmtId="0" fontId="111" fillId="0" borderId="0">
      <alignment wrapText="1"/>
    </xf>
    <xf numFmtId="0" fontId="110" fillId="0" borderId="0">
      <alignment wrapText="1"/>
    </xf>
    <xf numFmtId="0" fontId="111" fillId="0" borderId="0">
      <alignment wrapText="1"/>
    </xf>
    <xf numFmtId="0" fontId="111" fillId="0" borderId="0">
      <alignment wrapText="1"/>
    </xf>
    <xf numFmtId="0" fontId="111" fillId="0" borderId="0">
      <alignment wrapText="1"/>
    </xf>
    <xf numFmtId="0" fontId="110" fillId="0" borderId="0">
      <alignment wrapText="1"/>
    </xf>
    <xf numFmtId="0" fontId="111" fillId="0" borderId="0">
      <alignment wrapText="1"/>
    </xf>
    <xf numFmtId="0" fontId="111" fillId="0" borderId="0">
      <alignment wrapText="1"/>
    </xf>
    <xf numFmtId="0" fontId="110" fillId="0" borderId="0">
      <alignment wrapText="1"/>
    </xf>
    <xf numFmtId="0" fontId="111" fillId="0" borderId="0">
      <alignment wrapText="1"/>
    </xf>
    <xf numFmtId="0" fontId="111" fillId="0" borderId="0">
      <alignment wrapText="1"/>
    </xf>
    <xf numFmtId="0" fontId="111" fillId="0" borderId="0">
      <alignment wrapText="1"/>
    </xf>
    <xf numFmtId="0" fontId="124" fillId="0" borderId="0">
      <alignment wrapText="1"/>
    </xf>
    <xf numFmtId="0" fontId="124" fillId="0" borderId="0">
      <alignment wrapText="1"/>
    </xf>
    <xf numFmtId="0" fontId="13" fillId="16" borderId="0" applyNumberFormat="0" applyBorder="0" applyAlignment="0" applyProtection="0"/>
    <xf numFmtId="0" fontId="13" fillId="16" borderId="0" applyNumberFormat="0" applyBorder="0" applyAlignment="0" applyProtection="0"/>
    <xf numFmtId="0" fontId="120" fillId="16" borderId="0" applyNumberFormat="0" applyBorder="0" applyAlignment="0" applyProtection="0">
      <alignment vertical="center"/>
    </xf>
    <xf numFmtId="0" fontId="13" fillId="16" borderId="0" applyNumberFormat="0" applyBorder="0" applyAlignment="0" applyProtection="0"/>
    <xf numFmtId="0" fontId="121"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20" fillId="17" borderId="0" applyNumberFormat="0" applyBorder="0" applyAlignment="0" applyProtection="0">
      <alignment vertical="center"/>
    </xf>
    <xf numFmtId="0" fontId="13" fillId="17" borderId="0" applyNumberFormat="0" applyBorder="0" applyAlignment="0" applyProtection="0"/>
    <xf numFmtId="0" fontId="121"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20" fillId="18" borderId="0" applyNumberFormat="0" applyBorder="0" applyAlignment="0" applyProtection="0">
      <alignment vertical="center"/>
    </xf>
    <xf numFmtId="0" fontId="13" fillId="18" borderId="0" applyNumberFormat="0" applyBorder="0" applyAlignment="0" applyProtection="0"/>
    <xf numFmtId="0" fontId="121"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20" fillId="13" borderId="0" applyNumberFormat="0" applyBorder="0" applyAlignment="0" applyProtection="0">
      <alignment vertical="center"/>
    </xf>
    <xf numFmtId="0" fontId="13" fillId="13" borderId="0" applyNumberFormat="0" applyBorder="0" applyAlignment="0" applyProtection="0"/>
    <xf numFmtId="0" fontId="121" fillId="1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20" fillId="16" borderId="0" applyNumberFormat="0" applyBorder="0" applyAlignment="0" applyProtection="0">
      <alignment vertical="center"/>
    </xf>
    <xf numFmtId="0" fontId="13" fillId="16" borderId="0" applyNumberFormat="0" applyBorder="0" applyAlignment="0" applyProtection="0"/>
    <xf numFmtId="0" fontId="121" fillId="1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20" fillId="19" borderId="0" applyNumberFormat="0" applyBorder="0" applyAlignment="0" applyProtection="0">
      <alignment vertical="center"/>
    </xf>
    <xf numFmtId="0" fontId="13" fillId="19" borderId="0" applyNumberFormat="0" applyBorder="0" applyAlignment="0" applyProtection="0"/>
    <xf numFmtId="0" fontId="121" fillId="19" borderId="0" applyNumberFormat="0" applyBorder="0" applyAlignment="0" applyProtection="0"/>
    <xf numFmtId="175" fontId="125" fillId="0" borderId="9" applyNumberFormat="0" applyFont="0" applyBorder="0" applyAlignment="0">
      <alignment horizontal="center" vertical="center"/>
    </xf>
    <xf numFmtId="0" fontId="76" fillId="0" borderId="0"/>
    <xf numFmtId="0" fontId="77" fillId="0" borderId="0"/>
    <xf numFmtId="0" fontId="77" fillId="0" borderId="0"/>
    <xf numFmtId="0" fontId="92" fillId="0" borderId="0"/>
    <xf numFmtId="0" fontId="77" fillId="0" borderId="0"/>
    <xf numFmtId="0" fontId="77" fillId="0" borderId="0"/>
    <xf numFmtId="0" fontId="92" fillId="0" borderId="0"/>
    <xf numFmtId="0" fontId="77" fillId="0" borderId="0"/>
    <xf numFmtId="0" fontId="77" fillId="0" borderId="0"/>
    <xf numFmtId="0" fontId="77" fillId="0" borderId="0"/>
    <xf numFmtId="0" fontId="76" fillId="0" borderId="0"/>
    <xf numFmtId="0" fontId="92" fillId="0" borderId="0"/>
    <xf numFmtId="0" fontId="77" fillId="0" borderId="0"/>
    <xf numFmtId="0" fontId="77" fillId="0" borderId="0"/>
    <xf numFmtId="0" fontId="77" fillId="0" borderId="0"/>
    <xf numFmtId="0" fontId="92" fillId="0" borderId="0"/>
    <xf numFmtId="0" fontId="77" fillId="0" borderId="0"/>
    <xf numFmtId="0" fontId="77" fillId="0" borderId="0"/>
    <xf numFmtId="0" fontId="92" fillId="0" borderId="0"/>
    <xf numFmtId="0" fontId="77" fillId="0" borderId="0"/>
    <xf numFmtId="0" fontId="77" fillId="0" borderId="0"/>
    <xf numFmtId="0" fontId="76" fillId="0" borderId="0"/>
    <xf numFmtId="0" fontId="126" fillId="20" borderId="0" applyNumberFormat="0" applyBorder="0" applyAlignment="0" applyProtection="0"/>
    <xf numFmtId="0" fontId="126" fillId="20" borderId="0" applyNumberFormat="0" applyBorder="0" applyAlignment="0" applyProtection="0"/>
    <xf numFmtId="0" fontId="127" fillId="20" borderId="0" applyNumberFormat="0" applyBorder="0" applyAlignment="0" applyProtection="0">
      <alignment vertical="center"/>
    </xf>
    <xf numFmtId="0" fontId="126" fillId="20" borderId="0" applyNumberFormat="0" applyBorder="0" applyAlignment="0" applyProtection="0"/>
    <xf numFmtId="0" fontId="128" fillId="20" borderId="0" applyNumberFormat="0" applyBorder="0" applyAlignment="0" applyProtection="0"/>
    <xf numFmtId="0" fontId="126" fillId="17" borderId="0" applyNumberFormat="0" applyBorder="0" applyAlignment="0" applyProtection="0"/>
    <xf numFmtId="0" fontId="126" fillId="17" borderId="0" applyNumberFormat="0" applyBorder="0" applyAlignment="0" applyProtection="0"/>
    <xf numFmtId="0" fontId="127" fillId="17" borderId="0" applyNumberFormat="0" applyBorder="0" applyAlignment="0" applyProtection="0">
      <alignment vertical="center"/>
    </xf>
    <xf numFmtId="0" fontId="126" fillId="17" borderId="0" applyNumberFormat="0" applyBorder="0" applyAlignment="0" applyProtection="0"/>
    <xf numFmtId="0" fontId="128" fillId="17" borderId="0" applyNumberFormat="0" applyBorder="0" applyAlignment="0" applyProtection="0"/>
    <xf numFmtId="0" fontId="126" fillId="18" borderId="0" applyNumberFormat="0" applyBorder="0" applyAlignment="0" applyProtection="0"/>
    <xf numFmtId="0" fontId="126" fillId="18" borderId="0" applyNumberFormat="0" applyBorder="0" applyAlignment="0" applyProtection="0"/>
    <xf numFmtId="0" fontId="127" fillId="18" borderId="0" applyNumberFormat="0" applyBorder="0" applyAlignment="0" applyProtection="0">
      <alignment vertical="center"/>
    </xf>
    <xf numFmtId="0" fontId="126" fillId="18" borderId="0" applyNumberFormat="0" applyBorder="0" applyAlignment="0" applyProtection="0"/>
    <xf numFmtId="0" fontId="128" fillId="18"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7" fillId="21" borderId="0" applyNumberFormat="0" applyBorder="0" applyAlignment="0" applyProtection="0">
      <alignment vertical="center"/>
    </xf>
    <xf numFmtId="0" fontId="126" fillId="21" borderId="0" applyNumberFormat="0" applyBorder="0" applyAlignment="0" applyProtection="0"/>
    <xf numFmtId="0" fontId="128" fillId="21"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7" fillId="22" borderId="0" applyNumberFormat="0" applyBorder="0" applyAlignment="0" applyProtection="0">
      <alignment vertical="center"/>
    </xf>
    <xf numFmtId="0" fontId="126" fillId="22" borderId="0" applyNumberFormat="0" applyBorder="0" applyAlignment="0" applyProtection="0"/>
    <xf numFmtId="0" fontId="128" fillId="22" borderId="0" applyNumberFormat="0" applyBorder="0" applyAlignment="0" applyProtection="0"/>
    <xf numFmtId="0" fontId="126" fillId="23" borderId="0" applyNumberFormat="0" applyBorder="0" applyAlignment="0" applyProtection="0"/>
    <xf numFmtId="0" fontId="126" fillId="23" borderId="0" applyNumberFormat="0" applyBorder="0" applyAlignment="0" applyProtection="0"/>
    <xf numFmtId="0" fontId="127" fillId="23" borderId="0" applyNumberFormat="0" applyBorder="0" applyAlignment="0" applyProtection="0">
      <alignment vertical="center"/>
    </xf>
    <xf numFmtId="0" fontId="126" fillId="23" borderId="0" applyNumberFormat="0" applyBorder="0" applyAlignment="0" applyProtection="0"/>
    <xf numFmtId="0" fontId="128" fillId="23" borderId="0" applyNumberFormat="0" applyBorder="0" applyAlignment="0" applyProtection="0"/>
    <xf numFmtId="0" fontId="129" fillId="0" borderId="0"/>
    <xf numFmtId="0" fontId="130" fillId="0" borderId="0"/>
    <xf numFmtId="0" fontId="130" fillId="0" borderId="0"/>
    <xf numFmtId="0" fontId="130" fillId="0" borderId="0"/>
    <xf numFmtId="0" fontId="131" fillId="0" borderId="0"/>
    <xf numFmtId="0" fontId="132" fillId="0" borderId="0"/>
    <xf numFmtId="0" fontId="133" fillId="24" borderId="0" applyNumberFormat="0" applyBorder="0" applyAlignment="0" applyProtection="0"/>
    <xf numFmtId="0" fontId="133" fillId="24" borderId="0" applyNumberFormat="0" applyBorder="0" applyAlignment="0" applyProtection="0"/>
    <xf numFmtId="0" fontId="134" fillId="25"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7" fillId="26" borderId="0" applyNumberFormat="0" applyBorder="0" applyAlignment="0" applyProtection="0">
      <alignment vertical="center"/>
    </xf>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7" fillId="26" borderId="0" applyNumberFormat="0" applyBorder="0" applyAlignment="0" applyProtection="0">
      <alignment vertical="center"/>
    </xf>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8" fillId="26" borderId="0" applyNumberFormat="0" applyBorder="0" applyAlignment="0" applyProtection="0"/>
    <xf numFmtId="0" fontId="128" fillId="26" borderId="0" applyNumberFormat="0" applyBorder="0" applyAlignment="0" applyProtection="0"/>
    <xf numFmtId="0" fontId="126" fillId="26" borderId="0" applyNumberFormat="0" applyBorder="0" applyAlignment="0" applyProtection="0"/>
    <xf numFmtId="0" fontId="128"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26" fillId="26" borderId="0" applyNumberFormat="0" applyBorder="0" applyAlignment="0" applyProtection="0"/>
    <xf numFmtId="0" fontId="133" fillId="27" borderId="0" applyNumberFormat="0" applyBorder="0" applyAlignment="0" applyProtection="0"/>
    <xf numFmtId="0" fontId="133" fillId="28" borderId="0" applyNumberFormat="0" applyBorder="0" applyAlignment="0" applyProtection="0"/>
    <xf numFmtId="0" fontId="134" fillId="29"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7" fillId="30" borderId="0" applyNumberFormat="0" applyBorder="0" applyAlignment="0" applyProtection="0">
      <alignment vertical="center"/>
    </xf>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7" fillId="30" borderId="0" applyNumberFormat="0" applyBorder="0" applyAlignment="0" applyProtection="0">
      <alignment vertical="center"/>
    </xf>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8" fillId="30" borderId="0" applyNumberFormat="0" applyBorder="0" applyAlignment="0" applyProtection="0"/>
    <xf numFmtId="0" fontId="128" fillId="30" borderId="0" applyNumberFormat="0" applyBorder="0" applyAlignment="0" applyProtection="0"/>
    <xf numFmtId="0" fontId="126" fillId="30" borderId="0" applyNumberFormat="0" applyBorder="0" applyAlignment="0" applyProtection="0"/>
    <xf numFmtId="0" fontId="128"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26" fillId="30" borderId="0" applyNumberFormat="0" applyBorder="0" applyAlignment="0" applyProtection="0"/>
    <xf numFmtId="0" fontId="133" fillId="27" borderId="0" applyNumberFormat="0" applyBorder="0" applyAlignment="0" applyProtection="0"/>
    <xf numFmtId="0" fontId="133" fillId="31" borderId="0" applyNumberFormat="0" applyBorder="0" applyAlignment="0" applyProtection="0"/>
    <xf numFmtId="0" fontId="134" fillId="28"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7" fillId="32" borderId="0" applyNumberFormat="0" applyBorder="0" applyAlignment="0" applyProtection="0">
      <alignment vertical="center"/>
    </xf>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7" fillId="32" borderId="0" applyNumberFormat="0" applyBorder="0" applyAlignment="0" applyProtection="0">
      <alignment vertical="center"/>
    </xf>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8" fillId="32" borderId="0" applyNumberFormat="0" applyBorder="0" applyAlignment="0" applyProtection="0"/>
    <xf numFmtId="0" fontId="128" fillId="32" borderId="0" applyNumberFormat="0" applyBorder="0" applyAlignment="0" applyProtection="0"/>
    <xf numFmtId="0" fontId="126" fillId="32" borderId="0" applyNumberFormat="0" applyBorder="0" applyAlignment="0" applyProtection="0"/>
    <xf numFmtId="0" fontId="128"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26" fillId="32" borderId="0" applyNumberFormat="0" applyBorder="0" applyAlignment="0" applyProtection="0"/>
    <xf numFmtId="0" fontId="133" fillId="24" borderId="0" applyNumberFormat="0" applyBorder="0" applyAlignment="0" applyProtection="0"/>
    <xf numFmtId="0" fontId="133" fillId="28" borderId="0" applyNumberFormat="0" applyBorder="0" applyAlignment="0" applyProtection="0"/>
    <xf numFmtId="0" fontId="134" fillId="28"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7" fillId="21" borderId="0" applyNumberFormat="0" applyBorder="0" applyAlignment="0" applyProtection="0">
      <alignment vertical="center"/>
    </xf>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7" fillId="21" borderId="0" applyNumberFormat="0" applyBorder="0" applyAlignment="0" applyProtection="0">
      <alignment vertical="center"/>
    </xf>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8" fillId="21" borderId="0" applyNumberFormat="0" applyBorder="0" applyAlignment="0" applyProtection="0"/>
    <xf numFmtId="0" fontId="128" fillId="21" borderId="0" applyNumberFormat="0" applyBorder="0" applyAlignment="0" applyProtection="0"/>
    <xf numFmtId="0" fontId="126" fillId="21" borderId="0" applyNumberFormat="0" applyBorder="0" applyAlignment="0" applyProtection="0"/>
    <xf numFmtId="0" fontId="128"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26" fillId="21" borderId="0" applyNumberFormat="0" applyBorder="0" applyAlignment="0" applyProtection="0"/>
    <xf numFmtId="0" fontId="133" fillId="33" borderId="0" applyNumberFormat="0" applyBorder="0" applyAlignment="0" applyProtection="0"/>
    <xf numFmtId="0" fontId="133" fillId="24" borderId="0" applyNumberFormat="0" applyBorder="0" applyAlignment="0" applyProtection="0"/>
    <xf numFmtId="0" fontId="134" fillId="25"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7" fillId="22" borderId="0" applyNumberFormat="0" applyBorder="0" applyAlignment="0" applyProtection="0">
      <alignment vertical="center"/>
    </xf>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7" fillId="22" borderId="0" applyNumberFormat="0" applyBorder="0" applyAlignment="0" applyProtection="0">
      <alignment vertical="center"/>
    </xf>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8" fillId="22" borderId="0" applyNumberFormat="0" applyBorder="0" applyAlignment="0" applyProtection="0"/>
    <xf numFmtId="0" fontId="128" fillId="22" borderId="0" applyNumberFormat="0" applyBorder="0" applyAlignment="0" applyProtection="0"/>
    <xf numFmtId="0" fontId="126" fillId="22" borderId="0" applyNumberFormat="0" applyBorder="0" applyAlignment="0" applyProtection="0"/>
    <xf numFmtId="0" fontId="128"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26" fillId="22" borderId="0" applyNumberFormat="0" applyBorder="0" applyAlignment="0" applyProtection="0"/>
    <xf numFmtId="0" fontId="133" fillId="27" borderId="0" applyNumberFormat="0" applyBorder="0" applyAlignment="0" applyProtection="0"/>
    <xf numFmtId="0" fontId="133" fillId="34" borderId="0" applyNumberFormat="0" applyBorder="0" applyAlignment="0" applyProtection="0"/>
    <xf numFmtId="0" fontId="134" fillId="34"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7" fillId="35" borderId="0" applyNumberFormat="0" applyBorder="0" applyAlignment="0" applyProtection="0">
      <alignment vertical="center"/>
    </xf>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7" fillId="35" borderId="0" applyNumberFormat="0" applyBorder="0" applyAlignment="0" applyProtection="0">
      <alignment vertical="center"/>
    </xf>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8" fillId="35" borderId="0" applyNumberFormat="0" applyBorder="0" applyAlignment="0" applyProtection="0"/>
    <xf numFmtId="0" fontId="128" fillId="35" borderId="0" applyNumberFormat="0" applyBorder="0" applyAlignment="0" applyProtection="0"/>
    <xf numFmtId="0" fontId="126" fillId="35" borderId="0" applyNumberFormat="0" applyBorder="0" applyAlignment="0" applyProtection="0"/>
    <xf numFmtId="0" fontId="128"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35" fillId="0" borderId="0" applyNumberFormat="0" applyAlignment="0"/>
    <xf numFmtId="227" fontId="136" fillId="0" borderId="0" applyFont="0" applyFill="0" applyBorder="0" applyAlignment="0" applyProtection="0"/>
    <xf numFmtId="0" fontId="137" fillId="0" borderId="0" applyFont="0" applyFill="0" applyBorder="0" applyAlignment="0" applyProtection="0"/>
    <xf numFmtId="228" fontId="138" fillId="0" borderId="0" applyFont="0" applyFill="0" applyBorder="0" applyAlignment="0" applyProtection="0"/>
    <xf numFmtId="229" fontId="136" fillId="0" borderId="0" applyFont="0" applyFill="0" applyBorder="0" applyAlignment="0" applyProtection="0"/>
    <xf numFmtId="0" fontId="137" fillId="0" borderId="0" applyFont="0" applyFill="0" applyBorder="0" applyAlignment="0" applyProtection="0"/>
    <xf numFmtId="230" fontId="136" fillId="0" borderId="0" applyFont="0" applyFill="0" applyBorder="0" applyAlignment="0" applyProtection="0"/>
    <xf numFmtId="0" fontId="20" fillId="0" borderId="0">
      <alignment horizontal="center" wrapText="1"/>
      <protection locked="0"/>
    </xf>
    <xf numFmtId="0" fontId="20" fillId="0" borderId="0">
      <alignment horizontal="center" wrapText="1"/>
      <protection locked="0"/>
    </xf>
    <xf numFmtId="0" fontId="139" fillId="0" borderId="0" applyNumberFormat="0" applyBorder="0" applyAlignment="0">
      <alignment horizontal="center"/>
    </xf>
    <xf numFmtId="0" fontId="139" fillId="0" borderId="0" applyNumberFormat="0" applyBorder="0" applyAlignment="0">
      <alignment horizontal="center"/>
    </xf>
    <xf numFmtId="231" fontId="140" fillId="0" borderId="0" applyFont="0" applyFill="0" applyBorder="0" applyAlignment="0" applyProtection="0"/>
    <xf numFmtId="0" fontId="137" fillId="0" borderId="0" applyFont="0" applyFill="0" applyBorder="0" applyAlignment="0" applyProtection="0"/>
    <xf numFmtId="232" fontId="78" fillId="0" borderId="0" applyFont="0" applyFill="0" applyBorder="0" applyAlignment="0" applyProtection="0"/>
    <xf numFmtId="233" fontId="140" fillId="0" borderId="0" applyFont="0" applyFill="0" applyBorder="0" applyAlignment="0" applyProtection="0"/>
    <xf numFmtId="0" fontId="137" fillId="0" borderId="0" applyFont="0" applyFill="0" applyBorder="0" applyAlignment="0" applyProtection="0"/>
    <xf numFmtId="234" fontId="78" fillId="0" borderId="0" applyFont="0" applyFill="0" applyBorder="0" applyAlignment="0" applyProtection="0"/>
    <xf numFmtId="191" fontId="67" fillId="0" borderId="0" applyFont="0" applyFill="0" applyBorder="0" applyAlignment="0" applyProtection="0"/>
    <xf numFmtId="191" fontId="67" fillId="0" borderId="0" applyFont="0" applyFill="0" applyBorder="0" applyAlignment="0" applyProtection="0"/>
    <xf numFmtId="0" fontId="141" fillId="11" borderId="0" applyNumberFormat="0" applyBorder="0" applyAlignment="0" applyProtection="0"/>
    <xf numFmtId="0" fontId="141" fillId="11" borderId="0" applyNumberFormat="0" applyBorder="0" applyAlignment="0" applyProtection="0"/>
    <xf numFmtId="0" fontId="142" fillId="11" borderId="0" applyNumberFormat="0" applyBorder="0" applyAlignment="0" applyProtection="0">
      <alignment vertical="center"/>
    </xf>
    <xf numFmtId="0" fontId="141" fillId="11" borderId="0" applyNumberFormat="0" applyBorder="0" applyAlignment="0" applyProtection="0"/>
    <xf numFmtId="0" fontId="143" fillId="11" borderId="0" applyNumberFormat="0" applyBorder="0" applyAlignment="0" applyProtection="0"/>
    <xf numFmtId="0" fontId="144" fillId="0" borderId="0"/>
    <xf numFmtId="0" fontId="145" fillId="0" borderId="0"/>
    <xf numFmtId="0" fontId="16" fillId="0" borderId="0"/>
    <xf numFmtId="0" fontId="146" fillId="0" borderId="0" applyNumberFormat="0" applyFill="0" applyBorder="0" applyAlignment="0" applyProtection="0"/>
    <xf numFmtId="0" fontId="146" fillId="0" borderId="0" applyNumberFormat="0" applyFill="0" applyBorder="0" applyAlignment="0" applyProtection="0"/>
    <xf numFmtId="0" fontId="147" fillId="0" borderId="0" applyNumberFormat="0" applyFill="0" applyBorder="0" applyAlignment="0" applyProtection="0"/>
    <xf numFmtId="0" fontId="137" fillId="0" borderId="0"/>
    <xf numFmtId="0" fontId="148" fillId="0" borderId="0"/>
    <xf numFmtId="0" fontId="97" fillId="0" borderId="0"/>
    <xf numFmtId="0" fontId="97" fillId="0" borderId="0"/>
    <xf numFmtId="0" fontId="5" fillId="0" borderId="0"/>
    <xf numFmtId="0" fontId="137" fillId="0" borderId="0"/>
    <xf numFmtId="0" fontId="149" fillId="0" borderId="0"/>
    <xf numFmtId="0" fontId="150" fillId="0" borderId="0"/>
    <xf numFmtId="0" fontId="149" fillId="0" borderId="0"/>
    <xf numFmtId="0" fontId="151" fillId="0" borderId="0"/>
    <xf numFmtId="0" fontId="152" fillId="0" borderId="0"/>
    <xf numFmtId="197" fontId="16" fillId="0" borderId="0" applyFont="0" applyFill="0" applyBorder="0" applyAlignment="0" applyProtection="0"/>
    <xf numFmtId="235" fontId="16" fillId="0" borderId="0" applyFont="0" applyFill="0" applyBorder="0" applyAlignment="0" applyProtection="0"/>
    <xf numFmtId="236" fontId="153" fillId="0" borderId="0" applyFill="0" applyBorder="0" applyAlignment="0"/>
    <xf numFmtId="0" fontId="16" fillId="0" borderId="0" applyFill="0" applyBorder="0" applyAlignment="0"/>
    <xf numFmtId="236" fontId="93" fillId="0" borderId="0" applyFill="0" applyBorder="0" applyAlignment="0"/>
    <xf numFmtId="237" fontId="154" fillId="0" borderId="0" applyFill="0" applyBorder="0" applyAlignment="0"/>
    <xf numFmtId="237" fontId="154" fillId="0" borderId="0" applyFill="0" applyBorder="0" applyAlignment="0"/>
    <xf numFmtId="184" fontId="16" fillId="0" borderId="0" applyFill="0" applyBorder="0" applyAlignment="0"/>
    <xf numFmtId="184" fontId="16" fillId="0" borderId="0" applyFill="0" applyBorder="0" applyAlignment="0"/>
    <xf numFmtId="238" fontId="16" fillId="0" borderId="0" applyFill="0" applyBorder="0" applyAlignment="0"/>
    <xf numFmtId="238" fontId="16" fillId="0" borderId="0" applyFill="0" applyBorder="0" applyAlignment="0"/>
    <xf numFmtId="239" fontId="16" fillId="0" borderId="0" applyFill="0" applyBorder="0" applyAlignment="0"/>
    <xf numFmtId="239" fontId="16" fillId="0" borderId="0" applyFill="0" applyBorder="0" applyAlignment="0"/>
    <xf numFmtId="239" fontId="16" fillId="0" borderId="0" applyFill="0" applyBorder="0" applyAlignment="0"/>
    <xf numFmtId="239" fontId="16" fillId="0" borderId="0" applyFill="0" applyBorder="0" applyAlignment="0"/>
    <xf numFmtId="240" fontId="154" fillId="0" borderId="0" applyFill="0" applyBorder="0" applyAlignment="0"/>
    <xf numFmtId="240" fontId="154" fillId="0" borderId="0" applyFill="0" applyBorder="0" applyAlignment="0"/>
    <xf numFmtId="241" fontId="154" fillId="0" borderId="0" applyFill="0" applyBorder="0" applyAlignment="0"/>
    <xf numFmtId="241" fontId="154" fillId="0" borderId="0" applyFill="0" applyBorder="0" applyAlignment="0"/>
    <xf numFmtId="237" fontId="154" fillId="0" borderId="0" applyFill="0" applyBorder="0" applyAlignment="0"/>
    <xf numFmtId="237" fontId="154" fillId="0" borderId="0" applyFill="0" applyBorder="0" applyAlignment="0"/>
    <xf numFmtId="0" fontId="155" fillId="36" borderId="27" applyNumberFormat="0" applyAlignment="0" applyProtection="0"/>
    <xf numFmtId="0" fontId="155" fillId="36" borderId="27" applyNumberFormat="0" applyAlignment="0" applyProtection="0"/>
    <xf numFmtId="0" fontId="156" fillId="36" borderId="27" applyNumberFormat="0" applyAlignment="0" applyProtection="0">
      <alignment vertical="center"/>
    </xf>
    <xf numFmtId="0" fontId="155" fillId="36" borderId="27" applyNumberFormat="0" applyAlignment="0" applyProtection="0"/>
    <xf numFmtId="0" fontId="157" fillId="36" borderId="27" applyNumberFormat="0" applyAlignment="0" applyProtection="0"/>
    <xf numFmtId="0" fontId="158" fillId="0" borderId="0"/>
    <xf numFmtId="0" fontId="158" fillId="0" borderId="0"/>
    <xf numFmtId="0" fontId="159" fillId="0" borderId="0"/>
    <xf numFmtId="242" fontId="160" fillId="0" borderId="0" applyBorder="0"/>
    <xf numFmtId="242" fontId="161" fillId="0" borderId="25" applyBorder="0"/>
    <xf numFmtId="242" fontId="162" fillId="0" borderId="28">
      <protection locked="0"/>
    </xf>
    <xf numFmtId="242" fontId="163" fillId="0" borderId="4">
      <protection locked="0"/>
    </xf>
    <xf numFmtId="243" fontId="78" fillId="0" borderId="0" applyFont="0" applyFill="0" applyBorder="0" applyAlignment="0" applyProtection="0"/>
    <xf numFmtId="3" fontId="164" fillId="37" borderId="22"/>
    <xf numFmtId="3" fontId="164" fillId="38" borderId="29"/>
    <xf numFmtId="244" fontId="165" fillId="0" borderId="28"/>
    <xf numFmtId="244" fontId="166" fillId="0" borderId="4"/>
    <xf numFmtId="0" fontId="167" fillId="39" borderId="30" applyNumberFormat="0" applyAlignment="0" applyProtection="0"/>
    <xf numFmtId="0" fontId="167" fillId="39" borderId="30" applyNumberFormat="0" applyAlignment="0" applyProtection="0"/>
    <xf numFmtId="0" fontId="168" fillId="39" borderId="30" applyNumberFormat="0" applyAlignment="0" applyProtection="0">
      <alignment vertical="center"/>
    </xf>
    <xf numFmtId="0" fontId="167" fillId="39" borderId="30" applyNumberFormat="0" applyAlignment="0" applyProtection="0"/>
    <xf numFmtId="0" fontId="169" fillId="39" borderId="30" applyNumberFormat="0" applyAlignment="0" applyProtection="0"/>
    <xf numFmtId="175" fontId="170" fillId="0" borderId="0" applyFont="0" applyFill="0" applyBorder="0" applyAlignment="0" applyProtection="0"/>
    <xf numFmtId="1" fontId="171" fillId="0" borderId="5" applyBorder="0"/>
    <xf numFmtId="1" fontId="171" fillId="0" borderId="5" applyBorder="0"/>
    <xf numFmtId="0" fontId="172" fillId="0" borderId="31" applyNumberFormat="0" applyFill="0" applyProtection="0">
      <alignment horizontal="center"/>
    </xf>
    <xf numFmtId="0" fontId="173" fillId="0" borderId="32" applyNumberFormat="0" applyFill="0" applyProtection="0">
      <alignment horizontal="center"/>
    </xf>
    <xf numFmtId="0" fontId="174" fillId="0" borderId="0" applyNumberFormat="0" applyFill="0" applyBorder="0" applyAlignment="0" applyProtection="0"/>
    <xf numFmtId="245" fontId="175" fillId="0" borderId="0"/>
    <xf numFmtId="245" fontId="175" fillId="0" borderId="0"/>
    <xf numFmtId="245" fontId="176" fillId="0" borderId="0"/>
    <xf numFmtId="245" fontId="175" fillId="0" borderId="0"/>
    <xf numFmtId="245" fontId="175" fillId="0" borderId="0"/>
    <xf numFmtId="245" fontId="176" fillId="0" borderId="0"/>
    <xf numFmtId="245" fontId="175" fillId="0" borderId="0"/>
    <xf numFmtId="245" fontId="175" fillId="0" borderId="0"/>
    <xf numFmtId="245" fontId="176" fillId="0" borderId="0"/>
    <xf numFmtId="245" fontId="175" fillId="0" borderId="0"/>
    <xf numFmtId="245" fontId="175" fillId="0" borderId="0"/>
    <xf numFmtId="245" fontId="176" fillId="0" borderId="0"/>
    <xf numFmtId="245" fontId="175" fillId="0" borderId="0"/>
    <xf numFmtId="245" fontId="175" fillId="0" borderId="0"/>
    <xf numFmtId="245" fontId="176" fillId="0" borderId="0"/>
    <xf numFmtId="245" fontId="175" fillId="0" borderId="0"/>
    <xf numFmtId="245" fontId="175" fillId="0" borderId="0"/>
    <xf numFmtId="245" fontId="176" fillId="0" borderId="0"/>
    <xf numFmtId="245" fontId="175" fillId="0" borderId="0"/>
    <xf numFmtId="245" fontId="175" fillId="0" borderId="0"/>
    <xf numFmtId="245" fontId="176" fillId="0" borderId="0"/>
    <xf numFmtId="245" fontId="175" fillId="0" borderId="0"/>
    <xf numFmtId="245" fontId="175" fillId="0" borderId="0"/>
    <xf numFmtId="245" fontId="176" fillId="0" borderId="0"/>
    <xf numFmtId="0" fontId="138" fillId="0" borderId="22"/>
    <xf numFmtId="0" fontId="138" fillId="0" borderId="29"/>
    <xf numFmtId="168" fontId="16" fillId="0" borderId="0" applyFont="0" applyFill="0" applyBorder="0" applyAlignment="0" applyProtection="0"/>
    <xf numFmtId="168" fontId="14" fillId="0" borderId="0" applyFont="0" applyFill="0" applyBorder="0" applyAlignment="0" applyProtection="0"/>
    <xf numFmtId="214" fontId="88" fillId="0" borderId="0" applyFill="0" applyBorder="0" applyAlignment="0" applyProtection="0"/>
    <xf numFmtId="168" fontId="13" fillId="0" borderId="0" applyFont="0" applyFill="0" applyBorder="0" applyAlignment="0" applyProtection="0"/>
    <xf numFmtId="168" fontId="14" fillId="0" borderId="0" applyFont="0" applyFill="0" applyBorder="0" applyAlignment="0" applyProtection="0"/>
    <xf numFmtId="168" fontId="69" fillId="0" borderId="0" applyFont="0" applyFill="0" applyBorder="0" applyAlignment="0" applyProtection="0"/>
    <xf numFmtId="240" fontId="154" fillId="0" borderId="0" applyFont="0" applyFill="0" applyBorder="0" applyAlignment="0" applyProtection="0"/>
    <xf numFmtId="240" fontId="154" fillId="0" borderId="0" applyFont="0" applyFill="0" applyBorder="0" applyAlignment="0" applyProtection="0"/>
    <xf numFmtId="43" fontId="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6"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69" fillId="0" borderId="0" applyFont="0" applyFill="0" applyBorder="0" applyAlignment="0" applyProtection="0"/>
    <xf numFmtId="170" fontId="13"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69"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16" fillId="0" borderId="0" applyFont="0" applyFill="0" applyBorder="0" applyAlignment="0" applyProtection="0"/>
    <xf numFmtId="43" fontId="1" fillId="0" borderId="0" applyFont="0" applyFill="0" applyBorder="0" applyAlignment="0" applyProtection="0"/>
    <xf numFmtId="170" fontId="14" fillId="0" borderId="0" applyFont="0" applyFill="0" applyBorder="0" applyAlignment="0" applyProtection="0"/>
    <xf numFmtId="170" fontId="16" fillId="0" borderId="0" applyFont="0" applyFill="0" applyBorder="0" applyAlignment="0" applyProtection="0"/>
    <xf numFmtId="170" fontId="177" fillId="0" borderId="0" applyFont="0" applyFill="0" applyBorder="0" applyAlignment="0" applyProtection="0"/>
    <xf numFmtId="170" fontId="16" fillId="0" borderId="0" applyFont="0" applyFill="0" applyBorder="0" applyAlignment="0" applyProtection="0"/>
    <xf numFmtId="170" fontId="21" fillId="0" borderId="0" applyFont="0" applyFill="0" applyBorder="0" applyAlignment="0" applyProtection="0"/>
    <xf numFmtId="43" fontId="16" fillId="0" borderId="0" applyFont="0" applyFill="0" applyBorder="0" applyAlignment="0" applyProtection="0"/>
    <xf numFmtId="170" fontId="14"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4"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14" fillId="0" borderId="0" applyFont="0" applyFill="0" applyBorder="0" applyAlignment="0" applyProtection="0"/>
    <xf numFmtId="170" fontId="16" fillId="0" borderId="0" applyFont="0" applyFill="0" applyBorder="0" applyAlignment="0" applyProtection="0"/>
    <xf numFmtId="170" fontId="69" fillId="0" borderId="0" applyFont="0" applyFill="0" applyBorder="0" applyAlignment="0" applyProtection="0"/>
    <xf numFmtId="170" fontId="16" fillId="0" borderId="0" applyFont="0" applyFill="0" applyBorder="0" applyAlignment="0" applyProtection="0"/>
    <xf numFmtId="170" fontId="178" fillId="0" borderId="0" applyFont="0" applyFill="0" applyBorder="0" applyAlignment="0" applyProtection="0"/>
    <xf numFmtId="0" fontId="13" fillId="0" borderId="0" applyFont="0" applyFill="0" applyBorder="0" applyAlignment="0" applyProtection="0"/>
    <xf numFmtId="246" fontId="16" fillId="0" borderId="0" applyFont="0" applyFill="0" applyBorder="0" applyAlignment="0" applyProtection="0"/>
    <xf numFmtId="170" fontId="13" fillId="0" borderId="0" applyFont="0" applyFill="0" applyBorder="0" applyAlignment="0" applyProtection="0"/>
    <xf numFmtId="170" fontId="14" fillId="0" borderId="0" applyFont="0" applyFill="0" applyBorder="0" applyAlignment="0" applyProtection="0"/>
    <xf numFmtId="170" fontId="69" fillId="0" borderId="0" applyFont="0" applyFill="0" applyBorder="0" applyAlignment="0" applyProtection="0"/>
    <xf numFmtId="207" fontId="88" fillId="0" borderId="0" applyFill="0" applyBorder="0" applyAlignment="0" applyProtection="0"/>
    <xf numFmtId="170" fontId="14" fillId="0" borderId="0" applyFont="0" applyFill="0" applyBorder="0" applyAlignment="0" applyProtection="0"/>
    <xf numFmtId="170" fontId="69"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 fillId="0" borderId="0" applyFont="0" applyFill="0" applyBorder="0" applyAlignment="0" applyProtection="0"/>
    <xf numFmtId="170" fontId="16" fillId="0" borderId="0" applyFont="0" applyFill="0" applyBorder="0" applyAlignment="0" applyProtection="0"/>
    <xf numFmtId="170" fontId="1"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247" fontId="16" fillId="0" borderId="0" applyFont="0" applyFill="0" applyBorder="0" applyAlignment="0" applyProtection="0"/>
    <xf numFmtId="170" fontId="69"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1" fillId="0" borderId="0" applyFont="0" applyFill="0" applyBorder="0" applyAlignment="0" applyProtection="0"/>
    <xf numFmtId="170" fontId="16" fillId="0" borderId="0" applyFont="0" applyFill="0" applyBorder="0" applyAlignment="0" applyProtection="0"/>
    <xf numFmtId="248"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207" fontId="179" fillId="0" borderId="0" applyFill="0" applyBorder="0" applyAlignment="0" applyProtection="0"/>
    <xf numFmtId="249" fontId="69" fillId="0" borderId="0" applyFont="0" applyFill="0" applyBorder="0" applyAlignment="0" applyProtection="0"/>
    <xf numFmtId="250" fontId="14" fillId="0" borderId="0" applyFont="0" applyFill="0" applyBorder="0" applyAlignment="0" applyProtection="0"/>
    <xf numFmtId="0" fontId="13" fillId="0" borderId="0" applyFont="0" applyFill="0" applyBorder="0" applyAlignment="0" applyProtection="0"/>
    <xf numFmtId="250" fontId="14" fillId="0" borderId="0" applyFont="0" applyFill="0" applyBorder="0" applyAlignment="0" applyProtection="0"/>
    <xf numFmtId="170" fontId="1"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3" fillId="0" borderId="0" applyFont="0" applyFill="0" applyBorder="0" applyAlignment="0" applyProtection="0"/>
    <xf numFmtId="207" fontId="88" fillId="0" borderId="0" applyFill="0" applyBorder="0" applyAlignment="0" applyProtection="0"/>
    <xf numFmtId="170" fontId="16" fillId="0" borderId="0" applyFont="0" applyFill="0" applyBorder="0" applyAlignment="0" applyProtection="0"/>
    <xf numFmtId="249" fontId="69" fillId="0" borderId="0" applyFont="0" applyFill="0" applyBorder="0" applyAlignment="0" applyProtection="0"/>
    <xf numFmtId="170" fontId="13"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0" fontId="16" fillId="0" borderId="0" applyFont="0" applyFill="0" applyBorder="0" applyAlignment="0" applyProtection="0"/>
    <xf numFmtId="170" fontId="14" fillId="0" borderId="0" applyFont="0" applyFill="0" applyBorder="0" applyAlignment="0" applyProtection="0"/>
    <xf numFmtId="43" fontId="16"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2" fillId="0" borderId="0" applyFont="0" applyFill="0" applyBorder="0" applyAlignment="0" applyProtection="0"/>
    <xf numFmtId="170" fontId="69"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43" fontId="1"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69" fillId="0" borderId="0" applyFont="0" applyFill="0" applyBorder="0" applyAlignment="0" applyProtection="0"/>
    <xf numFmtId="170" fontId="177"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251" fontId="16"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16" fillId="0" borderId="0" applyFont="0" applyFill="0" applyBorder="0" applyAlignment="0" applyProtection="0"/>
    <xf numFmtId="170" fontId="69" fillId="0" borderId="0" applyFont="0" applyFill="0" applyBorder="0" applyAlignment="0" applyProtection="0"/>
    <xf numFmtId="170" fontId="14"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13" fillId="0" borderId="0" applyFont="0" applyFill="0" applyBorder="0" applyAlignment="0" applyProtection="0"/>
    <xf numFmtId="170" fontId="180" fillId="0" borderId="0" applyFont="0" applyFill="0" applyBorder="0" applyAlignment="0" applyProtection="0"/>
    <xf numFmtId="170" fontId="69" fillId="0" borderId="0" applyFont="0" applyFill="0" applyBorder="0" applyAlignment="0" applyProtection="0"/>
    <xf numFmtId="170" fontId="180"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252" fontId="181" fillId="0" borderId="0"/>
    <xf numFmtId="253" fontId="5" fillId="0" borderId="0"/>
    <xf numFmtId="191" fontId="16" fillId="0" borderId="0"/>
    <xf numFmtId="37" fontId="88" fillId="0" borderId="0" applyFill="0" applyBorder="0" applyAlignment="0" applyProtection="0"/>
    <xf numFmtId="37" fontId="106" fillId="0" borderId="0" applyFont="0" applyFill="0" applyBorder="0" applyAlignment="0" applyProtection="0"/>
    <xf numFmtId="237" fontId="88" fillId="0" borderId="0" applyFill="0" applyBorder="0" applyAlignment="0" applyProtection="0"/>
    <xf numFmtId="237" fontId="106" fillId="0" borderId="0" applyFont="0" applyFill="0" applyBorder="0" applyAlignment="0" applyProtection="0"/>
    <xf numFmtId="39" fontId="88" fillId="0" borderId="0" applyFill="0" applyBorder="0" applyAlignment="0" applyProtection="0"/>
    <xf numFmtId="39" fontId="10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207" fontId="91" fillId="0" borderId="33">
      <alignment vertical="center" wrapText="1"/>
    </xf>
    <xf numFmtId="170" fontId="69" fillId="0" borderId="34">
      <alignment vertical="center" wrapText="1"/>
    </xf>
    <xf numFmtId="0" fontId="182" fillId="0" borderId="0">
      <alignment horizontal="center"/>
    </xf>
    <xf numFmtId="0" fontId="182" fillId="0" borderId="0">
      <alignment horizontal="center"/>
    </xf>
    <xf numFmtId="0" fontId="183" fillId="0" borderId="0" applyNumberFormat="0" applyAlignment="0">
      <alignment horizontal="left"/>
    </xf>
    <xf numFmtId="0" fontId="184" fillId="0" borderId="0" applyNumberFormat="0" applyAlignment="0">
      <alignment horizontal="left"/>
    </xf>
    <xf numFmtId="0" fontId="185" fillId="0" borderId="0" applyNumberFormat="0" applyAlignment="0"/>
    <xf numFmtId="0" fontId="186" fillId="0" borderId="0" applyNumberFormat="0" applyAlignment="0"/>
    <xf numFmtId="205" fontId="187" fillId="0" borderId="0" applyFont="0" applyFill="0" applyBorder="0" applyAlignment="0" applyProtection="0"/>
    <xf numFmtId="254" fontId="148" fillId="0" borderId="0" applyFont="0" applyFill="0" applyBorder="0" applyAlignment="0" applyProtection="0"/>
    <xf numFmtId="255" fontId="188" fillId="0" borderId="0">
      <protection locked="0"/>
    </xf>
    <xf numFmtId="255" fontId="189" fillId="0" borderId="0">
      <protection locked="0"/>
    </xf>
    <xf numFmtId="255" fontId="190" fillId="0" borderId="0">
      <protection locked="0"/>
    </xf>
    <xf numFmtId="256" fontId="188" fillId="0" borderId="0">
      <protection locked="0"/>
    </xf>
    <xf numFmtId="256" fontId="189" fillId="0" borderId="0">
      <protection locked="0"/>
    </xf>
    <xf numFmtId="256" fontId="190" fillId="0" borderId="0">
      <protection locked="0"/>
    </xf>
    <xf numFmtId="257" fontId="191" fillId="0" borderId="35">
      <protection locked="0"/>
    </xf>
    <xf numFmtId="257" fontId="192" fillId="0" borderId="36">
      <protection locked="0"/>
    </xf>
    <xf numFmtId="257" fontId="193" fillId="0" borderId="36">
      <protection locked="0"/>
    </xf>
    <xf numFmtId="258" fontId="188" fillId="0" borderId="0">
      <protection locked="0"/>
    </xf>
    <xf numFmtId="258" fontId="189" fillId="0" borderId="0">
      <protection locked="0"/>
    </xf>
    <xf numFmtId="258" fontId="190" fillId="0" borderId="0">
      <protection locked="0"/>
    </xf>
    <xf numFmtId="259" fontId="188" fillId="0" borderId="0">
      <protection locked="0"/>
    </xf>
    <xf numFmtId="259" fontId="189" fillId="0" borderId="0">
      <protection locked="0"/>
    </xf>
    <xf numFmtId="259" fontId="190" fillId="0" borderId="0">
      <protection locked="0"/>
    </xf>
    <xf numFmtId="0" fontId="188" fillId="0" borderId="0" applyNumberFormat="0">
      <protection locked="0"/>
    </xf>
    <xf numFmtId="258" fontId="189" fillId="0" borderId="0" applyNumberFormat="0">
      <protection locked="0"/>
    </xf>
    <xf numFmtId="258" fontId="190" fillId="0" borderId="0" applyNumberFormat="0">
      <protection locked="0"/>
    </xf>
    <xf numFmtId="258" fontId="188" fillId="0" borderId="0">
      <protection locked="0"/>
    </xf>
    <xf numFmtId="258" fontId="189" fillId="0" borderId="0">
      <protection locked="0"/>
    </xf>
    <xf numFmtId="258" fontId="190" fillId="0" borderId="0">
      <protection locked="0"/>
    </xf>
    <xf numFmtId="242" fontId="194" fillId="0" borderId="22"/>
    <xf numFmtId="242" fontId="195" fillId="0" borderId="23"/>
    <xf numFmtId="260" fontId="194" fillId="0" borderId="22"/>
    <xf numFmtId="260" fontId="195" fillId="0" borderId="23"/>
    <xf numFmtId="237" fontId="154" fillId="0" borderId="0" applyFont="0" applyFill="0" applyBorder="0" applyAlignment="0" applyProtection="0"/>
    <xf numFmtId="237" fontId="154" fillId="0" borderId="0" applyFont="0" applyFill="0" applyBorder="0" applyAlignment="0" applyProtection="0"/>
    <xf numFmtId="261" fontId="88" fillId="0" borderId="0" applyFill="0" applyBorder="0" applyAlignment="0" applyProtection="0"/>
    <xf numFmtId="164" fontId="106" fillId="0" borderId="0" applyFont="0" applyFill="0" applyBorder="0" applyAlignment="0" applyProtection="0"/>
    <xf numFmtId="262" fontId="88" fillId="0" borderId="0" applyFill="0" applyBorder="0" applyAlignment="0" applyProtection="0"/>
    <xf numFmtId="166" fontId="106" fillId="0" borderId="0" applyFont="0" applyFill="0" applyBorder="0" applyAlignment="0" applyProtection="0"/>
    <xf numFmtId="263" fontId="16" fillId="0" borderId="0" applyFont="0" applyFill="0" applyBorder="0" applyAlignment="0" applyProtection="0"/>
    <xf numFmtId="263" fontId="16" fillId="0" borderId="0" applyFont="0" applyFill="0" applyBorder="0" applyAlignment="0" applyProtection="0"/>
    <xf numFmtId="264" fontId="181" fillId="0" borderId="0"/>
    <xf numFmtId="265" fontId="16" fillId="0" borderId="0"/>
    <xf numFmtId="266" fontId="16" fillId="0" borderId="0"/>
    <xf numFmtId="242" fontId="72" fillId="0" borderId="22">
      <alignment horizontal="center"/>
      <protection hidden="1"/>
    </xf>
    <xf numFmtId="242" fontId="73" fillId="0" borderId="23">
      <alignment horizontal="center"/>
      <protection hidden="1"/>
    </xf>
    <xf numFmtId="267" fontId="196" fillId="0" borderId="22">
      <alignment horizontal="center"/>
      <protection hidden="1"/>
    </xf>
    <xf numFmtId="267" fontId="197" fillId="0" borderId="23">
      <alignment horizontal="center"/>
      <protection hidden="1"/>
    </xf>
    <xf numFmtId="267" fontId="197" fillId="0" borderId="23">
      <alignment horizontal="center"/>
      <protection hidden="1"/>
    </xf>
    <xf numFmtId="176" fontId="68" fillId="0" borderId="37"/>
    <xf numFmtId="176" fontId="69" fillId="0" borderId="37"/>
    <xf numFmtId="176" fontId="69" fillId="0" borderId="37"/>
    <xf numFmtId="176" fontId="69" fillId="0" borderId="37"/>
    <xf numFmtId="0" fontId="88" fillId="0" borderId="0" applyNumberFormat="0" applyFill="0" applyBorder="0" applyProtection="0">
      <alignment horizontal="left"/>
    </xf>
    <xf numFmtId="0" fontId="174" fillId="7" borderId="0" applyNumberFormat="0" applyFont="0" applyFill="0" applyBorder="0" applyProtection="0">
      <alignment horizontal="left"/>
    </xf>
    <xf numFmtId="0" fontId="174" fillId="7" borderId="0" applyNumberFormat="0" applyFont="0" applyFill="0" applyBorder="0" applyProtection="0">
      <alignment horizontal="left"/>
    </xf>
    <xf numFmtId="0" fontId="16" fillId="0" borderId="0" applyFont="0" applyFill="0" applyBorder="0" applyAlignment="0" applyProtection="0"/>
    <xf numFmtId="0" fontId="16" fillId="0" borderId="0" applyFont="0" applyFill="0" applyBorder="0" applyAlignment="0" applyProtection="0"/>
    <xf numFmtId="14" fontId="95" fillId="0" borderId="0" applyFill="0" applyBorder="0" applyAlignment="0"/>
    <xf numFmtId="14" fontId="95" fillId="0" borderId="0" applyFill="0" applyBorder="0" applyAlignment="0"/>
    <xf numFmtId="14" fontId="95" fillId="0" borderId="0" applyFill="0" applyBorder="0" applyAlignment="0"/>
    <xf numFmtId="14" fontId="95" fillId="0" borderId="0" applyFill="0" applyBorder="0" applyAlignment="0"/>
    <xf numFmtId="0" fontId="88" fillId="0" borderId="0" applyFill="0" applyBorder="0" applyAlignment="0" applyProtection="0"/>
    <xf numFmtId="3" fontId="198" fillId="0" borderId="38">
      <alignment horizontal="left" vertical="top" wrapText="1"/>
    </xf>
    <xf numFmtId="3" fontId="198" fillId="0" borderId="38">
      <alignment horizontal="left" vertical="top" wrapText="1"/>
    </xf>
    <xf numFmtId="16" fontId="81" fillId="0" borderId="0"/>
    <xf numFmtId="16" fontId="16" fillId="0" borderId="0"/>
    <xf numFmtId="16" fontId="16" fillId="0" borderId="0"/>
    <xf numFmtId="16" fontId="16" fillId="0" borderId="0"/>
    <xf numFmtId="16" fontId="81" fillId="0" borderId="0"/>
    <xf numFmtId="16" fontId="16" fillId="0" borderId="0"/>
    <xf numFmtId="16" fontId="16" fillId="0" borderId="0"/>
    <xf numFmtId="16" fontId="16" fillId="0" borderId="0"/>
    <xf numFmtId="14" fontId="67" fillId="0" borderId="0" applyFont="0" applyFill="0" applyBorder="0" applyAlignment="0" applyProtection="0"/>
    <xf numFmtId="268" fontId="81" fillId="0" borderId="39">
      <alignment vertical="center"/>
    </xf>
    <xf numFmtId="269" fontId="16" fillId="0" borderId="40">
      <alignment vertical="center"/>
    </xf>
    <xf numFmtId="0" fontId="16" fillId="0" borderId="0" applyFont="0" applyFill="0" applyBorder="0" applyAlignment="0" applyProtection="0"/>
    <xf numFmtId="0" fontId="16" fillId="0" borderId="0" applyFont="0" applyFill="0" applyBorder="0" applyAlignment="0" applyProtection="0"/>
    <xf numFmtId="270" fontId="69" fillId="0" borderId="0"/>
    <xf numFmtId="270" fontId="69" fillId="0" borderId="0"/>
    <xf numFmtId="270" fontId="69" fillId="0" borderId="0"/>
    <xf numFmtId="271" fontId="77" fillId="0" borderId="29"/>
    <xf numFmtId="271" fontId="77" fillId="0" borderId="29"/>
    <xf numFmtId="272" fontId="181" fillId="0" borderId="0"/>
    <xf numFmtId="273" fontId="16" fillId="0" borderId="0"/>
    <xf numFmtId="181" fontId="16" fillId="0" borderId="0"/>
    <xf numFmtId="274" fontId="77" fillId="0" borderId="0"/>
    <xf numFmtId="274" fontId="77" fillId="0" borderId="0"/>
    <xf numFmtId="171" fontId="199" fillId="0" borderId="0" applyFont="0" applyFill="0" applyBorder="0" applyAlignment="0" applyProtection="0"/>
    <xf numFmtId="172" fontId="199" fillId="0" borderId="0" applyFont="0" applyFill="0" applyBorder="0" applyAlignment="0" applyProtection="0"/>
    <xf numFmtId="171" fontId="199" fillId="0" borderId="0" applyFont="0" applyFill="0" applyBorder="0" applyAlignment="0" applyProtection="0"/>
    <xf numFmtId="168" fontId="199" fillId="0" borderId="0" applyFont="0" applyFill="0" applyBorder="0" applyAlignment="0" applyProtection="0"/>
    <xf numFmtId="171" fontId="199" fillId="0" borderId="0" applyFont="0" applyFill="0" applyBorder="0" applyAlignment="0" applyProtection="0"/>
    <xf numFmtId="168" fontId="199" fillId="0" borderId="0" applyFont="0" applyFill="0" applyBorder="0" applyAlignment="0" applyProtection="0"/>
    <xf numFmtId="171" fontId="199" fillId="0" borderId="0" applyFont="0" applyFill="0" applyBorder="0" applyAlignment="0" applyProtection="0"/>
    <xf numFmtId="168" fontId="199" fillId="0" borderId="0" applyFont="0" applyFill="0" applyBorder="0" applyAlignment="0" applyProtection="0"/>
    <xf numFmtId="171" fontId="199" fillId="0" borderId="0" applyFont="0" applyFill="0" applyBorder="0" applyAlignment="0" applyProtection="0"/>
    <xf numFmtId="168" fontId="199" fillId="0" borderId="0" applyFont="0" applyFill="0" applyBorder="0" applyAlignment="0" applyProtection="0"/>
    <xf numFmtId="41" fontId="200" fillId="0" borderId="0" applyFont="0" applyFill="0" applyBorder="0" applyAlignment="0" applyProtection="0"/>
    <xf numFmtId="41" fontId="200"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91" fillId="0" borderId="0" applyFill="0" applyBorder="0" applyAlignment="0" applyProtection="0"/>
    <xf numFmtId="276" fontId="91"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91" fillId="0" borderId="0" applyFill="0" applyBorder="0" applyAlignment="0" applyProtection="0"/>
    <xf numFmtId="276" fontId="91"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91" fillId="0" borderId="0" applyFill="0" applyBorder="0" applyAlignment="0" applyProtection="0"/>
    <xf numFmtId="276" fontId="91"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91" fillId="0" borderId="0" applyFill="0" applyBorder="0" applyAlignment="0" applyProtection="0"/>
    <xf numFmtId="276" fontId="91"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91" fillId="0" borderId="0" applyFill="0" applyBorder="0" applyAlignment="0" applyProtection="0"/>
    <xf numFmtId="276" fontId="91"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91" fillId="0" borderId="0" applyFill="0" applyBorder="0" applyAlignment="0" applyProtection="0"/>
    <xf numFmtId="276" fontId="91"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91" fillId="0" borderId="0" applyFill="0" applyBorder="0" applyAlignment="0" applyProtection="0"/>
    <xf numFmtId="276" fontId="91"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91" fillId="0" borderId="0" applyFill="0" applyBorder="0" applyAlignment="0" applyProtection="0"/>
    <xf numFmtId="276" fontId="91"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91" fillId="0" borderId="0" applyFill="0" applyBorder="0" applyAlignment="0" applyProtection="0"/>
    <xf numFmtId="276" fontId="91"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91" fillId="0" borderId="0" applyFill="0" applyBorder="0" applyAlignment="0" applyProtection="0"/>
    <xf numFmtId="276" fontId="91"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91" fillId="0" borderId="0" applyFill="0" applyBorder="0" applyAlignment="0" applyProtection="0"/>
    <xf numFmtId="276" fontId="91"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91" fillId="0" borderId="0" applyFill="0" applyBorder="0" applyAlignment="0" applyProtection="0"/>
    <xf numFmtId="276" fontId="91"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7" fontId="88" fillId="0" borderId="0" applyFill="0" applyBorder="0" applyAlignment="0" applyProtection="0"/>
    <xf numFmtId="214" fontId="88" fillId="0" borderId="0" applyFill="0" applyBorder="0" applyAlignment="0" applyProtection="0"/>
    <xf numFmtId="278" fontId="91" fillId="0" borderId="0" applyFill="0" applyBorder="0" applyAlignment="0" applyProtection="0"/>
    <xf numFmtId="279" fontId="91" fillId="0" borderId="0" applyFill="0" applyBorder="0" applyAlignment="0" applyProtection="0"/>
    <xf numFmtId="278" fontId="69" fillId="0" borderId="0" applyFill="0" applyBorder="0" applyAlignment="0" applyProtection="0"/>
    <xf numFmtId="279" fontId="69" fillId="0" borderId="0" applyFill="0" applyBorder="0" applyAlignment="0" applyProtection="0"/>
    <xf numFmtId="278" fontId="69" fillId="0" borderId="0" applyFill="0" applyBorder="0" applyAlignment="0" applyProtection="0"/>
    <xf numFmtId="279" fontId="69" fillId="0" borderId="0" applyFill="0" applyBorder="0" applyAlignment="0" applyProtection="0"/>
    <xf numFmtId="278" fontId="69" fillId="0" borderId="0" applyFill="0" applyBorder="0" applyAlignment="0" applyProtection="0"/>
    <xf numFmtId="279" fontId="69" fillId="0" borderId="0" applyFill="0" applyBorder="0" applyAlignment="0" applyProtection="0"/>
    <xf numFmtId="278" fontId="69" fillId="0" borderId="0" applyFill="0" applyBorder="0" applyAlignment="0" applyProtection="0"/>
    <xf numFmtId="279" fontId="69" fillId="0" borderId="0" applyFill="0" applyBorder="0" applyAlignment="0" applyProtection="0"/>
    <xf numFmtId="278" fontId="69" fillId="0" borderId="0" applyFill="0" applyBorder="0" applyAlignment="0" applyProtection="0"/>
    <xf numFmtId="279" fontId="69" fillId="0" borderId="0" applyFill="0" applyBorder="0" applyAlignment="0" applyProtection="0"/>
    <xf numFmtId="278" fontId="69" fillId="0" borderId="0" applyFill="0" applyBorder="0" applyAlignment="0" applyProtection="0"/>
    <xf numFmtId="279" fontId="69" fillId="0" borderId="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91" fillId="0" borderId="0" applyFill="0" applyBorder="0" applyAlignment="0" applyProtection="0"/>
    <xf numFmtId="276" fontId="91"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80" fontId="68" fillId="0" borderId="0" applyFont="0" applyFill="0" applyBorder="0" applyAlignment="0" applyProtection="0"/>
    <xf numFmtId="280" fontId="68"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91" fillId="0" borderId="0" applyFill="0" applyBorder="0" applyAlignment="0" applyProtection="0"/>
    <xf numFmtId="276" fontId="91"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91" fillId="0" borderId="0" applyFill="0" applyBorder="0" applyAlignment="0" applyProtection="0"/>
    <xf numFmtId="276" fontId="91"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9" fontId="88" fillId="0" borderId="0" applyFill="0" applyBorder="0" applyAlignment="0" applyProtection="0"/>
    <xf numFmtId="279" fontId="88" fillId="0" borderId="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281" fontId="88" fillId="0" borderId="0" applyFill="0" applyBorder="0" applyAlignment="0" applyProtection="0"/>
    <xf numFmtId="281" fontId="88" fillId="0" borderId="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1" fontId="88" fillId="0" borderId="0" applyFill="0" applyBorder="0" applyAlignment="0" applyProtection="0"/>
    <xf numFmtId="281" fontId="88" fillId="0" borderId="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1" fontId="91" fillId="0" borderId="0" applyFill="0" applyBorder="0" applyAlignment="0" applyProtection="0"/>
    <xf numFmtId="281" fontId="91"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88" fillId="0" borderId="0" applyFill="0" applyBorder="0" applyAlignment="0" applyProtection="0"/>
    <xf numFmtId="281" fontId="88" fillId="0" borderId="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1" fontId="91" fillId="0" borderId="0" applyFill="0" applyBorder="0" applyAlignment="0" applyProtection="0"/>
    <xf numFmtId="281" fontId="91"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91" fillId="0" borderId="0" applyFill="0" applyBorder="0" applyAlignment="0" applyProtection="0"/>
    <xf numFmtId="281" fontId="91"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91" fillId="0" borderId="0" applyFill="0" applyBorder="0" applyAlignment="0" applyProtection="0"/>
    <xf numFmtId="281" fontId="91"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91" fillId="0" borderId="0" applyFill="0" applyBorder="0" applyAlignment="0" applyProtection="0"/>
    <xf numFmtId="281" fontId="91"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88" fillId="0" borderId="0" applyFill="0" applyBorder="0" applyAlignment="0" applyProtection="0"/>
    <xf numFmtId="281" fontId="88" fillId="0" borderId="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1" fontId="88" fillId="0" borderId="0" applyFill="0" applyBorder="0" applyAlignment="0" applyProtection="0"/>
    <xf numFmtId="281" fontId="88" fillId="0" borderId="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1" fontId="88" fillId="0" borderId="0" applyFill="0" applyBorder="0" applyAlignment="0" applyProtection="0"/>
    <xf numFmtId="281" fontId="88" fillId="0" borderId="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1" fontId="91" fillId="0" borderId="0" applyFill="0" applyBorder="0" applyAlignment="0" applyProtection="0"/>
    <xf numFmtId="281" fontId="91"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69" fillId="0" borderId="0" applyFill="0" applyBorder="0" applyAlignment="0" applyProtection="0"/>
    <xf numFmtId="281" fontId="88" fillId="0" borderId="0" applyFill="0" applyBorder="0" applyAlignment="0" applyProtection="0"/>
    <xf numFmtId="281" fontId="88" fillId="0" borderId="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1" fontId="88" fillId="0" borderId="0" applyFill="0" applyBorder="0" applyAlignment="0" applyProtection="0"/>
    <xf numFmtId="281" fontId="88" fillId="0" borderId="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1" fontId="88" fillId="0" borderId="0" applyFill="0" applyBorder="0" applyAlignment="0" applyProtection="0"/>
    <xf numFmtId="281" fontId="88" fillId="0" borderId="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80" fontId="69" fillId="0" borderId="0" applyFont="0" applyFill="0" applyBorder="0" applyAlignment="0" applyProtection="0"/>
    <xf numFmtId="276" fontId="91" fillId="0" borderId="0" applyFill="0" applyBorder="0" applyAlignment="0" applyProtection="0"/>
    <xf numFmtId="276" fontId="91"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9" fontId="88" fillId="0" borderId="0" applyFill="0" applyBorder="0" applyAlignment="0" applyProtection="0"/>
    <xf numFmtId="279" fontId="88" fillId="0" borderId="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276" fontId="91" fillId="0" borderId="0" applyFill="0" applyBorder="0" applyAlignment="0" applyProtection="0"/>
    <xf numFmtId="276" fontId="91"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91" fillId="0" borderId="0" applyFill="0" applyBorder="0" applyAlignment="0" applyProtection="0"/>
    <xf numFmtId="276" fontId="91"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69" fillId="0" borderId="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9" fontId="88" fillId="0" borderId="0" applyFill="0" applyBorder="0" applyAlignment="0" applyProtection="0"/>
    <xf numFmtId="279" fontId="88" fillId="0" borderId="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82" fontId="68" fillId="0" borderId="0" applyFont="0" applyFill="0" applyBorder="0" applyAlignment="0" applyProtection="0"/>
    <xf numFmtId="282" fontId="68"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3" fontId="88" fillId="0" borderId="0" applyFill="0" applyBorder="0" applyAlignment="0" applyProtection="0"/>
    <xf numFmtId="283" fontId="88" fillId="0" borderId="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3" fontId="88" fillId="0" borderId="0" applyFill="0" applyBorder="0" applyAlignment="0" applyProtection="0"/>
    <xf numFmtId="283" fontId="88" fillId="0" borderId="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3" fontId="91" fillId="0" borderId="0" applyFill="0" applyBorder="0" applyAlignment="0" applyProtection="0"/>
    <xf numFmtId="283" fontId="91"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88" fillId="0" borderId="0" applyFill="0" applyBorder="0" applyAlignment="0" applyProtection="0"/>
    <xf numFmtId="283" fontId="88" fillId="0" borderId="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83" fontId="91" fillId="0" borderId="0" applyFill="0" applyBorder="0" applyAlignment="0" applyProtection="0"/>
    <xf numFmtId="283" fontId="91"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91" fillId="0" borderId="0" applyFill="0" applyBorder="0" applyAlignment="0" applyProtection="0"/>
    <xf numFmtId="283" fontId="91"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91" fillId="0" borderId="0" applyFill="0" applyBorder="0" applyAlignment="0" applyProtection="0"/>
    <xf numFmtId="283" fontId="91"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83" fontId="91" fillId="0" borderId="0" applyFill="0" applyBorder="0" applyAlignment="0" applyProtection="0"/>
    <xf numFmtId="283" fontId="91"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88" fillId="0" borderId="0" applyFill="0" applyBorder="0" applyAlignment="0" applyProtection="0"/>
    <xf numFmtId="283" fontId="88" fillId="0" borderId="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3" fontId="88" fillId="0" borderId="0" applyFill="0" applyBorder="0" applyAlignment="0" applyProtection="0"/>
    <xf numFmtId="283" fontId="88" fillId="0" borderId="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3" fontId="88" fillId="0" borderId="0" applyFill="0" applyBorder="0" applyAlignment="0" applyProtection="0"/>
    <xf numFmtId="283" fontId="88" fillId="0" borderId="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3" fontId="88" fillId="0" borderId="0" applyFill="0" applyBorder="0" applyAlignment="0" applyProtection="0"/>
    <xf numFmtId="283" fontId="88" fillId="0" borderId="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3" fontId="91" fillId="0" borderId="0" applyFill="0" applyBorder="0" applyAlignment="0" applyProtection="0"/>
    <xf numFmtId="283" fontId="91"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69" fillId="0" borderId="0" applyFill="0" applyBorder="0" applyAlignment="0" applyProtection="0"/>
    <xf numFmtId="283" fontId="88" fillId="0" borderId="0" applyFill="0" applyBorder="0" applyAlignment="0" applyProtection="0"/>
    <xf numFmtId="283" fontId="88" fillId="0" borderId="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3" fontId="88" fillId="0" borderId="0" applyFill="0" applyBorder="0" applyAlignment="0" applyProtection="0"/>
    <xf numFmtId="283" fontId="88" fillId="0" borderId="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83" fontId="88" fillId="0" borderId="0" applyFill="0" applyBorder="0" applyAlignment="0" applyProtection="0"/>
    <xf numFmtId="283" fontId="88" fillId="0" borderId="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3" fontId="88" fillId="0" borderId="0" applyFill="0" applyBorder="0" applyAlignment="0" applyProtection="0"/>
    <xf numFmtId="283" fontId="88" fillId="0" borderId="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3" fontId="88" fillId="0" borderId="0" applyFill="0" applyBorder="0" applyAlignment="0" applyProtection="0"/>
    <xf numFmtId="283" fontId="88" fillId="0" borderId="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82" fontId="69" fillId="0" borderId="0" applyFont="0" applyFill="0" applyBorder="0" applyAlignment="0" applyProtection="0"/>
    <xf numFmtId="278" fontId="91" fillId="0" borderId="0" applyFill="0" applyBorder="0" applyAlignment="0" applyProtection="0"/>
    <xf numFmtId="276" fontId="88" fillId="0" borderId="0" applyFill="0" applyBorder="0" applyAlignment="0" applyProtection="0"/>
    <xf numFmtId="171" fontId="199" fillId="0" borderId="0" applyFont="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279" fontId="88" fillId="0" borderId="0" applyFill="0" applyBorder="0" applyAlignment="0" applyProtection="0"/>
    <xf numFmtId="279" fontId="88" fillId="0" borderId="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279" fontId="88" fillId="0" borderId="0" applyFill="0" applyBorder="0" applyAlignment="0" applyProtection="0"/>
    <xf numFmtId="279" fontId="88" fillId="0" borderId="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214" fontId="88" fillId="0" borderId="0" applyFill="0" applyBorder="0" applyAlignment="0" applyProtection="0"/>
    <xf numFmtId="214" fontId="88" fillId="0" borderId="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279" fontId="88" fillId="0" borderId="0" applyFill="0" applyBorder="0" applyAlignment="0" applyProtection="0"/>
    <xf numFmtId="279" fontId="88" fillId="0" borderId="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214" fontId="88" fillId="0" borderId="0" applyFill="0" applyBorder="0" applyAlignment="0" applyProtection="0"/>
    <xf numFmtId="214" fontId="88" fillId="0" borderId="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214" fontId="88" fillId="0" borderId="0" applyFill="0" applyBorder="0" applyAlignment="0" applyProtection="0"/>
    <xf numFmtId="214" fontId="88" fillId="0" borderId="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278" fontId="91" fillId="0" borderId="0" applyFill="0" applyBorder="0" applyAlignment="0" applyProtection="0"/>
    <xf numFmtId="168" fontId="199" fillId="0" borderId="0" applyFont="0" applyFill="0" applyBorder="0" applyAlignment="0" applyProtection="0"/>
    <xf numFmtId="278" fontId="88" fillId="0" borderId="0" applyFill="0" applyBorder="0" applyAlignment="0" applyProtection="0"/>
    <xf numFmtId="214" fontId="88" fillId="0" borderId="0" applyFill="0" applyBorder="0" applyAlignment="0" applyProtection="0"/>
    <xf numFmtId="171" fontId="199" fillId="0" borderId="0" applyFont="0" applyFill="0" applyBorder="0" applyAlignment="0" applyProtection="0"/>
    <xf numFmtId="168" fontId="199" fillId="0" borderId="0" applyFont="0" applyFill="0" applyBorder="0" applyAlignment="0" applyProtection="0"/>
    <xf numFmtId="278" fontId="91" fillId="0" borderId="0" applyFill="0" applyBorder="0" applyAlignment="0" applyProtection="0"/>
    <xf numFmtId="279" fontId="91" fillId="0" borderId="0" applyFill="0" applyBorder="0" applyAlignment="0" applyProtection="0"/>
    <xf numFmtId="278" fontId="69" fillId="0" borderId="0" applyFill="0" applyBorder="0" applyAlignment="0" applyProtection="0"/>
    <xf numFmtId="279" fontId="69" fillId="0" borderId="0" applyFill="0" applyBorder="0" applyAlignment="0" applyProtection="0"/>
    <xf numFmtId="278" fontId="69" fillId="0" borderId="0" applyFill="0" applyBorder="0" applyAlignment="0" applyProtection="0"/>
    <xf numFmtId="279" fontId="69" fillId="0" borderId="0" applyFill="0" applyBorder="0" applyAlignment="0" applyProtection="0"/>
    <xf numFmtId="278" fontId="69" fillId="0" borderId="0" applyFill="0" applyBorder="0" applyAlignment="0" applyProtection="0"/>
    <xf numFmtId="279" fontId="69" fillId="0" borderId="0" applyFill="0" applyBorder="0" applyAlignment="0" applyProtection="0"/>
    <xf numFmtId="278" fontId="69" fillId="0" borderId="0" applyFill="0" applyBorder="0" applyAlignment="0" applyProtection="0"/>
    <xf numFmtId="279" fontId="69" fillId="0" borderId="0" applyFill="0" applyBorder="0" applyAlignment="0" applyProtection="0"/>
    <xf numFmtId="278" fontId="69" fillId="0" borderId="0" applyFill="0" applyBorder="0" applyAlignment="0" applyProtection="0"/>
    <xf numFmtId="279" fontId="69" fillId="0" borderId="0" applyFill="0" applyBorder="0" applyAlignment="0" applyProtection="0"/>
    <xf numFmtId="278" fontId="69" fillId="0" borderId="0" applyFill="0" applyBorder="0" applyAlignment="0" applyProtection="0"/>
    <xf numFmtId="279" fontId="69" fillId="0" borderId="0" applyFill="0" applyBorder="0" applyAlignment="0" applyProtection="0"/>
    <xf numFmtId="278" fontId="88" fillId="0" borderId="0" applyFill="0" applyBorder="0" applyAlignment="0" applyProtection="0"/>
    <xf numFmtId="214" fontId="88" fillId="0" borderId="0" applyFill="0" applyBorder="0" applyAlignment="0" applyProtection="0"/>
    <xf numFmtId="171" fontId="199" fillId="0" borderId="0" applyFont="0" applyFill="0" applyBorder="0" applyAlignment="0" applyProtection="0"/>
    <xf numFmtId="168" fontId="199" fillId="0" borderId="0" applyFont="0" applyFill="0" applyBorder="0" applyAlignment="0" applyProtection="0"/>
    <xf numFmtId="279" fontId="88" fillId="0" borderId="0" applyFill="0" applyBorder="0" applyAlignment="0" applyProtection="0"/>
    <xf numFmtId="279" fontId="88" fillId="0" borderId="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279" fontId="91" fillId="0" borderId="0" applyFill="0" applyBorder="0" applyAlignment="0" applyProtection="0"/>
    <xf numFmtId="214" fontId="88" fillId="0" borderId="0" applyFill="0" applyBorder="0" applyAlignment="0" applyProtection="0"/>
    <xf numFmtId="278" fontId="88" fillId="0" borderId="0" applyFill="0" applyBorder="0" applyAlignment="0" applyProtection="0"/>
    <xf numFmtId="214" fontId="88" fillId="0" borderId="0" applyFill="0" applyBorder="0" applyAlignment="0" applyProtection="0"/>
    <xf numFmtId="171" fontId="199" fillId="0" borderId="0" applyFont="0" applyFill="0" applyBorder="0" applyAlignment="0" applyProtection="0"/>
    <xf numFmtId="168" fontId="199" fillId="0" borderId="0" applyFont="0" applyFill="0" applyBorder="0" applyAlignment="0" applyProtection="0"/>
    <xf numFmtId="278" fontId="91" fillId="0" borderId="0" applyFill="0" applyBorder="0" applyAlignment="0" applyProtection="0"/>
    <xf numFmtId="279" fontId="91" fillId="0" borderId="0" applyFill="0" applyBorder="0" applyAlignment="0" applyProtection="0"/>
    <xf numFmtId="278" fontId="69" fillId="0" borderId="0" applyFill="0" applyBorder="0" applyAlignment="0" applyProtection="0"/>
    <xf numFmtId="279" fontId="69" fillId="0" borderId="0" applyFill="0" applyBorder="0" applyAlignment="0" applyProtection="0"/>
    <xf numFmtId="278" fontId="69" fillId="0" borderId="0" applyFill="0" applyBorder="0" applyAlignment="0" applyProtection="0"/>
    <xf numFmtId="279" fontId="69" fillId="0" borderId="0" applyFill="0" applyBorder="0" applyAlignment="0" applyProtection="0"/>
    <xf numFmtId="278" fontId="69" fillId="0" borderId="0" applyFill="0" applyBorder="0" applyAlignment="0" applyProtection="0"/>
    <xf numFmtId="279" fontId="69" fillId="0" borderId="0" applyFill="0" applyBorder="0" applyAlignment="0" applyProtection="0"/>
    <xf numFmtId="278" fontId="69" fillId="0" borderId="0" applyFill="0" applyBorder="0" applyAlignment="0" applyProtection="0"/>
    <xf numFmtId="279" fontId="69" fillId="0" borderId="0" applyFill="0" applyBorder="0" applyAlignment="0" applyProtection="0"/>
    <xf numFmtId="278" fontId="69" fillId="0" borderId="0" applyFill="0" applyBorder="0" applyAlignment="0" applyProtection="0"/>
    <xf numFmtId="279" fontId="69" fillId="0" borderId="0" applyFill="0" applyBorder="0" applyAlignment="0" applyProtection="0"/>
    <xf numFmtId="278" fontId="69" fillId="0" borderId="0" applyFill="0" applyBorder="0" applyAlignment="0" applyProtection="0"/>
    <xf numFmtId="279" fontId="69" fillId="0" borderId="0" applyFill="0" applyBorder="0" applyAlignment="0" applyProtection="0"/>
    <xf numFmtId="41" fontId="199" fillId="0" borderId="0" applyFont="0" applyFill="0" applyBorder="0" applyAlignment="0" applyProtection="0"/>
    <xf numFmtId="279" fontId="91" fillId="0" borderId="0" applyFill="0" applyBorder="0" applyAlignment="0" applyProtection="0"/>
    <xf numFmtId="278" fontId="88" fillId="0" borderId="0" applyFill="0" applyBorder="0" applyAlignment="0" applyProtection="0"/>
    <xf numFmtId="279" fontId="88" fillId="0" borderId="0" applyFill="0" applyBorder="0" applyAlignment="0" applyProtection="0"/>
    <xf numFmtId="171" fontId="199" fillId="0" borderId="0" applyFont="0" applyFill="0" applyBorder="0" applyAlignment="0" applyProtection="0"/>
    <xf numFmtId="41" fontId="199" fillId="0" borderId="0" applyFont="0" applyFill="0" applyBorder="0" applyAlignment="0" applyProtection="0"/>
    <xf numFmtId="278" fontId="88" fillId="0" borderId="0" applyFill="0" applyBorder="0" applyAlignment="0" applyProtection="0"/>
    <xf numFmtId="279" fontId="88" fillId="0" borderId="0" applyFill="0" applyBorder="0" applyAlignment="0" applyProtection="0"/>
    <xf numFmtId="171" fontId="199" fillId="0" borderId="0" applyFont="0" applyFill="0" applyBorder="0" applyAlignment="0" applyProtection="0"/>
    <xf numFmtId="41" fontId="199" fillId="0" borderId="0" applyFont="0" applyFill="0" applyBorder="0" applyAlignment="0" applyProtection="0"/>
    <xf numFmtId="214" fontId="88" fillId="0" borderId="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168" fontId="199" fillId="0" borderId="0" applyFont="0" applyFill="0" applyBorder="0" applyAlignment="0" applyProtection="0"/>
    <xf numFmtId="171" fontId="199" fillId="0" borderId="0" applyFont="0" applyFill="0" applyBorder="0" applyAlignment="0" applyProtection="0"/>
    <xf numFmtId="168" fontId="199" fillId="0" borderId="0" applyFont="0" applyFill="0" applyBorder="0" applyAlignment="0" applyProtection="0"/>
    <xf numFmtId="214" fontId="88" fillId="0" borderId="0" applyFill="0" applyBorder="0" applyAlignment="0" applyProtection="0"/>
    <xf numFmtId="278" fontId="88" fillId="0" borderId="0" applyFill="0" applyBorder="0" applyAlignment="0" applyProtection="0"/>
    <xf numFmtId="214" fontId="88" fillId="0" borderId="0" applyFill="0" applyBorder="0" applyAlignment="0" applyProtection="0"/>
    <xf numFmtId="279" fontId="88" fillId="0" borderId="0" applyFill="0" applyBorder="0" applyAlignment="0" applyProtection="0"/>
    <xf numFmtId="279" fontId="88" fillId="0" borderId="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214" fontId="88" fillId="0" borderId="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168" fontId="200" fillId="0" borderId="0" applyFont="0" applyFill="0" applyBorder="0" applyAlignment="0" applyProtection="0"/>
    <xf numFmtId="168" fontId="200" fillId="0" borderId="0" applyFont="0" applyFill="0" applyBorder="0" applyAlignment="0" applyProtection="0"/>
    <xf numFmtId="278" fontId="88" fillId="0" borderId="0" applyFill="0" applyBorder="0" applyAlignment="0" applyProtection="0"/>
    <xf numFmtId="278" fontId="88" fillId="0" borderId="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168" fontId="200" fillId="0" borderId="0" applyFont="0" applyFill="0" applyBorder="0" applyAlignment="0" applyProtection="0"/>
    <xf numFmtId="168" fontId="200" fillId="0" borderId="0" applyFont="0" applyFill="0" applyBorder="0" applyAlignment="0" applyProtection="0"/>
    <xf numFmtId="214" fontId="88" fillId="0" borderId="0" applyFill="0" applyBorder="0" applyAlignment="0" applyProtection="0"/>
    <xf numFmtId="214" fontId="88" fillId="0" borderId="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279" fontId="88" fillId="0" borderId="0" applyFill="0" applyBorder="0" applyAlignment="0" applyProtection="0"/>
    <xf numFmtId="279" fontId="88" fillId="0" borderId="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214" fontId="91" fillId="0" borderId="0" applyFill="0" applyBorder="0" applyAlignment="0" applyProtection="0"/>
    <xf numFmtId="214" fontId="91"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88" fillId="0" borderId="0" applyFill="0" applyBorder="0" applyAlignment="0" applyProtection="0"/>
    <xf numFmtId="214" fontId="88" fillId="0" borderId="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278" fontId="88" fillId="0" borderId="0" applyFill="0" applyBorder="0" applyAlignment="0" applyProtection="0"/>
    <xf numFmtId="278" fontId="88" fillId="0" borderId="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284" fontId="88" fillId="0" borderId="0" applyFill="0" applyBorder="0" applyAlignment="0" applyProtection="0"/>
    <xf numFmtId="284" fontId="88" fillId="0" borderId="0" applyFill="0" applyBorder="0" applyAlignment="0" applyProtection="0"/>
    <xf numFmtId="285" fontId="199" fillId="0" borderId="0" applyFont="0" applyFill="0" applyBorder="0" applyAlignment="0" applyProtection="0"/>
    <xf numFmtId="285" fontId="199" fillId="0" borderId="0" applyFont="0" applyFill="0" applyBorder="0" applyAlignment="0" applyProtection="0"/>
    <xf numFmtId="278" fontId="88" fillId="0" borderId="0" applyFill="0" applyBorder="0" applyAlignment="0" applyProtection="0"/>
    <xf numFmtId="278" fontId="88" fillId="0" borderId="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214" fontId="88" fillId="0" borderId="0" applyFill="0" applyBorder="0" applyAlignment="0" applyProtection="0"/>
    <xf numFmtId="214" fontId="88" fillId="0" borderId="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214" fontId="88" fillId="0" borderId="0" applyFill="0" applyBorder="0" applyAlignment="0" applyProtection="0"/>
    <xf numFmtId="214" fontId="88" fillId="0" borderId="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278" fontId="88" fillId="0" borderId="0" applyFill="0" applyBorder="0" applyAlignment="0" applyProtection="0"/>
    <xf numFmtId="278" fontId="88" fillId="0" borderId="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214" fontId="91" fillId="0" borderId="0" applyFill="0" applyBorder="0" applyAlignment="0" applyProtection="0"/>
    <xf numFmtId="214" fontId="91"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84" fontId="88" fillId="0" borderId="0" applyFill="0" applyBorder="0" applyAlignment="0" applyProtection="0"/>
    <xf numFmtId="284" fontId="88" fillId="0" borderId="0" applyFill="0" applyBorder="0" applyAlignment="0" applyProtection="0"/>
    <xf numFmtId="285" fontId="199" fillId="0" borderId="0" applyFont="0" applyFill="0" applyBorder="0" applyAlignment="0" applyProtection="0"/>
    <xf numFmtId="285" fontId="199" fillId="0" borderId="0" applyFont="0" applyFill="0" applyBorder="0" applyAlignment="0" applyProtection="0"/>
    <xf numFmtId="284" fontId="88" fillId="0" borderId="0" applyFill="0" applyBorder="0" applyAlignment="0" applyProtection="0"/>
    <xf numFmtId="284" fontId="88" fillId="0" borderId="0" applyFill="0" applyBorder="0" applyAlignment="0" applyProtection="0"/>
    <xf numFmtId="285" fontId="199" fillId="0" borderId="0" applyFont="0" applyFill="0" applyBorder="0" applyAlignment="0" applyProtection="0"/>
    <xf numFmtId="285" fontId="199" fillId="0" borderId="0" applyFont="0" applyFill="0" applyBorder="0" applyAlignment="0" applyProtection="0"/>
    <xf numFmtId="278" fontId="88" fillId="0" borderId="0" applyFill="0" applyBorder="0" applyAlignment="0" applyProtection="0"/>
    <xf numFmtId="278" fontId="88" fillId="0" borderId="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214" fontId="91" fillId="0" borderId="0" applyFill="0" applyBorder="0" applyAlignment="0" applyProtection="0"/>
    <xf numFmtId="214" fontId="91"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78" fontId="88" fillId="0" borderId="0" applyFill="0" applyBorder="0" applyAlignment="0" applyProtection="0"/>
    <xf numFmtId="278" fontId="88" fillId="0" borderId="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214" fontId="88" fillId="0" borderId="0" applyFill="0" applyBorder="0" applyAlignment="0" applyProtection="0"/>
    <xf numFmtId="214" fontId="88" fillId="0" borderId="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278" fontId="88" fillId="0" borderId="0" applyFill="0" applyBorder="0" applyAlignment="0" applyProtection="0"/>
    <xf numFmtId="278" fontId="88" fillId="0" borderId="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214" fontId="91" fillId="0" borderId="0" applyFill="0" applyBorder="0" applyAlignment="0" applyProtection="0"/>
    <xf numFmtId="214" fontId="91"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88" fillId="0" borderId="0" applyFill="0" applyBorder="0" applyAlignment="0" applyProtection="0"/>
    <xf numFmtId="214" fontId="88" fillId="0" borderId="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214" fontId="91" fillId="0" borderId="0" applyFill="0" applyBorder="0" applyAlignment="0" applyProtection="0"/>
    <xf numFmtId="214" fontId="91"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88" fillId="0" borderId="0" applyFill="0" applyBorder="0" applyAlignment="0" applyProtection="0"/>
    <xf numFmtId="214" fontId="88" fillId="0" borderId="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214" fontId="91" fillId="0" borderId="0" applyFill="0" applyBorder="0" applyAlignment="0" applyProtection="0"/>
    <xf numFmtId="214" fontId="91"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14" fontId="69" fillId="0" borderId="0" applyFill="0" applyBorder="0" applyAlignment="0" applyProtection="0"/>
    <xf numFmtId="278" fontId="88" fillId="0" borderId="0" applyFill="0" applyBorder="0" applyAlignment="0" applyProtection="0"/>
    <xf numFmtId="278" fontId="88" fillId="0" borderId="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214" fontId="88" fillId="0" borderId="0" applyFill="0" applyBorder="0" applyAlignment="0" applyProtection="0"/>
    <xf numFmtId="214" fontId="88" fillId="0" borderId="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278" fontId="88" fillId="0" borderId="0" applyFill="0" applyBorder="0" applyAlignment="0" applyProtection="0"/>
    <xf numFmtId="278" fontId="88" fillId="0" borderId="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214" fontId="88" fillId="0" borderId="0" applyFill="0" applyBorder="0" applyAlignment="0" applyProtection="0"/>
    <xf numFmtId="214" fontId="88" fillId="0" borderId="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278" fontId="88" fillId="0" borderId="0" applyFill="0" applyBorder="0" applyAlignment="0" applyProtection="0"/>
    <xf numFmtId="278" fontId="88" fillId="0" borderId="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278" fontId="88" fillId="0" borderId="0" applyFill="0" applyBorder="0" applyAlignment="0" applyProtection="0"/>
    <xf numFmtId="278" fontId="88" fillId="0" borderId="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214" fontId="88" fillId="0" borderId="0" applyFill="0" applyBorder="0" applyAlignment="0" applyProtection="0"/>
    <xf numFmtId="214" fontId="88" fillId="0" borderId="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279" fontId="88" fillId="0" borderId="0" applyFill="0" applyBorder="0" applyAlignment="0" applyProtection="0"/>
    <xf numFmtId="279" fontId="88" fillId="0" borderId="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279" fontId="88" fillId="0" borderId="0" applyFill="0" applyBorder="0" applyAlignment="0" applyProtection="0"/>
    <xf numFmtId="279" fontId="88" fillId="0" borderId="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214" fontId="88" fillId="0" borderId="0" applyFill="0" applyBorder="0" applyAlignment="0" applyProtection="0"/>
    <xf numFmtId="214" fontId="88" fillId="0" borderId="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279" fontId="88" fillId="0" borderId="0" applyFill="0" applyBorder="0" applyAlignment="0" applyProtection="0"/>
    <xf numFmtId="279" fontId="88" fillId="0" borderId="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214" fontId="88" fillId="0" borderId="0" applyFill="0" applyBorder="0" applyAlignment="0" applyProtection="0"/>
    <xf numFmtId="214" fontId="88" fillId="0" borderId="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214" fontId="88" fillId="0" borderId="0" applyFill="0" applyBorder="0" applyAlignment="0" applyProtection="0"/>
    <xf numFmtId="214" fontId="88" fillId="0" borderId="0" applyFill="0" applyBorder="0" applyAlignment="0" applyProtection="0"/>
    <xf numFmtId="168" fontId="199" fillId="0" borderId="0" applyFont="0" applyFill="0" applyBorder="0" applyAlignment="0" applyProtection="0"/>
    <xf numFmtId="168" fontId="199" fillId="0" borderId="0" applyFont="0" applyFill="0" applyBorder="0" applyAlignment="0" applyProtection="0"/>
    <xf numFmtId="278" fontId="88" fillId="0" borderId="0" applyFill="0" applyBorder="0" applyAlignment="0" applyProtection="0"/>
    <xf numFmtId="278" fontId="88" fillId="0" borderId="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278" fontId="88" fillId="0" borderId="0" applyFill="0" applyBorder="0" applyAlignment="0" applyProtection="0"/>
    <xf numFmtId="278" fontId="88" fillId="0" borderId="0" applyFill="0" applyBorder="0" applyAlignment="0" applyProtection="0"/>
    <xf numFmtId="171" fontId="199" fillId="0" borderId="0" applyFont="0" applyFill="0" applyBorder="0" applyAlignment="0" applyProtection="0"/>
    <xf numFmtId="171" fontId="199" fillId="0" borderId="0" applyFont="0" applyFill="0" applyBorder="0" applyAlignment="0" applyProtection="0"/>
    <xf numFmtId="168" fontId="200" fillId="0" borderId="0" applyFont="0" applyFill="0" applyBorder="0" applyAlignment="0" applyProtection="0"/>
    <xf numFmtId="168" fontId="200" fillId="0" borderId="0" applyFont="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41" fontId="199" fillId="0" borderId="0" applyFont="0" applyFill="0" applyBorder="0" applyAlignment="0" applyProtection="0"/>
    <xf numFmtId="278" fontId="88" fillId="0" borderId="0" applyFill="0" applyBorder="0" applyAlignment="0" applyProtection="0"/>
    <xf numFmtId="214" fontId="88" fillId="0" borderId="0" applyFill="0" applyBorder="0" applyAlignment="0" applyProtection="0"/>
    <xf numFmtId="171" fontId="199" fillId="0" borderId="0" applyFont="0" applyFill="0" applyBorder="0" applyAlignment="0" applyProtection="0"/>
    <xf numFmtId="168" fontId="199" fillId="0" borderId="0" applyFont="0" applyFill="0" applyBorder="0" applyAlignment="0" applyProtection="0"/>
    <xf numFmtId="276" fontId="88" fillId="0" borderId="0" applyFill="0" applyBorder="0" applyAlignment="0" applyProtection="0"/>
    <xf numFmtId="276" fontId="88" fillId="0" borderId="0" applyFill="0" applyBorder="0" applyAlignment="0" applyProtection="0"/>
    <xf numFmtId="275" fontId="16" fillId="0" borderId="0" applyFont="0" applyFill="0" applyBorder="0" applyAlignment="0" applyProtection="0"/>
    <xf numFmtId="275" fontId="16" fillId="0" borderId="0" applyFont="0" applyFill="0" applyBorder="0" applyAlignment="0" applyProtection="0"/>
    <xf numFmtId="278" fontId="88" fillId="0" borderId="0" applyFill="0" applyBorder="0" applyAlignment="0" applyProtection="0"/>
    <xf numFmtId="279" fontId="88" fillId="0" borderId="0" applyFill="0" applyBorder="0" applyAlignment="0" applyProtection="0"/>
    <xf numFmtId="171" fontId="199" fillId="0" borderId="0" applyFont="0" applyFill="0" applyBorder="0" applyAlignment="0" applyProtection="0"/>
    <xf numFmtId="41" fontId="199" fillId="0" borderId="0" applyFont="0" applyFill="0" applyBorder="0" applyAlignment="0" applyProtection="0"/>
    <xf numFmtId="168" fontId="199" fillId="0" borderId="0" applyFont="0" applyFill="0" applyBorder="0" applyAlignment="0" applyProtection="0"/>
    <xf numFmtId="214" fontId="88" fillId="0" borderId="0" applyFill="0" applyBorder="0" applyAlignment="0" applyProtection="0"/>
    <xf numFmtId="41" fontId="200" fillId="0" borderId="0" applyFont="0" applyFill="0" applyBorder="0" applyAlignment="0" applyProtection="0"/>
    <xf numFmtId="41" fontId="200" fillId="0" borderId="0" applyFont="0" applyFill="0" applyBorder="0" applyAlignment="0" applyProtection="0"/>
    <xf numFmtId="172" fontId="199" fillId="0" borderId="0" applyFont="0" applyFill="0" applyBorder="0" applyAlignment="0" applyProtection="0"/>
    <xf numFmtId="170" fontId="199" fillId="0" borderId="0" applyFont="0" applyFill="0" applyBorder="0" applyAlignment="0" applyProtection="0"/>
    <xf numFmtId="172" fontId="199" fillId="0" borderId="0" applyFont="0" applyFill="0" applyBorder="0" applyAlignment="0" applyProtection="0"/>
    <xf numFmtId="170" fontId="199" fillId="0" borderId="0" applyFont="0" applyFill="0" applyBorder="0" applyAlignment="0" applyProtection="0"/>
    <xf numFmtId="172" fontId="199" fillId="0" borderId="0" applyFont="0" applyFill="0" applyBorder="0" applyAlignment="0" applyProtection="0"/>
    <xf numFmtId="170" fontId="199" fillId="0" borderId="0" applyFont="0" applyFill="0" applyBorder="0" applyAlignment="0" applyProtection="0"/>
    <xf numFmtId="172" fontId="199" fillId="0" borderId="0" applyFont="0" applyFill="0" applyBorder="0" applyAlignment="0" applyProtection="0"/>
    <xf numFmtId="170" fontId="199" fillId="0" borderId="0" applyFont="0" applyFill="0" applyBorder="0" applyAlignment="0" applyProtection="0"/>
    <xf numFmtId="43" fontId="200" fillId="0" borderId="0" applyFont="0" applyFill="0" applyBorder="0" applyAlignment="0" applyProtection="0"/>
    <xf numFmtId="43" fontId="200"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7" fontId="88" fillId="0" borderId="0" applyFill="0" applyBorder="0" applyAlignment="0" applyProtection="0"/>
    <xf numFmtId="287" fontId="88" fillId="0" borderId="0" applyFill="0" applyBorder="0" applyAlignment="0" applyProtection="0"/>
    <xf numFmtId="288" fontId="16" fillId="0" borderId="0" applyFont="0" applyFill="0" applyBorder="0" applyAlignment="0" applyProtection="0"/>
    <xf numFmtId="288"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91" fillId="0" borderId="0" applyFill="0" applyBorder="0" applyAlignment="0" applyProtection="0"/>
    <xf numFmtId="289" fontId="91"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90" fontId="88" fillId="0" borderId="0" applyFill="0" applyBorder="0" applyAlignment="0" applyProtection="0"/>
    <xf numFmtId="290" fontId="88" fillId="0" borderId="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0" fontId="88" fillId="0" borderId="0" applyFill="0" applyBorder="0" applyAlignment="0" applyProtection="0"/>
    <xf numFmtId="290" fontId="88" fillId="0" borderId="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91" fillId="0" borderId="0" applyFill="0" applyBorder="0" applyAlignment="0" applyProtection="0"/>
    <xf numFmtId="289" fontId="91"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91" fillId="0" borderId="0" applyFill="0" applyBorder="0" applyAlignment="0" applyProtection="0"/>
    <xf numFmtId="289" fontId="91"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91" fillId="0" borderId="0" applyFill="0" applyBorder="0" applyAlignment="0" applyProtection="0"/>
    <xf numFmtId="289" fontId="91"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91" fillId="0" borderId="0" applyFill="0" applyBorder="0" applyAlignment="0" applyProtection="0"/>
    <xf numFmtId="289" fontId="91"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91" fillId="0" borderId="0" applyFill="0" applyBorder="0" applyAlignment="0" applyProtection="0"/>
    <xf numFmtId="289" fontId="91"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7" fontId="88" fillId="0" borderId="0" applyFill="0" applyBorder="0" applyAlignment="0" applyProtection="0"/>
    <xf numFmtId="287" fontId="88" fillId="0" borderId="0" applyFill="0" applyBorder="0" applyAlignment="0" applyProtection="0"/>
    <xf numFmtId="288" fontId="16" fillId="0" borderId="0" applyFont="0" applyFill="0" applyBorder="0" applyAlignment="0" applyProtection="0"/>
    <xf numFmtId="288"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91" fillId="0" borderId="0" applyFill="0" applyBorder="0" applyAlignment="0" applyProtection="0"/>
    <xf numFmtId="289" fontId="91"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90" fontId="88" fillId="0" borderId="0" applyFill="0" applyBorder="0" applyAlignment="0" applyProtection="0"/>
    <xf numFmtId="290" fontId="88" fillId="0" borderId="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0" fontId="88" fillId="0" borderId="0" applyFill="0" applyBorder="0" applyAlignment="0" applyProtection="0"/>
    <xf numFmtId="290" fontId="88" fillId="0" borderId="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91" fillId="0" borderId="0" applyFill="0" applyBorder="0" applyAlignment="0" applyProtection="0"/>
    <xf numFmtId="289" fontId="91"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91" fillId="0" borderId="0" applyFill="0" applyBorder="0" applyAlignment="0" applyProtection="0"/>
    <xf numFmtId="289" fontId="91"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91" fillId="0" borderId="0" applyFill="0" applyBorder="0" applyAlignment="0" applyProtection="0"/>
    <xf numFmtId="289" fontId="91"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91" fillId="0" borderId="0" applyFill="0" applyBorder="0" applyAlignment="0" applyProtection="0"/>
    <xf numFmtId="289" fontId="91"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91" fillId="0" borderId="0" applyFill="0" applyBorder="0" applyAlignment="0" applyProtection="0"/>
    <xf numFmtId="289" fontId="91"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92" fontId="88" fillId="0" borderId="0" applyFill="0" applyBorder="0" applyAlignment="0" applyProtection="0"/>
    <xf numFmtId="207" fontId="88" fillId="0" borderId="0" applyFill="0" applyBorder="0" applyAlignment="0" applyProtection="0"/>
    <xf numFmtId="293" fontId="91" fillId="0" borderId="0" applyFill="0" applyBorder="0" applyAlignment="0" applyProtection="0"/>
    <xf numFmtId="294" fontId="91" fillId="0" borderId="0" applyFill="0" applyBorder="0" applyAlignment="0" applyProtection="0"/>
    <xf numFmtId="293" fontId="69" fillId="0" borderId="0" applyFill="0" applyBorder="0" applyAlignment="0" applyProtection="0"/>
    <xf numFmtId="294" fontId="69" fillId="0" borderId="0" applyFill="0" applyBorder="0" applyAlignment="0" applyProtection="0"/>
    <xf numFmtId="293" fontId="69" fillId="0" borderId="0" applyFill="0" applyBorder="0" applyAlignment="0" applyProtection="0"/>
    <xf numFmtId="294" fontId="69" fillId="0" borderId="0" applyFill="0" applyBorder="0" applyAlignment="0" applyProtection="0"/>
    <xf numFmtId="293" fontId="69" fillId="0" borderId="0" applyFill="0" applyBorder="0" applyAlignment="0" applyProtection="0"/>
    <xf numFmtId="294" fontId="69" fillId="0" borderId="0" applyFill="0" applyBorder="0" applyAlignment="0" applyProtection="0"/>
    <xf numFmtId="293" fontId="69" fillId="0" borderId="0" applyFill="0" applyBorder="0" applyAlignment="0" applyProtection="0"/>
    <xf numFmtId="294" fontId="69" fillId="0" borderId="0" applyFill="0" applyBorder="0" applyAlignment="0" applyProtection="0"/>
    <xf numFmtId="293" fontId="69" fillId="0" borderId="0" applyFill="0" applyBorder="0" applyAlignment="0" applyProtection="0"/>
    <xf numFmtId="294" fontId="69" fillId="0" borderId="0" applyFill="0" applyBorder="0" applyAlignment="0" applyProtection="0"/>
    <xf numFmtId="293" fontId="69" fillId="0" borderId="0" applyFill="0" applyBorder="0" applyAlignment="0" applyProtection="0"/>
    <xf numFmtId="294" fontId="69" fillId="0" borderId="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7" fontId="88" fillId="0" borderId="0" applyFill="0" applyBorder="0" applyAlignment="0" applyProtection="0"/>
    <xf numFmtId="287" fontId="88" fillId="0" borderId="0" applyFill="0" applyBorder="0" applyAlignment="0" applyProtection="0"/>
    <xf numFmtId="288" fontId="16" fillId="0" borderId="0" applyFont="0" applyFill="0" applyBorder="0" applyAlignment="0" applyProtection="0"/>
    <xf numFmtId="288"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91" fillId="0" borderId="0" applyFill="0" applyBorder="0" applyAlignment="0" applyProtection="0"/>
    <xf numFmtId="289" fontId="91"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95" fontId="68" fillId="0" borderId="0" applyFont="0" applyFill="0" applyBorder="0" applyAlignment="0" applyProtection="0"/>
    <xf numFmtId="295" fontId="68"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0" fontId="88" fillId="0" borderId="0" applyFill="0" applyBorder="0" applyAlignment="0" applyProtection="0"/>
    <xf numFmtId="290" fontId="88" fillId="0" borderId="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91" fillId="0" borderId="0" applyFill="0" applyBorder="0" applyAlignment="0" applyProtection="0"/>
    <xf numFmtId="289" fontId="91"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91" fillId="0" borderId="0" applyFill="0" applyBorder="0" applyAlignment="0" applyProtection="0"/>
    <xf numFmtId="289" fontId="91"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94" fontId="88" fillId="0" borderId="0" applyFill="0" applyBorder="0" applyAlignment="0" applyProtection="0"/>
    <xf numFmtId="294" fontId="88" fillId="0" borderId="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290" fontId="88" fillId="0" borderId="0" applyFill="0" applyBorder="0" applyAlignment="0" applyProtection="0"/>
    <xf numFmtId="290" fontId="88" fillId="0" borderId="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1" fontId="16" fillId="0" borderId="0" applyFont="0" applyFill="0" applyBorder="0" applyAlignment="0" applyProtection="0"/>
    <xf numFmtId="294" fontId="88" fillId="0" borderId="0" applyFill="0" applyBorder="0" applyAlignment="0" applyProtection="0"/>
    <xf numFmtId="294" fontId="88" fillId="0" borderId="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296" fontId="88" fillId="0" borderId="0" applyFill="0" applyBorder="0" applyAlignment="0" applyProtection="0"/>
    <xf numFmtId="296" fontId="88" fillId="0" borderId="0" applyFill="0" applyBorder="0" applyAlignment="0" applyProtection="0"/>
    <xf numFmtId="297" fontId="69" fillId="0" borderId="0" applyFont="0" applyFill="0" applyBorder="0" applyAlignment="0" applyProtection="0"/>
    <xf numFmtId="297" fontId="69" fillId="0" borderId="0" applyFont="0" applyFill="0" applyBorder="0" applyAlignment="0" applyProtection="0"/>
    <xf numFmtId="298" fontId="88" fillId="0" borderId="0" applyFill="0" applyBorder="0" applyAlignment="0" applyProtection="0"/>
    <xf numFmtId="298" fontId="88" fillId="0" borderId="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8" fontId="88" fillId="0" borderId="0" applyFill="0" applyBorder="0" applyAlignment="0" applyProtection="0"/>
    <xf numFmtId="298" fontId="88" fillId="0" borderId="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8" fontId="91" fillId="0" borderId="0" applyFill="0" applyBorder="0" applyAlignment="0" applyProtection="0"/>
    <xf numFmtId="298" fontId="91"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9" fontId="88" fillId="0" borderId="0" applyFill="0" applyBorder="0" applyAlignment="0" applyProtection="0"/>
    <xf numFmtId="299" fontId="88" fillId="0" borderId="0" applyFill="0" applyBorder="0" applyAlignment="0" applyProtection="0"/>
    <xf numFmtId="300" fontId="69" fillId="0" borderId="0" applyFont="0" applyFill="0" applyBorder="0" applyAlignment="0" applyProtection="0"/>
    <xf numFmtId="300" fontId="69" fillId="0" borderId="0" applyFont="0" applyFill="0" applyBorder="0" applyAlignment="0" applyProtection="0"/>
    <xf numFmtId="300" fontId="69" fillId="0" borderId="0" applyFont="0" applyFill="0" applyBorder="0" applyAlignment="0" applyProtection="0"/>
    <xf numFmtId="300" fontId="69" fillId="0" borderId="0" applyFont="0" applyFill="0" applyBorder="0" applyAlignment="0" applyProtection="0"/>
    <xf numFmtId="300" fontId="69" fillId="0" borderId="0" applyFont="0" applyFill="0" applyBorder="0" applyAlignment="0" applyProtection="0"/>
    <xf numFmtId="300" fontId="69" fillId="0" borderId="0" applyFont="0" applyFill="0" applyBorder="0" applyAlignment="0" applyProtection="0"/>
    <xf numFmtId="300" fontId="69" fillId="0" borderId="0" applyFont="0" applyFill="0" applyBorder="0" applyAlignment="0" applyProtection="0"/>
    <xf numFmtId="300" fontId="69" fillId="0" borderId="0" applyFont="0" applyFill="0" applyBorder="0" applyAlignment="0" applyProtection="0"/>
    <xf numFmtId="300" fontId="69" fillId="0" borderId="0" applyFont="0" applyFill="0" applyBorder="0" applyAlignment="0" applyProtection="0"/>
    <xf numFmtId="300" fontId="69" fillId="0" borderId="0" applyFont="0" applyFill="0" applyBorder="0" applyAlignment="0" applyProtection="0"/>
    <xf numFmtId="299" fontId="88" fillId="0" borderId="0" applyFill="0" applyBorder="0" applyAlignment="0" applyProtection="0"/>
    <xf numFmtId="299" fontId="88" fillId="0" borderId="0" applyFill="0" applyBorder="0" applyAlignment="0" applyProtection="0"/>
    <xf numFmtId="300" fontId="69" fillId="0" borderId="0" applyFont="0" applyFill="0" applyBorder="0" applyAlignment="0" applyProtection="0"/>
    <xf numFmtId="300" fontId="69" fillId="0" borderId="0" applyFont="0" applyFill="0" applyBorder="0" applyAlignment="0" applyProtection="0"/>
    <xf numFmtId="300" fontId="69" fillId="0" borderId="0" applyFont="0" applyFill="0" applyBorder="0" applyAlignment="0" applyProtection="0"/>
    <xf numFmtId="300" fontId="69" fillId="0" borderId="0" applyFont="0" applyFill="0" applyBorder="0" applyAlignment="0" applyProtection="0"/>
    <xf numFmtId="300" fontId="69" fillId="0" borderId="0" applyFont="0" applyFill="0" applyBorder="0" applyAlignment="0" applyProtection="0"/>
    <xf numFmtId="300" fontId="69" fillId="0" borderId="0" applyFont="0" applyFill="0" applyBorder="0" applyAlignment="0" applyProtection="0"/>
    <xf numFmtId="300" fontId="69" fillId="0" borderId="0" applyFont="0" applyFill="0" applyBorder="0" applyAlignment="0" applyProtection="0"/>
    <xf numFmtId="300" fontId="69" fillId="0" borderId="0" applyFont="0" applyFill="0" applyBorder="0" applyAlignment="0" applyProtection="0"/>
    <xf numFmtId="300" fontId="69" fillId="0" borderId="0" applyFont="0" applyFill="0" applyBorder="0" applyAlignment="0" applyProtection="0"/>
    <xf numFmtId="300" fontId="69" fillId="0" borderId="0" applyFont="0" applyFill="0" applyBorder="0" applyAlignment="0" applyProtection="0"/>
    <xf numFmtId="298" fontId="88" fillId="0" borderId="0" applyFill="0" applyBorder="0" applyAlignment="0" applyProtection="0"/>
    <xf numFmtId="298" fontId="88" fillId="0" borderId="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8" fontId="91" fillId="0" borderId="0" applyFill="0" applyBorder="0" applyAlignment="0" applyProtection="0"/>
    <xf numFmtId="298" fontId="91"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91" fillId="0" borderId="0" applyFill="0" applyBorder="0" applyAlignment="0" applyProtection="0"/>
    <xf numFmtId="298" fontId="91"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91" fillId="0" borderId="0" applyFill="0" applyBorder="0" applyAlignment="0" applyProtection="0"/>
    <xf numFmtId="298" fontId="91"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91" fillId="0" borderId="0" applyFill="0" applyBorder="0" applyAlignment="0" applyProtection="0"/>
    <xf numFmtId="298" fontId="91"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88" fillId="0" borderId="0" applyFill="0" applyBorder="0" applyAlignment="0" applyProtection="0"/>
    <xf numFmtId="298" fontId="88" fillId="0" borderId="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8" fontId="88" fillId="0" borderId="0" applyFill="0" applyBorder="0" applyAlignment="0" applyProtection="0"/>
    <xf numFmtId="298" fontId="88" fillId="0" borderId="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8" fontId="88" fillId="0" borderId="0" applyFill="0" applyBorder="0" applyAlignment="0" applyProtection="0"/>
    <xf numFmtId="298" fontId="88" fillId="0" borderId="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8" fontId="91" fillId="0" borderId="0" applyFill="0" applyBorder="0" applyAlignment="0" applyProtection="0"/>
    <xf numFmtId="298" fontId="91"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69" fillId="0" borderId="0" applyFill="0" applyBorder="0" applyAlignment="0" applyProtection="0"/>
    <xf numFmtId="298" fontId="88" fillId="0" borderId="0" applyFill="0" applyBorder="0" applyAlignment="0" applyProtection="0"/>
    <xf numFmtId="298" fontId="88" fillId="0" borderId="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8" fontId="88" fillId="0" borderId="0" applyFill="0" applyBorder="0" applyAlignment="0" applyProtection="0"/>
    <xf numFmtId="298" fontId="88" fillId="0" borderId="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8" fontId="88" fillId="0" borderId="0" applyFill="0" applyBorder="0" applyAlignment="0" applyProtection="0"/>
    <xf numFmtId="298" fontId="88" fillId="0" borderId="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8" fontId="88" fillId="0" borderId="0" applyFill="0" applyBorder="0" applyAlignment="0" applyProtection="0"/>
    <xf numFmtId="298" fontId="88" fillId="0" borderId="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8" fontId="88" fillId="0" borderId="0" applyFill="0" applyBorder="0" applyAlignment="0" applyProtection="0"/>
    <xf numFmtId="298" fontId="88" fillId="0" borderId="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95" fontId="69" fillId="0" borderId="0" applyFont="0" applyFill="0" applyBorder="0" applyAlignment="0" applyProtection="0"/>
    <xf numFmtId="289" fontId="91" fillId="0" borderId="0" applyFill="0" applyBorder="0" applyAlignment="0" applyProtection="0"/>
    <xf numFmtId="289" fontId="91"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94" fontId="88" fillId="0" borderId="0" applyFill="0" applyBorder="0" applyAlignment="0" applyProtection="0"/>
    <xf numFmtId="294" fontId="88" fillId="0" borderId="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289" fontId="91" fillId="0" borderId="0" applyFill="0" applyBorder="0" applyAlignment="0" applyProtection="0"/>
    <xf numFmtId="289" fontId="91"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91" fillId="0" borderId="0" applyFill="0" applyBorder="0" applyAlignment="0" applyProtection="0"/>
    <xf numFmtId="289" fontId="91"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69" fillId="0" borderId="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94" fontId="88" fillId="0" borderId="0" applyFill="0" applyBorder="0" applyAlignment="0" applyProtection="0"/>
    <xf numFmtId="294" fontId="88" fillId="0" borderId="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301" fontId="68" fillId="0" borderId="0" applyFont="0" applyFill="0" applyBorder="0" applyAlignment="0" applyProtection="0"/>
    <xf numFmtId="301" fontId="68"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2" fontId="88" fillId="0" borderId="0" applyFill="0" applyBorder="0" applyAlignment="0" applyProtection="0"/>
    <xf numFmtId="302" fontId="88" fillId="0" borderId="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2" fontId="88" fillId="0" borderId="0" applyFill="0" applyBorder="0" applyAlignment="0" applyProtection="0"/>
    <xf numFmtId="302" fontId="88" fillId="0" borderId="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2" fontId="91" fillId="0" borderId="0" applyFill="0" applyBorder="0" applyAlignment="0" applyProtection="0"/>
    <xf numFmtId="302" fontId="91"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88" fillId="0" borderId="0" applyFill="0" applyBorder="0" applyAlignment="0" applyProtection="0"/>
    <xf numFmtId="302" fontId="88" fillId="0" borderId="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302" fontId="91" fillId="0" borderId="0" applyFill="0" applyBorder="0" applyAlignment="0" applyProtection="0"/>
    <xf numFmtId="302" fontId="91"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91" fillId="0" borderId="0" applyFill="0" applyBorder="0" applyAlignment="0" applyProtection="0"/>
    <xf numFmtId="302" fontId="91"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91" fillId="0" borderId="0" applyFill="0" applyBorder="0" applyAlignment="0" applyProtection="0"/>
    <xf numFmtId="302" fontId="91"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302" fontId="91" fillId="0" borderId="0" applyFill="0" applyBorder="0" applyAlignment="0" applyProtection="0"/>
    <xf numFmtId="302" fontId="91"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88" fillId="0" borderId="0" applyFill="0" applyBorder="0" applyAlignment="0" applyProtection="0"/>
    <xf numFmtId="302" fontId="88" fillId="0" borderId="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2" fontId="88" fillId="0" borderId="0" applyFill="0" applyBorder="0" applyAlignment="0" applyProtection="0"/>
    <xf numFmtId="302" fontId="88" fillId="0" borderId="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2" fontId="88" fillId="0" borderId="0" applyFill="0" applyBorder="0" applyAlignment="0" applyProtection="0"/>
    <xf numFmtId="302" fontId="88" fillId="0" borderId="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2" fontId="88" fillId="0" borderId="0" applyFill="0" applyBorder="0" applyAlignment="0" applyProtection="0"/>
    <xf numFmtId="302" fontId="88" fillId="0" borderId="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2" fontId="91" fillId="0" borderId="0" applyFill="0" applyBorder="0" applyAlignment="0" applyProtection="0"/>
    <xf numFmtId="302" fontId="91"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69" fillId="0" borderId="0" applyFill="0" applyBorder="0" applyAlignment="0" applyProtection="0"/>
    <xf numFmtId="302" fontId="88" fillId="0" borderId="0" applyFill="0" applyBorder="0" applyAlignment="0" applyProtection="0"/>
    <xf numFmtId="302" fontId="88" fillId="0" borderId="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2" fontId="88" fillId="0" borderId="0" applyFill="0" applyBorder="0" applyAlignment="0" applyProtection="0"/>
    <xf numFmtId="302" fontId="88" fillId="0" borderId="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302" fontId="88" fillId="0" borderId="0" applyFill="0" applyBorder="0" applyAlignment="0" applyProtection="0"/>
    <xf numFmtId="302" fontId="88" fillId="0" borderId="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2" fontId="88" fillId="0" borderId="0" applyFill="0" applyBorder="0" applyAlignment="0" applyProtection="0"/>
    <xf numFmtId="302" fontId="88" fillId="0" borderId="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2" fontId="88" fillId="0" borderId="0" applyFill="0" applyBorder="0" applyAlignment="0" applyProtection="0"/>
    <xf numFmtId="302" fontId="88" fillId="0" borderId="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301" fontId="69" fillId="0" borderId="0" applyFont="0" applyFill="0" applyBorder="0" applyAlignment="0" applyProtection="0"/>
    <xf numFmtId="293" fontId="91" fillId="0" borderId="0" applyFill="0" applyBorder="0" applyAlignment="0" applyProtection="0"/>
    <xf numFmtId="289" fontId="88" fillId="0" borderId="0" applyFill="0" applyBorder="0" applyAlignment="0" applyProtection="0"/>
    <xf numFmtId="172" fontId="199" fillId="0" borderId="0" applyFont="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294" fontId="88" fillId="0" borderId="0" applyFill="0" applyBorder="0" applyAlignment="0" applyProtection="0"/>
    <xf numFmtId="294" fontId="88" fillId="0" borderId="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294" fontId="88" fillId="0" borderId="0" applyFill="0" applyBorder="0" applyAlignment="0" applyProtection="0"/>
    <xf numFmtId="294" fontId="88" fillId="0" borderId="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207" fontId="88" fillId="0" borderId="0" applyFill="0" applyBorder="0" applyAlignment="0" applyProtection="0"/>
    <xf numFmtId="207" fontId="88" fillId="0" borderId="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294" fontId="88" fillId="0" borderId="0" applyFill="0" applyBorder="0" applyAlignment="0" applyProtection="0"/>
    <xf numFmtId="294" fontId="88" fillId="0" borderId="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207" fontId="88" fillId="0" borderId="0" applyFill="0" applyBorder="0" applyAlignment="0" applyProtection="0"/>
    <xf numFmtId="207" fontId="88" fillId="0" borderId="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207" fontId="88" fillId="0" borderId="0" applyFill="0" applyBorder="0" applyAlignment="0" applyProtection="0"/>
    <xf numFmtId="207" fontId="88" fillId="0" borderId="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293" fontId="91" fillId="0" borderId="0" applyFill="0" applyBorder="0" applyAlignment="0" applyProtection="0"/>
    <xf numFmtId="170" fontId="199" fillId="0" borderId="0" applyFont="0" applyFill="0" applyBorder="0" applyAlignment="0" applyProtection="0"/>
    <xf numFmtId="293" fontId="88" fillId="0" borderId="0" applyFill="0" applyBorder="0" applyAlignment="0" applyProtection="0"/>
    <xf numFmtId="207" fontId="88" fillId="0" borderId="0" applyFill="0" applyBorder="0" applyAlignment="0" applyProtection="0"/>
    <xf numFmtId="172" fontId="199" fillId="0" borderId="0" applyFont="0" applyFill="0" applyBorder="0" applyAlignment="0" applyProtection="0"/>
    <xf numFmtId="170" fontId="199" fillId="0" borderId="0" applyFont="0" applyFill="0" applyBorder="0" applyAlignment="0" applyProtection="0"/>
    <xf numFmtId="293" fontId="91" fillId="0" borderId="0" applyFill="0" applyBorder="0" applyAlignment="0" applyProtection="0"/>
    <xf numFmtId="294" fontId="91" fillId="0" borderId="0" applyFill="0" applyBorder="0" applyAlignment="0" applyProtection="0"/>
    <xf numFmtId="293" fontId="69" fillId="0" borderId="0" applyFill="0" applyBorder="0" applyAlignment="0" applyProtection="0"/>
    <xf numFmtId="294" fontId="69" fillId="0" borderId="0" applyFill="0" applyBorder="0" applyAlignment="0" applyProtection="0"/>
    <xf numFmtId="293" fontId="69" fillId="0" borderId="0" applyFill="0" applyBorder="0" applyAlignment="0" applyProtection="0"/>
    <xf numFmtId="294" fontId="69" fillId="0" borderId="0" applyFill="0" applyBorder="0" applyAlignment="0" applyProtection="0"/>
    <xf numFmtId="293" fontId="69" fillId="0" borderId="0" applyFill="0" applyBorder="0" applyAlignment="0" applyProtection="0"/>
    <xf numFmtId="294" fontId="69" fillId="0" borderId="0" applyFill="0" applyBorder="0" applyAlignment="0" applyProtection="0"/>
    <xf numFmtId="293" fontId="69" fillId="0" borderId="0" applyFill="0" applyBorder="0" applyAlignment="0" applyProtection="0"/>
    <xf numFmtId="294" fontId="69" fillId="0" borderId="0" applyFill="0" applyBorder="0" applyAlignment="0" applyProtection="0"/>
    <xf numFmtId="293" fontId="69" fillId="0" borderId="0" applyFill="0" applyBorder="0" applyAlignment="0" applyProtection="0"/>
    <xf numFmtId="294" fontId="69" fillId="0" borderId="0" applyFill="0" applyBorder="0" applyAlignment="0" applyProtection="0"/>
    <xf numFmtId="293" fontId="69" fillId="0" borderId="0" applyFill="0" applyBorder="0" applyAlignment="0" applyProtection="0"/>
    <xf numFmtId="294" fontId="69" fillId="0" borderId="0" applyFill="0" applyBorder="0" applyAlignment="0" applyProtection="0"/>
    <xf numFmtId="293" fontId="88" fillId="0" borderId="0" applyFill="0" applyBorder="0" applyAlignment="0" applyProtection="0"/>
    <xf numFmtId="207" fontId="88" fillId="0" borderId="0" applyFill="0" applyBorder="0" applyAlignment="0" applyProtection="0"/>
    <xf numFmtId="172" fontId="199" fillId="0" borderId="0" applyFont="0" applyFill="0" applyBorder="0" applyAlignment="0" applyProtection="0"/>
    <xf numFmtId="170" fontId="199" fillId="0" borderId="0" applyFont="0" applyFill="0" applyBorder="0" applyAlignment="0" applyProtection="0"/>
    <xf numFmtId="294" fontId="88" fillId="0" borderId="0" applyFill="0" applyBorder="0" applyAlignment="0" applyProtection="0"/>
    <xf numFmtId="294" fontId="88" fillId="0" borderId="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294" fontId="91" fillId="0" borderId="0" applyFill="0" applyBorder="0" applyAlignment="0" applyProtection="0"/>
    <xf numFmtId="207" fontId="88" fillId="0" borderId="0" applyFill="0" applyBorder="0" applyAlignment="0" applyProtection="0"/>
    <xf numFmtId="293" fontId="88" fillId="0" borderId="0" applyFill="0" applyBorder="0" applyAlignment="0" applyProtection="0"/>
    <xf numFmtId="207" fontId="88" fillId="0" borderId="0" applyFill="0" applyBorder="0" applyAlignment="0" applyProtection="0"/>
    <xf numFmtId="172" fontId="199" fillId="0" borderId="0" applyFont="0" applyFill="0" applyBorder="0" applyAlignment="0" applyProtection="0"/>
    <xf numFmtId="170" fontId="199" fillId="0" borderId="0" applyFont="0" applyFill="0" applyBorder="0" applyAlignment="0" applyProtection="0"/>
    <xf numFmtId="293" fontId="91" fillId="0" borderId="0" applyFill="0" applyBorder="0" applyAlignment="0" applyProtection="0"/>
    <xf numFmtId="294" fontId="91" fillId="0" borderId="0" applyFill="0" applyBorder="0" applyAlignment="0" applyProtection="0"/>
    <xf numFmtId="293" fontId="69" fillId="0" borderId="0" applyFill="0" applyBorder="0" applyAlignment="0" applyProtection="0"/>
    <xf numFmtId="294" fontId="69" fillId="0" borderId="0" applyFill="0" applyBorder="0" applyAlignment="0" applyProtection="0"/>
    <xf numFmtId="293" fontId="69" fillId="0" borderId="0" applyFill="0" applyBorder="0" applyAlignment="0" applyProtection="0"/>
    <xf numFmtId="294" fontId="69" fillId="0" borderId="0" applyFill="0" applyBorder="0" applyAlignment="0" applyProtection="0"/>
    <xf numFmtId="293" fontId="69" fillId="0" borderId="0" applyFill="0" applyBorder="0" applyAlignment="0" applyProtection="0"/>
    <xf numFmtId="294" fontId="69" fillId="0" borderId="0" applyFill="0" applyBorder="0" applyAlignment="0" applyProtection="0"/>
    <xf numFmtId="293" fontId="69" fillId="0" borderId="0" applyFill="0" applyBorder="0" applyAlignment="0" applyProtection="0"/>
    <xf numFmtId="294" fontId="69" fillId="0" borderId="0" applyFill="0" applyBorder="0" applyAlignment="0" applyProtection="0"/>
    <xf numFmtId="293" fontId="69" fillId="0" borderId="0" applyFill="0" applyBorder="0" applyAlignment="0" applyProtection="0"/>
    <xf numFmtId="294" fontId="69" fillId="0" borderId="0" applyFill="0" applyBorder="0" applyAlignment="0" applyProtection="0"/>
    <xf numFmtId="293" fontId="69" fillId="0" borderId="0" applyFill="0" applyBorder="0" applyAlignment="0" applyProtection="0"/>
    <xf numFmtId="294" fontId="69" fillId="0" borderId="0" applyFill="0" applyBorder="0" applyAlignment="0" applyProtection="0"/>
    <xf numFmtId="43" fontId="199" fillId="0" borderId="0" applyFont="0" applyFill="0" applyBorder="0" applyAlignment="0" applyProtection="0"/>
    <xf numFmtId="294" fontId="91" fillId="0" borderId="0" applyFill="0" applyBorder="0" applyAlignment="0" applyProtection="0"/>
    <xf numFmtId="293" fontId="88" fillId="0" borderId="0" applyFill="0" applyBorder="0" applyAlignment="0" applyProtection="0"/>
    <xf numFmtId="294" fontId="88" fillId="0" borderId="0" applyFill="0" applyBorder="0" applyAlignment="0" applyProtection="0"/>
    <xf numFmtId="172" fontId="199" fillId="0" borderId="0" applyFont="0" applyFill="0" applyBorder="0" applyAlignment="0" applyProtection="0"/>
    <xf numFmtId="43" fontId="199" fillId="0" borderId="0" applyFont="0" applyFill="0" applyBorder="0" applyAlignment="0" applyProtection="0"/>
    <xf numFmtId="293" fontId="88" fillId="0" borderId="0" applyFill="0" applyBorder="0" applyAlignment="0" applyProtection="0"/>
    <xf numFmtId="294" fontId="88" fillId="0" borderId="0" applyFill="0" applyBorder="0" applyAlignment="0" applyProtection="0"/>
    <xf numFmtId="172" fontId="199" fillId="0" borderId="0" applyFont="0" applyFill="0" applyBorder="0" applyAlignment="0" applyProtection="0"/>
    <xf numFmtId="43" fontId="199" fillId="0" borderId="0" applyFont="0" applyFill="0" applyBorder="0" applyAlignment="0" applyProtection="0"/>
    <xf numFmtId="207" fontId="88" fillId="0" borderId="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170" fontId="199" fillId="0" borderId="0" applyFont="0" applyFill="0" applyBorder="0" applyAlignment="0" applyProtection="0"/>
    <xf numFmtId="172" fontId="199" fillId="0" borderId="0" applyFont="0" applyFill="0" applyBorder="0" applyAlignment="0" applyProtection="0"/>
    <xf numFmtId="170" fontId="199" fillId="0" borderId="0" applyFont="0" applyFill="0" applyBorder="0" applyAlignment="0" applyProtection="0"/>
    <xf numFmtId="207" fontId="88" fillId="0" borderId="0" applyFill="0" applyBorder="0" applyAlignment="0" applyProtection="0"/>
    <xf numFmtId="293" fontId="88" fillId="0" borderId="0" applyFill="0" applyBorder="0" applyAlignment="0" applyProtection="0"/>
    <xf numFmtId="207" fontId="88" fillId="0" borderId="0" applyFill="0" applyBorder="0" applyAlignment="0" applyProtection="0"/>
    <xf numFmtId="294" fontId="88" fillId="0" borderId="0" applyFill="0" applyBorder="0" applyAlignment="0" applyProtection="0"/>
    <xf numFmtId="294" fontId="88" fillId="0" borderId="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207" fontId="88" fillId="0" borderId="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170" fontId="200" fillId="0" borderId="0" applyFont="0" applyFill="0" applyBorder="0" applyAlignment="0" applyProtection="0"/>
    <xf numFmtId="170" fontId="200" fillId="0" borderId="0" applyFont="0" applyFill="0" applyBorder="0" applyAlignment="0" applyProtection="0"/>
    <xf numFmtId="293" fontId="88" fillId="0" borderId="0" applyFill="0" applyBorder="0" applyAlignment="0" applyProtection="0"/>
    <xf numFmtId="293" fontId="88" fillId="0" borderId="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170" fontId="200" fillId="0" borderId="0" applyFont="0" applyFill="0" applyBorder="0" applyAlignment="0" applyProtection="0"/>
    <xf numFmtId="170" fontId="200" fillId="0" borderId="0" applyFont="0" applyFill="0" applyBorder="0" applyAlignment="0" applyProtection="0"/>
    <xf numFmtId="207" fontId="88" fillId="0" borderId="0" applyFill="0" applyBorder="0" applyAlignment="0" applyProtection="0"/>
    <xf numFmtId="207" fontId="88" fillId="0" borderId="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294" fontId="88" fillId="0" borderId="0" applyFill="0" applyBorder="0" applyAlignment="0" applyProtection="0"/>
    <xf numFmtId="294" fontId="88" fillId="0" borderId="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207" fontId="91" fillId="0" borderId="0" applyFill="0" applyBorder="0" applyAlignment="0" applyProtection="0"/>
    <xf numFmtId="207" fontId="91"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88" fillId="0" borderId="0" applyFill="0" applyBorder="0" applyAlignment="0" applyProtection="0"/>
    <xf numFmtId="207" fontId="88" fillId="0" borderId="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293" fontId="88" fillId="0" borderId="0" applyFill="0" applyBorder="0" applyAlignment="0" applyProtection="0"/>
    <xf numFmtId="293" fontId="88" fillId="0" borderId="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303" fontId="88" fillId="0" borderId="0" applyFill="0" applyBorder="0" applyAlignment="0" applyProtection="0"/>
    <xf numFmtId="303" fontId="88" fillId="0" borderId="0" applyFill="0" applyBorder="0" applyAlignment="0" applyProtection="0"/>
    <xf numFmtId="304" fontId="199" fillId="0" borderId="0" applyFont="0" applyFill="0" applyBorder="0" applyAlignment="0" applyProtection="0"/>
    <xf numFmtId="304" fontId="199" fillId="0" borderId="0" applyFont="0" applyFill="0" applyBorder="0" applyAlignment="0" applyProtection="0"/>
    <xf numFmtId="293" fontId="88" fillId="0" borderId="0" applyFill="0" applyBorder="0" applyAlignment="0" applyProtection="0"/>
    <xf numFmtId="293" fontId="88" fillId="0" borderId="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207" fontId="88" fillId="0" borderId="0" applyFill="0" applyBorder="0" applyAlignment="0" applyProtection="0"/>
    <xf numFmtId="207" fontId="88" fillId="0" borderId="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207" fontId="88" fillId="0" borderId="0" applyFill="0" applyBorder="0" applyAlignment="0" applyProtection="0"/>
    <xf numFmtId="207" fontId="88" fillId="0" borderId="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293" fontId="88" fillId="0" borderId="0" applyFill="0" applyBorder="0" applyAlignment="0" applyProtection="0"/>
    <xf numFmtId="293" fontId="88" fillId="0" borderId="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207" fontId="91" fillId="0" borderId="0" applyFill="0" applyBorder="0" applyAlignment="0" applyProtection="0"/>
    <xf numFmtId="207" fontId="91"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303" fontId="88" fillId="0" borderId="0" applyFill="0" applyBorder="0" applyAlignment="0" applyProtection="0"/>
    <xf numFmtId="303" fontId="88" fillId="0" borderId="0" applyFill="0" applyBorder="0" applyAlignment="0" applyProtection="0"/>
    <xf numFmtId="304" fontId="199" fillId="0" borderId="0" applyFont="0" applyFill="0" applyBorder="0" applyAlignment="0" applyProtection="0"/>
    <xf numFmtId="304" fontId="199" fillId="0" borderId="0" applyFont="0" applyFill="0" applyBorder="0" applyAlignment="0" applyProtection="0"/>
    <xf numFmtId="303" fontId="88" fillId="0" borderId="0" applyFill="0" applyBorder="0" applyAlignment="0" applyProtection="0"/>
    <xf numFmtId="303" fontId="88" fillId="0" borderId="0" applyFill="0" applyBorder="0" applyAlignment="0" applyProtection="0"/>
    <xf numFmtId="304" fontId="199" fillId="0" borderId="0" applyFont="0" applyFill="0" applyBorder="0" applyAlignment="0" applyProtection="0"/>
    <xf numFmtId="304" fontId="199" fillId="0" borderId="0" applyFont="0" applyFill="0" applyBorder="0" applyAlignment="0" applyProtection="0"/>
    <xf numFmtId="293" fontId="88" fillId="0" borderId="0" applyFill="0" applyBorder="0" applyAlignment="0" applyProtection="0"/>
    <xf numFmtId="293" fontId="88" fillId="0" borderId="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207" fontId="91" fillId="0" borderId="0" applyFill="0" applyBorder="0" applyAlignment="0" applyProtection="0"/>
    <xf numFmtId="207" fontId="91"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93" fontId="88" fillId="0" borderId="0" applyFill="0" applyBorder="0" applyAlignment="0" applyProtection="0"/>
    <xf numFmtId="293" fontId="88" fillId="0" borderId="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207" fontId="88" fillId="0" borderId="0" applyFill="0" applyBorder="0" applyAlignment="0" applyProtection="0"/>
    <xf numFmtId="207" fontId="88" fillId="0" borderId="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293" fontId="88" fillId="0" borderId="0" applyFill="0" applyBorder="0" applyAlignment="0" applyProtection="0"/>
    <xf numFmtId="293" fontId="88" fillId="0" borderId="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207" fontId="91" fillId="0" borderId="0" applyFill="0" applyBorder="0" applyAlignment="0" applyProtection="0"/>
    <xf numFmtId="207" fontId="91"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88" fillId="0" borderId="0" applyFill="0" applyBorder="0" applyAlignment="0" applyProtection="0"/>
    <xf numFmtId="207" fontId="88" fillId="0" borderId="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207" fontId="91" fillId="0" borderId="0" applyFill="0" applyBorder="0" applyAlignment="0" applyProtection="0"/>
    <xf numFmtId="207" fontId="91"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88" fillId="0" borderId="0" applyFill="0" applyBorder="0" applyAlignment="0" applyProtection="0"/>
    <xf numFmtId="207" fontId="88" fillId="0" borderId="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207" fontId="91" fillId="0" borderId="0" applyFill="0" applyBorder="0" applyAlignment="0" applyProtection="0"/>
    <xf numFmtId="207" fontId="91"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07" fontId="69" fillId="0" borderId="0" applyFill="0" applyBorder="0" applyAlignment="0" applyProtection="0"/>
    <xf numFmtId="293" fontId="88" fillId="0" borderId="0" applyFill="0" applyBorder="0" applyAlignment="0" applyProtection="0"/>
    <xf numFmtId="293" fontId="88" fillId="0" borderId="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207" fontId="88" fillId="0" borderId="0" applyFill="0" applyBorder="0" applyAlignment="0" applyProtection="0"/>
    <xf numFmtId="207" fontId="88" fillId="0" borderId="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293" fontId="88" fillId="0" borderId="0" applyFill="0" applyBorder="0" applyAlignment="0" applyProtection="0"/>
    <xf numFmtId="293" fontId="88" fillId="0" borderId="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207" fontId="88" fillId="0" borderId="0" applyFill="0" applyBorder="0" applyAlignment="0" applyProtection="0"/>
    <xf numFmtId="207" fontId="88" fillId="0" borderId="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293" fontId="88" fillId="0" borderId="0" applyFill="0" applyBorder="0" applyAlignment="0" applyProtection="0"/>
    <xf numFmtId="293" fontId="88" fillId="0" borderId="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293" fontId="88" fillId="0" borderId="0" applyFill="0" applyBorder="0" applyAlignment="0" applyProtection="0"/>
    <xf numFmtId="293" fontId="88" fillId="0" borderId="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207" fontId="88" fillId="0" borderId="0" applyFill="0" applyBorder="0" applyAlignment="0" applyProtection="0"/>
    <xf numFmtId="207" fontId="88" fillId="0" borderId="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294" fontId="88" fillId="0" borderId="0" applyFill="0" applyBorder="0" applyAlignment="0" applyProtection="0"/>
    <xf numFmtId="294" fontId="88" fillId="0" borderId="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294" fontId="88" fillId="0" borderId="0" applyFill="0" applyBorder="0" applyAlignment="0" applyProtection="0"/>
    <xf numFmtId="294" fontId="88" fillId="0" borderId="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207" fontId="88" fillId="0" borderId="0" applyFill="0" applyBorder="0" applyAlignment="0" applyProtection="0"/>
    <xf numFmtId="207" fontId="88" fillId="0" borderId="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294" fontId="88" fillId="0" borderId="0" applyFill="0" applyBorder="0" applyAlignment="0" applyProtection="0"/>
    <xf numFmtId="294" fontId="88" fillId="0" borderId="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207" fontId="88" fillId="0" borderId="0" applyFill="0" applyBorder="0" applyAlignment="0" applyProtection="0"/>
    <xf numFmtId="207" fontId="88" fillId="0" borderId="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207" fontId="88" fillId="0" borderId="0" applyFill="0" applyBorder="0" applyAlignment="0" applyProtection="0"/>
    <xf numFmtId="207" fontId="88" fillId="0" borderId="0" applyFill="0" applyBorder="0" applyAlignment="0" applyProtection="0"/>
    <xf numFmtId="170" fontId="199" fillId="0" borderId="0" applyFont="0" applyFill="0" applyBorder="0" applyAlignment="0" applyProtection="0"/>
    <xf numFmtId="170" fontId="199" fillId="0" borderId="0" applyFont="0" applyFill="0" applyBorder="0" applyAlignment="0" applyProtection="0"/>
    <xf numFmtId="293" fontId="88" fillId="0" borderId="0" applyFill="0" applyBorder="0" applyAlignment="0" applyProtection="0"/>
    <xf numFmtId="293" fontId="88" fillId="0" borderId="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293" fontId="88" fillId="0" borderId="0" applyFill="0" applyBorder="0" applyAlignment="0" applyProtection="0"/>
    <xf numFmtId="293" fontId="88" fillId="0" borderId="0" applyFill="0" applyBorder="0" applyAlignment="0" applyProtection="0"/>
    <xf numFmtId="172" fontId="199" fillId="0" borderId="0" applyFont="0" applyFill="0" applyBorder="0" applyAlignment="0" applyProtection="0"/>
    <xf numFmtId="172" fontId="199" fillId="0" borderId="0" applyFont="0" applyFill="0" applyBorder="0" applyAlignment="0" applyProtection="0"/>
    <xf numFmtId="170" fontId="200" fillId="0" borderId="0" applyFont="0" applyFill="0" applyBorder="0" applyAlignment="0" applyProtection="0"/>
    <xf numFmtId="170" fontId="200" fillId="0" borderId="0" applyFont="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293" fontId="88" fillId="0" borderId="0" applyFill="0" applyBorder="0" applyAlignment="0" applyProtection="0"/>
    <xf numFmtId="207" fontId="88" fillId="0" borderId="0" applyFill="0" applyBorder="0" applyAlignment="0" applyProtection="0"/>
    <xf numFmtId="172" fontId="199" fillId="0" borderId="0" applyFont="0" applyFill="0" applyBorder="0" applyAlignment="0" applyProtection="0"/>
    <xf numFmtId="170" fontId="199" fillId="0" borderId="0" applyFont="0" applyFill="0" applyBorder="0" applyAlignment="0" applyProtection="0"/>
    <xf numFmtId="289" fontId="88" fillId="0" borderId="0" applyFill="0" applyBorder="0" applyAlignment="0" applyProtection="0"/>
    <xf numFmtId="289" fontId="88" fillId="0" borderId="0" applyFill="0" applyBorder="0" applyAlignment="0" applyProtection="0"/>
    <xf numFmtId="286" fontId="16" fillId="0" borderId="0" applyFont="0" applyFill="0" applyBorder="0" applyAlignment="0" applyProtection="0"/>
    <xf numFmtId="286" fontId="16" fillId="0" borderId="0" applyFont="0" applyFill="0" applyBorder="0" applyAlignment="0" applyProtection="0"/>
    <xf numFmtId="293" fontId="88" fillId="0" borderId="0" applyFill="0" applyBorder="0" applyAlignment="0" applyProtection="0"/>
    <xf numFmtId="294" fontId="88" fillId="0" borderId="0" applyFill="0" applyBorder="0" applyAlignment="0" applyProtection="0"/>
    <xf numFmtId="172" fontId="199" fillId="0" borderId="0" applyFont="0" applyFill="0" applyBorder="0" applyAlignment="0" applyProtection="0"/>
    <xf numFmtId="43" fontId="199" fillId="0" borderId="0" applyFont="0" applyFill="0" applyBorder="0" applyAlignment="0" applyProtection="0"/>
    <xf numFmtId="170" fontId="199" fillId="0" borderId="0" applyFont="0" applyFill="0" applyBorder="0" applyAlignment="0" applyProtection="0"/>
    <xf numFmtId="207" fontId="88" fillId="0" borderId="0" applyFill="0" applyBorder="0" applyAlignment="0" applyProtection="0"/>
    <xf numFmtId="43" fontId="200" fillId="0" borderId="0" applyFont="0" applyFill="0" applyBorder="0" applyAlignment="0" applyProtection="0"/>
    <xf numFmtId="43" fontId="200" fillId="0" borderId="0" applyFont="0" applyFill="0" applyBorder="0" applyAlignment="0" applyProtection="0"/>
    <xf numFmtId="3" fontId="69" fillId="0" borderId="0" applyFont="0" applyBorder="0" applyAlignment="0"/>
    <xf numFmtId="3" fontId="69" fillId="0" borderId="0" applyFont="0" applyBorder="0" applyAlignment="0"/>
    <xf numFmtId="3" fontId="69" fillId="0" borderId="0" applyFont="0" applyBorder="0" applyAlignment="0"/>
    <xf numFmtId="0" fontId="201" fillId="0" borderId="0" applyNumberFormat="0" applyFill="0" applyBorder="0" applyAlignment="0" applyProtection="0"/>
    <xf numFmtId="0" fontId="147" fillId="0" borderId="0" applyNumberFormat="0" applyFill="0" applyBorder="0" applyAlignment="0" applyProtection="0"/>
    <xf numFmtId="3" fontId="88" fillId="0" borderId="0" applyBorder="0" applyAlignment="0"/>
    <xf numFmtId="3" fontId="69" fillId="0" borderId="0" applyFont="0" applyBorder="0" applyAlignment="0"/>
    <xf numFmtId="3" fontId="69" fillId="0" borderId="0" applyFont="0" applyBorder="0" applyAlignment="0"/>
    <xf numFmtId="3" fontId="88" fillId="0" borderId="0" applyBorder="0" applyAlignment="0"/>
    <xf numFmtId="3" fontId="69" fillId="0" borderId="0" applyFont="0" applyBorder="0" applyAlignment="0"/>
    <xf numFmtId="3" fontId="69" fillId="0" borderId="0" applyFont="0" applyBorder="0" applyAlignment="0"/>
    <xf numFmtId="3" fontId="88" fillId="0" borderId="0" applyBorder="0" applyAlignment="0"/>
    <xf numFmtId="3" fontId="69" fillId="0" borderId="0" applyFont="0" applyBorder="0" applyAlignment="0"/>
    <xf numFmtId="3" fontId="69" fillId="0" borderId="0" applyFont="0" applyBorder="0" applyAlignment="0"/>
    <xf numFmtId="3" fontId="88" fillId="0" borderId="0" applyBorder="0" applyAlignment="0"/>
    <xf numFmtId="3" fontId="69" fillId="0" borderId="0" applyFont="0" applyBorder="0" applyAlignment="0"/>
    <xf numFmtId="3" fontId="69" fillId="0" borderId="0" applyFont="0" applyBorder="0" applyAlignment="0"/>
    <xf numFmtId="3" fontId="91" fillId="0" borderId="0" applyBorder="0" applyAlignment="0"/>
    <xf numFmtId="3" fontId="69" fillId="0" borderId="0" applyBorder="0" applyAlignment="0"/>
    <xf numFmtId="3" fontId="69" fillId="0" borderId="0" applyBorder="0" applyAlignment="0"/>
    <xf numFmtId="3" fontId="69" fillId="0" borderId="0" applyBorder="0" applyAlignment="0"/>
    <xf numFmtId="3" fontId="88" fillId="0" borderId="0" applyBorder="0" applyAlignment="0"/>
    <xf numFmtId="3" fontId="69" fillId="0" borderId="0" applyFont="0" applyBorder="0" applyAlignment="0"/>
    <xf numFmtId="3" fontId="69" fillId="0" borderId="0" applyFont="0" applyBorder="0" applyAlignment="0"/>
    <xf numFmtId="3" fontId="69" fillId="0" borderId="0" applyBorder="0" applyAlignment="0"/>
    <xf numFmtId="3" fontId="91" fillId="0" borderId="0" applyBorder="0" applyAlignment="0"/>
    <xf numFmtId="3" fontId="69" fillId="0" borderId="0" applyBorder="0" applyAlignment="0"/>
    <xf numFmtId="3" fontId="69" fillId="0" borderId="0" applyBorder="0" applyAlignment="0"/>
    <xf numFmtId="3" fontId="69" fillId="0" borderId="0" applyBorder="0" applyAlignment="0"/>
    <xf numFmtId="3" fontId="69" fillId="0" borderId="0" applyBorder="0" applyAlignment="0"/>
    <xf numFmtId="3" fontId="91" fillId="0" borderId="0" applyBorder="0" applyAlignment="0"/>
    <xf numFmtId="3" fontId="69" fillId="0" borderId="0" applyBorder="0" applyAlignment="0"/>
    <xf numFmtId="3" fontId="69" fillId="0" borderId="0" applyBorder="0" applyAlignment="0"/>
    <xf numFmtId="3" fontId="69" fillId="0" borderId="0" applyBorder="0" applyAlignment="0"/>
    <xf numFmtId="3" fontId="69" fillId="0" borderId="0" applyBorder="0" applyAlignment="0"/>
    <xf numFmtId="3" fontId="88" fillId="0" borderId="0" applyBorder="0" applyAlignment="0"/>
    <xf numFmtId="3" fontId="69" fillId="0" borderId="0" applyFont="0" applyBorder="0" applyAlignment="0"/>
    <xf numFmtId="3" fontId="69" fillId="0" borderId="0" applyFont="0" applyBorder="0" applyAlignment="0"/>
    <xf numFmtId="0" fontId="78" fillId="0" borderId="4">
      <alignment horizontal="left"/>
    </xf>
    <xf numFmtId="0" fontId="202" fillId="40" borderId="0" applyNumberFormat="0" applyBorder="0" applyAlignment="0" applyProtection="0"/>
    <xf numFmtId="0" fontId="202" fillId="41" borderId="0" applyNumberFormat="0" applyBorder="0" applyAlignment="0" applyProtection="0"/>
    <xf numFmtId="0" fontId="202" fillId="42" borderId="0" applyNumberFormat="0" applyBorder="0" applyAlignment="0" applyProtection="0"/>
    <xf numFmtId="0" fontId="16" fillId="0" borderId="0" applyFill="0" applyBorder="0" applyAlignment="0"/>
    <xf numFmtId="0" fontId="16" fillId="0" borderId="0" applyFill="0" applyBorder="0" applyAlignment="0"/>
    <xf numFmtId="0" fontId="16" fillId="0" borderId="0" applyFill="0" applyBorder="0" applyAlignment="0"/>
    <xf numFmtId="0" fontId="16" fillId="0" borderId="0" applyFill="0" applyBorder="0" applyAlignment="0"/>
    <xf numFmtId="237" fontId="154" fillId="0" borderId="0" applyFill="0" applyBorder="0" applyAlignment="0"/>
    <xf numFmtId="237" fontId="154" fillId="0" borderId="0" applyFill="0" applyBorder="0" applyAlignment="0"/>
    <xf numFmtId="240" fontId="154" fillId="0" borderId="0" applyFill="0" applyBorder="0" applyAlignment="0"/>
    <xf numFmtId="240" fontId="154" fillId="0" borderId="0" applyFill="0" applyBorder="0" applyAlignment="0"/>
    <xf numFmtId="241" fontId="154" fillId="0" borderId="0" applyFill="0" applyBorder="0" applyAlignment="0"/>
    <xf numFmtId="241" fontId="154" fillId="0" borderId="0" applyFill="0" applyBorder="0" applyAlignment="0"/>
    <xf numFmtId="237" fontId="154" fillId="0" borderId="0" applyFill="0" applyBorder="0" applyAlignment="0"/>
    <xf numFmtId="237" fontId="154" fillId="0" borderId="0" applyFill="0" applyBorder="0" applyAlignment="0"/>
    <xf numFmtId="0" fontId="203" fillId="0" borderId="0" applyNumberFormat="0" applyAlignment="0">
      <alignment horizontal="left"/>
    </xf>
    <xf numFmtId="0" fontId="204" fillId="0" borderId="0" applyNumberFormat="0" applyAlignment="0">
      <alignment horizontal="left"/>
    </xf>
    <xf numFmtId="0" fontId="205" fillId="0" borderId="0"/>
    <xf numFmtId="0" fontId="13" fillId="0" borderId="0"/>
    <xf numFmtId="0" fontId="206" fillId="0" borderId="0" applyNumberFormat="0" applyFill="0" applyBorder="0" applyAlignment="0" applyProtection="0"/>
    <xf numFmtId="0" fontId="206" fillId="0" borderId="0" applyNumberFormat="0" applyFill="0" applyBorder="0" applyAlignment="0" applyProtection="0"/>
    <xf numFmtId="0" fontId="207" fillId="0" borderId="0" applyNumberFormat="0" applyFill="0" applyBorder="0" applyAlignment="0" applyProtection="0">
      <alignment vertical="center"/>
    </xf>
    <xf numFmtId="0" fontId="206" fillId="0" borderId="0" applyNumberFormat="0" applyFill="0" applyBorder="0" applyAlignment="0" applyProtection="0"/>
    <xf numFmtId="0" fontId="208" fillId="0" borderId="0" applyNumberFormat="0" applyFill="0" applyBorder="0" applyAlignment="0" applyProtection="0"/>
    <xf numFmtId="3" fontId="69" fillId="0" borderId="0" applyFont="0" applyBorder="0" applyAlignment="0"/>
    <xf numFmtId="3" fontId="69" fillId="0" borderId="0" applyFont="0" applyBorder="0" applyAlignment="0"/>
    <xf numFmtId="3" fontId="69" fillId="0" borderId="0" applyFont="0" applyBorder="0" applyAlignment="0"/>
    <xf numFmtId="3" fontId="88" fillId="0" borderId="0" applyBorder="0" applyAlignment="0"/>
    <xf numFmtId="3" fontId="69" fillId="0" borderId="0" applyFont="0" applyBorder="0" applyAlignment="0"/>
    <xf numFmtId="3" fontId="69" fillId="0" borderId="0" applyFont="0" applyBorder="0" applyAlignment="0"/>
    <xf numFmtId="3" fontId="88" fillId="0" borderId="0" applyBorder="0" applyAlignment="0"/>
    <xf numFmtId="3" fontId="69" fillId="0" borderId="0" applyFont="0" applyBorder="0" applyAlignment="0"/>
    <xf numFmtId="3" fontId="69" fillId="0" borderId="0" applyFont="0" applyBorder="0" applyAlignment="0"/>
    <xf numFmtId="3" fontId="88" fillId="0" borderId="0" applyBorder="0" applyAlignment="0"/>
    <xf numFmtId="3" fontId="69" fillId="0" borderId="0" applyFont="0" applyBorder="0" applyAlignment="0"/>
    <xf numFmtId="3" fontId="69" fillId="0" borderId="0" applyFont="0" applyBorder="0" applyAlignment="0"/>
    <xf numFmtId="3" fontId="88" fillId="0" borderId="0" applyBorder="0" applyAlignment="0"/>
    <xf numFmtId="3" fontId="69" fillId="0" borderId="0" applyFont="0" applyBorder="0" applyAlignment="0"/>
    <xf numFmtId="3" fontId="69" fillId="0" borderId="0" applyFont="0" applyBorder="0" applyAlignment="0"/>
    <xf numFmtId="3" fontId="91" fillId="0" borderId="0" applyBorder="0" applyAlignment="0"/>
    <xf numFmtId="3" fontId="69" fillId="0" borderId="0" applyBorder="0" applyAlignment="0"/>
    <xf numFmtId="3" fontId="69" fillId="0" borderId="0" applyBorder="0" applyAlignment="0"/>
    <xf numFmtId="3" fontId="69" fillId="0" borderId="0" applyBorder="0" applyAlignment="0"/>
    <xf numFmtId="3" fontId="88" fillId="0" borderId="0" applyBorder="0" applyAlignment="0"/>
    <xf numFmtId="3" fontId="69" fillId="0" borderId="0" applyFont="0" applyBorder="0" applyAlignment="0"/>
    <xf numFmtId="3" fontId="69" fillId="0" borderId="0" applyFont="0" applyBorder="0" applyAlignment="0"/>
    <xf numFmtId="3" fontId="69" fillId="0" borderId="0" applyBorder="0" applyAlignment="0"/>
    <xf numFmtId="3" fontId="91" fillId="0" borderId="0" applyBorder="0" applyAlignment="0"/>
    <xf numFmtId="3" fontId="69" fillId="0" borderId="0" applyBorder="0" applyAlignment="0"/>
    <xf numFmtId="3" fontId="69" fillId="0" borderId="0" applyBorder="0" applyAlignment="0"/>
    <xf numFmtId="3" fontId="69" fillId="0" borderId="0" applyBorder="0" applyAlignment="0"/>
    <xf numFmtId="3" fontId="69" fillId="0" borderId="0" applyBorder="0" applyAlignment="0"/>
    <xf numFmtId="3" fontId="91" fillId="0" borderId="0" applyBorder="0" applyAlignment="0"/>
    <xf numFmtId="3" fontId="69" fillId="0" borderId="0" applyBorder="0" applyAlignment="0"/>
    <xf numFmtId="3" fontId="69" fillId="0" borderId="0" applyBorder="0" applyAlignment="0"/>
    <xf numFmtId="3" fontId="69" fillId="0" borderId="0" applyBorder="0" applyAlignment="0"/>
    <xf numFmtId="3" fontId="69" fillId="0" borderId="0" applyBorder="0" applyAlignment="0"/>
    <xf numFmtId="3" fontId="88" fillId="0" borderId="0" applyBorder="0" applyAlignment="0"/>
    <xf numFmtId="3" fontId="69" fillId="0" borderId="0" applyFont="0" applyBorder="0" applyAlignment="0"/>
    <xf numFmtId="3" fontId="69" fillId="0" borderId="0" applyFont="0" applyBorder="0" applyAlignment="0"/>
    <xf numFmtId="0" fontId="164" fillId="37" borderId="22">
      <alignment horizontal="center" vertical="center"/>
    </xf>
    <xf numFmtId="0" fontId="164" fillId="38" borderId="29">
      <alignment horizontal="centerContinuous" vertical="center"/>
    </xf>
    <xf numFmtId="3" fontId="164" fillId="37" borderId="22">
      <alignment horizontal="center" vertical="center" wrapText="1"/>
    </xf>
    <xf numFmtId="3" fontId="164" fillId="38" borderId="29">
      <alignment horizontal="center" vertical="center" wrapText="1"/>
    </xf>
    <xf numFmtId="0" fontId="209" fillId="0" borderId="0" applyProtection="0"/>
    <xf numFmtId="0" fontId="210" fillId="0" borderId="0" applyProtection="0"/>
    <xf numFmtId="0" fontId="211" fillId="0" borderId="0" applyProtection="0"/>
    <xf numFmtId="0" fontId="212" fillId="0" borderId="0" applyProtection="0"/>
    <xf numFmtId="0" fontId="213" fillId="0" borderId="0" applyProtection="0"/>
    <xf numFmtId="0" fontId="214" fillId="0" borderId="0" applyProtection="0"/>
    <xf numFmtId="0" fontId="88" fillId="0" borderId="0" applyNumberFormat="0" applyFill="0" applyBorder="0" applyAlignment="0" applyProtection="0"/>
    <xf numFmtId="0" fontId="215" fillId="0" borderId="0" applyNumberFormat="0" applyFont="0" applyFill="0" applyBorder="0" applyAlignment="0" applyProtection="0"/>
    <xf numFmtId="0" fontId="216" fillId="0" borderId="0" applyProtection="0"/>
    <xf numFmtId="0" fontId="217" fillId="0" borderId="0" applyProtection="0"/>
    <xf numFmtId="0" fontId="218" fillId="0" borderId="0" applyProtection="0"/>
    <xf numFmtId="0" fontId="219" fillId="0" borderId="0" applyProtection="0"/>
    <xf numFmtId="2" fontId="16" fillId="0" borderId="0" applyFont="0" applyFill="0" applyBorder="0" applyAlignment="0" applyProtection="0"/>
    <xf numFmtId="2" fontId="16" fillId="0" borderId="0" applyFont="0" applyFill="0" applyBorder="0" applyAlignment="0" applyProtection="0"/>
    <xf numFmtId="0" fontId="220" fillId="0" borderId="0">
      <alignment vertical="top" wrapText="1"/>
    </xf>
    <xf numFmtId="0" fontId="220" fillId="0" borderId="0">
      <alignment vertical="top" wrapText="1"/>
    </xf>
    <xf numFmtId="0" fontId="221" fillId="12" borderId="0" applyNumberFormat="0" applyBorder="0" applyAlignment="0" applyProtection="0"/>
    <xf numFmtId="0" fontId="221" fillId="12" borderId="0" applyNumberFormat="0" applyBorder="0" applyAlignment="0" applyProtection="0"/>
    <xf numFmtId="0" fontId="222" fillId="12" borderId="0" applyNumberFormat="0" applyBorder="0" applyAlignment="0" applyProtection="0">
      <alignment vertical="center"/>
    </xf>
    <xf numFmtId="0" fontId="221" fillId="12" borderId="0" applyNumberFormat="0" applyBorder="0" applyAlignment="0" applyProtection="0"/>
    <xf numFmtId="0" fontId="223" fillId="12" borderId="0" applyNumberFormat="0" applyBorder="0" applyAlignment="0" applyProtection="0"/>
    <xf numFmtId="38" fontId="135" fillId="7" borderId="0" applyNumberFormat="0" applyBorder="0" applyAlignment="0" applyProtection="0"/>
    <xf numFmtId="38" fontId="135" fillId="43" borderId="0" applyNumberFormat="0" applyBorder="0" applyAlignment="0" applyProtection="0"/>
    <xf numFmtId="38" fontId="135" fillId="43" borderId="0" applyNumberFormat="0" applyBorder="0" applyAlignment="0" applyProtection="0"/>
    <xf numFmtId="38" fontId="135" fillId="43" borderId="0" applyNumberFormat="0" applyBorder="0" applyAlignment="0" applyProtection="0"/>
    <xf numFmtId="38" fontId="135" fillId="7" borderId="0" applyNumberFormat="0" applyBorder="0" applyAlignment="0" applyProtection="0"/>
    <xf numFmtId="305" fontId="31" fillId="7" borderId="0" applyBorder="0" applyProtection="0"/>
    <xf numFmtId="305" fontId="31" fillId="7" borderId="0" applyBorder="0" applyProtection="0"/>
    <xf numFmtId="0" fontId="224" fillId="0" borderId="34" applyNumberFormat="0" applyFill="0" applyBorder="0" applyAlignment="0" applyProtection="0">
      <alignment horizontal="center" vertical="center"/>
    </xf>
    <xf numFmtId="0" fontId="224" fillId="0" borderId="34" applyNumberFormat="0" applyFill="0" applyBorder="0" applyAlignment="0" applyProtection="0">
      <alignment horizontal="center" vertical="center"/>
    </xf>
    <xf numFmtId="0" fontId="225" fillId="0" borderId="0" applyNumberFormat="0" applyFill="0" applyBorder="0" applyAlignment="0" applyProtection="0"/>
    <xf numFmtId="306" fontId="92" fillId="44" borderId="0" applyBorder="0">
      <alignment horizontal="center"/>
    </xf>
    <xf numFmtId="306" fontId="92" fillId="44" borderId="0" applyBorder="0">
      <alignment horizontal="center"/>
    </xf>
    <xf numFmtId="307" fontId="77" fillId="45" borderId="34" applyBorder="0">
      <alignment horizontal="center"/>
    </xf>
    <xf numFmtId="307" fontId="77" fillId="45" borderId="34" applyBorder="0">
      <alignment horizontal="center"/>
    </xf>
    <xf numFmtId="307" fontId="77" fillId="45" borderId="34" applyBorder="0">
      <alignment horizontal="center"/>
    </xf>
    <xf numFmtId="306" fontId="92" fillId="44" borderId="0" applyBorder="0">
      <alignment horizontal="center"/>
    </xf>
    <xf numFmtId="307" fontId="77" fillId="45" borderId="34" applyBorder="0">
      <alignment horizontal="center"/>
    </xf>
    <xf numFmtId="307" fontId="77" fillId="45" borderId="34" applyBorder="0">
      <alignment horizontal="center"/>
    </xf>
    <xf numFmtId="307" fontId="77" fillId="45" borderId="34" applyBorder="0">
      <alignment horizontal="center"/>
    </xf>
    <xf numFmtId="0" fontId="225" fillId="0" borderId="0" applyNumberFormat="0" applyFill="0" applyBorder="0" applyAlignment="0" applyProtection="0"/>
    <xf numFmtId="0" fontId="224" fillId="0" borderId="34" applyNumberFormat="0" applyFill="0" applyBorder="0" applyAlignment="0" applyProtection="0">
      <alignment horizontal="center" vertical="center"/>
    </xf>
    <xf numFmtId="306" fontId="92" fillId="44" borderId="0" applyBorder="0">
      <alignment horizontal="center"/>
    </xf>
    <xf numFmtId="307" fontId="77" fillId="45" borderId="34" applyBorder="0">
      <alignment horizontal="center"/>
    </xf>
    <xf numFmtId="307" fontId="77" fillId="45" borderId="34" applyBorder="0">
      <alignment horizontal="center"/>
    </xf>
    <xf numFmtId="307" fontId="77" fillId="45" borderId="34" applyBorder="0">
      <alignment horizontal="center"/>
    </xf>
    <xf numFmtId="306" fontId="92" fillId="44" borderId="0" applyBorder="0">
      <alignment horizontal="center"/>
    </xf>
    <xf numFmtId="307" fontId="77" fillId="45" borderId="34" applyBorder="0">
      <alignment horizontal="center"/>
    </xf>
    <xf numFmtId="307" fontId="77" fillId="45" borderId="34" applyBorder="0">
      <alignment horizontal="center"/>
    </xf>
    <xf numFmtId="307" fontId="77" fillId="45" borderId="34" applyBorder="0">
      <alignment horizontal="center"/>
    </xf>
    <xf numFmtId="0" fontId="226" fillId="0" borderId="0" applyNumberFormat="0" applyFont="0" applyBorder="0" applyAlignment="0">
      <alignment horizontal="left" vertical="center"/>
    </xf>
    <xf numFmtId="0" fontId="226" fillId="0" borderId="0" applyNumberFormat="0" applyFont="0" applyBorder="0" applyAlignment="0">
      <alignment horizontal="left" vertical="center"/>
    </xf>
    <xf numFmtId="308" fontId="97" fillId="0" borderId="0" applyFont="0" applyFill="0" applyBorder="0" applyAlignment="0" applyProtection="0"/>
    <xf numFmtId="0" fontId="227" fillId="46" borderId="0"/>
    <xf numFmtId="0" fontId="227" fillId="46" borderId="0"/>
    <xf numFmtId="0" fontId="228" fillId="46" borderId="0"/>
    <xf numFmtId="0" fontId="229" fillId="0" borderId="0">
      <alignment horizontal="left"/>
    </xf>
    <xf numFmtId="0" fontId="229" fillId="0" borderId="0">
      <alignment horizontal="left"/>
    </xf>
    <xf numFmtId="0" fontId="230" fillId="0" borderId="0">
      <alignment horizontal="left"/>
    </xf>
    <xf numFmtId="0" fontId="231" fillId="0" borderId="41" applyNumberFormat="0" applyAlignment="0" applyProtection="0">
      <alignment horizontal="left" vertical="center"/>
    </xf>
    <xf numFmtId="0" fontId="231" fillId="0" borderId="41" applyNumberFormat="0" applyAlignment="0" applyProtection="0">
      <alignment horizontal="left" vertical="center"/>
    </xf>
    <xf numFmtId="0" fontId="231" fillId="0" borderId="42">
      <alignment horizontal="left" vertical="center"/>
    </xf>
    <xf numFmtId="0" fontId="231" fillId="0" borderId="42">
      <alignment horizontal="left" vertical="center"/>
    </xf>
    <xf numFmtId="309" fontId="232" fillId="47" borderId="0">
      <alignment horizontal="left" vertical="top"/>
    </xf>
    <xf numFmtId="0" fontId="233" fillId="0" borderId="43" applyNumberFormat="0" applyFill="0" applyAlignment="0" applyProtection="0"/>
    <xf numFmtId="0" fontId="234" fillId="0" borderId="43" applyNumberFormat="0" applyFill="0" applyAlignment="0" applyProtection="0">
      <alignment vertical="center"/>
    </xf>
    <xf numFmtId="0" fontId="233" fillId="0" borderId="43" applyNumberFormat="0" applyFill="0" applyAlignment="0" applyProtection="0"/>
    <xf numFmtId="0" fontId="235" fillId="0" borderId="0" applyNumberFormat="0" applyFill="0" applyBorder="0" applyAlignment="0" applyProtection="0"/>
    <xf numFmtId="0" fontId="235" fillId="0" borderId="0" applyNumberFormat="0" applyFill="0" applyBorder="0" applyAlignment="0" applyProtection="0"/>
    <xf numFmtId="0" fontId="236" fillId="0" borderId="44" applyNumberFormat="0" applyFill="0" applyAlignment="0" applyProtection="0"/>
    <xf numFmtId="0" fontId="237" fillId="0" borderId="44" applyNumberFormat="0" applyFill="0" applyAlignment="0" applyProtection="0">
      <alignment vertical="center"/>
    </xf>
    <xf numFmtId="0" fontId="236" fillId="0" borderId="44" applyNumberFormat="0" applyFill="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238" fillId="0" borderId="45" applyNumberFormat="0" applyFill="0" applyAlignment="0" applyProtection="0"/>
    <xf numFmtId="0" fontId="238" fillId="0" borderId="45" applyNumberFormat="0" applyFill="0" applyAlignment="0" applyProtection="0"/>
    <xf numFmtId="0" fontId="239" fillId="0" borderId="45" applyNumberFormat="0" applyFill="0" applyAlignment="0" applyProtection="0">
      <alignment vertical="center"/>
    </xf>
    <xf numFmtId="0" fontId="238" fillId="0" borderId="45" applyNumberFormat="0" applyFill="0" applyAlignment="0" applyProtection="0"/>
    <xf numFmtId="0" fontId="240" fillId="0" borderId="45" applyNumberFormat="0" applyFill="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alignment vertical="center"/>
    </xf>
    <xf numFmtId="0" fontId="238" fillId="0" borderId="0" applyNumberFormat="0" applyFill="0" applyBorder="0" applyAlignment="0" applyProtection="0"/>
    <xf numFmtId="0" fontId="240" fillId="0" borderId="0" applyNumberFormat="0" applyFill="0" applyBorder="0" applyAlignment="0" applyProtection="0"/>
    <xf numFmtId="310" fontId="129" fillId="0" borderId="0">
      <protection locked="0"/>
    </xf>
    <xf numFmtId="311" fontId="241" fillId="0" borderId="0">
      <protection locked="0"/>
    </xf>
    <xf numFmtId="310" fontId="130" fillId="0" borderId="0">
      <protection locked="0"/>
    </xf>
    <xf numFmtId="310" fontId="130" fillId="0" borderId="0">
      <protection locked="0"/>
    </xf>
    <xf numFmtId="0" fontId="235" fillId="0" borderId="0" applyProtection="0"/>
    <xf numFmtId="310" fontId="129" fillId="0" borderId="0">
      <protection locked="0"/>
    </xf>
    <xf numFmtId="310" fontId="130" fillId="0" borderId="0">
      <protection locked="0"/>
    </xf>
    <xf numFmtId="310" fontId="130" fillId="0" borderId="0">
      <protection locked="0"/>
    </xf>
    <xf numFmtId="0" fontId="231" fillId="0" borderId="0" applyProtection="0"/>
    <xf numFmtId="0" fontId="242" fillId="0" borderId="46">
      <alignment horizontal="center"/>
    </xf>
    <xf numFmtId="0" fontId="243" fillId="0" borderId="46">
      <alignment horizontal="center"/>
    </xf>
    <xf numFmtId="0" fontId="242" fillId="0" borderId="0">
      <alignment horizontal="center"/>
    </xf>
    <xf numFmtId="0" fontId="243" fillId="0" borderId="0">
      <alignment horizontal="center"/>
    </xf>
    <xf numFmtId="164" fontId="244" fillId="48" borderId="29" applyNumberFormat="0" applyAlignment="0">
      <alignment horizontal="left" vertical="top"/>
    </xf>
    <xf numFmtId="164" fontId="244" fillId="48" borderId="29" applyNumberFormat="0" applyAlignment="0">
      <alignment horizontal="left" vertical="top"/>
    </xf>
    <xf numFmtId="49" fontId="245" fillId="0" borderId="29">
      <alignment vertical="center"/>
    </xf>
    <xf numFmtId="49" fontId="245" fillId="0" borderId="29">
      <alignment vertical="center"/>
    </xf>
    <xf numFmtId="0" fontId="5" fillId="0" borderId="0"/>
    <xf numFmtId="0" fontId="5" fillId="0" borderId="0"/>
    <xf numFmtId="171" fontId="68" fillId="0" borderId="0" applyFont="0" applyFill="0" applyBorder="0" applyAlignment="0" applyProtection="0"/>
    <xf numFmtId="38" fontId="93" fillId="0" borderId="0" applyFont="0" applyFill="0" applyBorder="0" applyAlignment="0" applyProtection="0"/>
    <xf numFmtId="38" fontId="93" fillId="0" borderId="0" applyFont="0" applyFill="0" applyBorder="0" applyAlignment="0" applyProtection="0"/>
    <xf numFmtId="38" fontId="93" fillId="0" borderId="0" applyFont="0" applyFill="0" applyBorder="0" applyAlignment="0" applyProtection="0"/>
    <xf numFmtId="38" fontId="91" fillId="0" borderId="0" applyFill="0" applyBorder="0" applyAlignment="0" applyProtection="0"/>
    <xf numFmtId="168" fontId="78" fillId="0" borderId="0" applyFont="0" applyFill="0" applyBorder="0" applyAlignment="0" applyProtection="0"/>
    <xf numFmtId="168" fontId="78" fillId="0" borderId="0" applyFont="0" applyFill="0" applyBorder="0" applyAlignment="0" applyProtection="0"/>
    <xf numFmtId="312" fontId="246" fillId="0" borderId="0" applyFont="0" applyFill="0" applyBorder="0" applyAlignment="0" applyProtection="0"/>
    <xf numFmtId="0" fontId="247" fillId="49" borderId="0">
      <alignment horizontal="left" wrapText="1" indent="2"/>
    </xf>
    <xf numFmtId="0" fontId="248" fillId="47" borderId="0">
      <alignment horizontal="left" wrapText="1" indent="2"/>
    </xf>
    <xf numFmtId="10" fontId="135" fillId="47" borderId="29" applyNumberFormat="0" applyBorder="0" applyAlignment="0" applyProtection="0"/>
    <xf numFmtId="10" fontId="135" fillId="43" borderId="29" applyNumberFormat="0" applyBorder="0" applyAlignment="0" applyProtection="0"/>
    <xf numFmtId="10" fontId="135" fillId="43" borderId="29" applyNumberFormat="0" applyBorder="0" applyAlignment="0" applyProtection="0"/>
    <xf numFmtId="10" fontId="135" fillId="43" borderId="29" applyNumberFormat="0" applyBorder="0" applyAlignment="0" applyProtection="0"/>
    <xf numFmtId="10" fontId="135" fillId="47" borderId="29" applyNumberFormat="0" applyBorder="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50" fillId="15" borderId="27" applyNumberFormat="0" applyAlignment="0" applyProtection="0">
      <alignment vertical="center"/>
    </xf>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50" fillId="15" borderId="27" applyNumberFormat="0" applyAlignment="0" applyProtection="0">
      <alignment vertical="center"/>
    </xf>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50" fillId="15" borderId="27" applyNumberFormat="0" applyAlignment="0" applyProtection="0">
      <alignment vertical="center"/>
    </xf>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51" fillId="15" borderId="27" applyNumberFormat="0" applyAlignment="0" applyProtection="0"/>
    <xf numFmtId="0" fontId="249" fillId="15" borderId="27" applyNumberFormat="0" applyAlignment="0" applyProtection="0"/>
    <xf numFmtId="0" fontId="251" fillId="15" borderId="27" applyNumberFormat="0" applyAlignment="0" applyProtection="0"/>
    <xf numFmtId="0" fontId="251"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249" fillId="15" borderId="27" applyNumberFormat="0" applyAlignment="0" applyProtection="0"/>
    <xf numFmtId="0" fontId="81" fillId="50" borderId="0"/>
    <xf numFmtId="0" fontId="16" fillId="51" borderId="0"/>
    <xf numFmtId="2" fontId="252" fillId="0" borderId="0" applyBorder="0"/>
    <xf numFmtId="2" fontId="252" fillId="0" borderId="47" applyBorder="0"/>
    <xf numFmtId="0" fontId="253" fillId="0" borderId="0" applyNumberFormat="0" applyFill="0" applyBorder="0" applyAlignment="0" applyProtection="0">
      <alignment vertical="top"/>
      <protection locked="0"/>
    </xf>
    <xf numFmtId="0" fontId="254" fillId="0" borderId="0" applyNumberFormat="0" applyFill="0" applyBorder="0" applyAlignment="0" applyProtection="0">
      <alignment vertical="top"/>
      <protection locked="0"/>
    </xf>
    <xf numFmtId="0" fontId="254" fillId="0" borderId="0" applyNumberFormat="0" applyFill="0" applyBorder="0" applyAlignment="0" applyProtection="0">
      <alignment vertical="top"/>
      <protection locked="0"/>
    </xf>
    <xf numFmtId="0" fontId="254" fillId="0" borderId="0" applyNumberFormat="0" applyFill="0" applyBorder="0" applyAlignment="0" applyProtection="0">
      <alignment vertical="top"/>
      <protection locked="0"/>
    </xf>
    <xf numFmtId="0" fontId="255" fillId="0" borderId="0" applyNumberFormat="0" applyFill="0" applyBorder="0" applyAlignment="0" applyProtection="0">
      <alignment vertical="top"/>
      <protection locked="0"/>
    </xf>
    <xf numFmtId="0" fontId="256" fillId="0" borderId="0" applyNumberFormat="0" applyFill="0" applyBorder="0" applyAlignment="0" applyProtection="0">
      <alignment vertical="top"/>
      <protection locked="0"/>
    </xf>
    <xf numFmtId="0" fontId="256" fillId="0" borderId="0" applyNumberFormat="0" applyFill="0" applyBorder="0" applyAlignment="0" applyProtection="0">
      <alignment vertical="top"/>
      <protection locked="0"/>
    </xf>
    <xf numFmtId="0" fontId="257" fillId="0" borderId="0" applyNumberFormat="0" applyFill="0" applyBorder="0" applyAlignment="0" applyProtection="0">
      <alignment vertical="top"/>
      <protection locked="0"/>
    </xf>
    <xf numFmtId="0" fontId="257" fillId="0" borderId="0" applyNumberFormat="0" applyFill="0" applyBorder="0" applyAlignment="0" applyProtection="0">
      <alignment vertical="top"/>
      <protection locked="0"/>
    </xf>
    <xf numFmtId="0" fontId="253" fillId="0" borderId="0" applyNumberFormat="0" applyFill="0" applyBorder="0" applyAlignment="0" applyProtection="0">
      <alignment vertical="top"/>
      <protection locked="0"/>
    </xf>
    <xf numFmtId="0" fontId="254" fillId="0" borderId="0" applyNumberFormat="0" applyFill="0" applyBorder="0" applyAlignment="0" applyProtection="0">
      <alignment vertical="top"/>
      <protection locked="0"/>
    </xf>
    <xf numFmtId="0" fontId="254" fillId="0" borderId="0" applyNumberFormat="0" applyFill="0" applyBorder="0" applyAlignment="0" applyProtection="0">
      <alignment vertical="top"/>
      <protection locked="0"/>
    </xf>
    <xf numFmtId="0" fontId="254" fillId="0" borderId="0" applyNumberFormat="0" applyFill="0" applyBorder="0" applyAlignment="0" applyProtection="0">
      <alignment vertical="top"/>
      <protection locked="0"/>
    </xf>
    <xf numFmtId="0" fontId="256" fillId="0" borderId="0" applyNumberFormat="0" applyFill="0" applyBorder="0" applyAlignment="0" applyProtection="0">
      <alignment vertical="top"/>
      <protection locked="0"/>
    </xf>
    <xf numFmtId="3" fontId="88" fillId="0" borderId="48" applyAlignment="0"/>
    <xf numFmtId="3" fontId="164" fillId="0" borderId="49" applyFont="0" applyAlignment="0">
      <alignment horizontal="center" vertical="center" wrapText="1"/>
    </xf>
    <xf numFmtId="3" fontId="164" fillId="0" borderId="50"/>
    <xf numFmtId="3" fontId="164" fillId="0" borderId="51"/>
    <xf numFmtId="171" fontId="68" fillId="0" borderId="0" applyFont="0" applyFill="0" applyBorder="0" applyAlignment="0" applyProtection="0"/>
    <xf numFmtId="0" fontId="69" fillId="0" borderId="0"/>
    <xf numFmtId="0" fontId="69" fillId="0" borderId="0"/>
    <xf numFmtId="0" fontId="69" fillId="0" borderId="0"/>
    <xf numFmtId="0" fontId="20" fillId="0" borderId="52">
      <alignment horizontal="centerContinuous"/>
    </xf>
    <xf numFmtId="0" fontId="20" fillId="0" borderId="52">
      <alignment horizontal="centerContinuous"/>
    </xf>
    <xf numFmtId="0" fontId="20" fillId="0" borderId="52">
      <alignment horizontal="centerContinuous"/>
    </xf>
    <xf numFmtId="0" fontId="20" fillId="0" borderId="52">
      <alignment horizontal="centerContinuous"/>
    </xf>
    <xf numFmtId="0" fontId="153" fillId="0" borderId="0"/>
    <xf numFmtId="0" fontId="13" fillId="0" borderId="0"/>
    <xf numFmtId="0" fontId="93" fillId="0" borderId="0"/>
    <xf numFmtId="0" fontId="93" fillId="0" borderId="0"/>
    <xf numFmtId="0" fontId="258" fillId="0" borderId="0"/>
    <xf numFmtId="0" fontId="259" fillId="0" borderId="0"/>
    <xf numFmtId="0" fontId="93" fillId="0" borderId="0"/>
    <xf numFmtId="0" fontId="93" fillId="0" borderId="0"/>
    <xf numFmtId="0" fontId="5" fillId="0" borderId="0" applyNumberFormat="0" applyFont="0" applyFill="0" applyBorder="0" applyProtection="0">
      <alignment horizontal="left" vertical="center"/>
    </xf>
    <xf numFmtId="0" fontId="5" fillId="0" borderId="0" applyNumberFormat="0" applyFont="0" applyFill="0" applyBorder="0" applyProtection="0">
      <alignment horizontal="left" vertical="center"/>
    </xf>
    <xf numFmtId="0" fontId="153" fillId="0" borderId="0"/>
    <xf numFmtId="0" fontId="93" fillId="0" borderId="0"/>
    <xf numFmtId="0" fontId="93" fillId="0" borderId="0"/>
    <xf numFmtId="0" fontId="16" fillId="0" borderId="0" applyFill="0" applyBorder="0" applyAlignment="0"/>
    <xf numFmtId="0" fontId="16" fillId="0" borderId="0" applyFill="0" applyBorder="0" applyAlignment="0"/>
    <xf numFmtId="0" fontId="16" fillId="0" borderId="0" applyFill="0" applyBorder="0" applyAlignment="0"/>
    <xf numFmtId="0" fontId="16" fillId="0" borderId="0" applyFill="0" applyBorder="0" applyAlignment="0"/>
    <xf numFmtId="237" fontId="154" fillId="0" borderId="0" applyFill="0" applyBorder="0" applyAlignment="0"/>
    <xf numFmtId="237" fontId="154" fillId="0" borderId="0" applyFill="0" applyBorder="0" applyAlignment="0"/>
    <xf numFmtId="240" fontId="154" fillId="0" borderId="0" applyFill="0" applyBorder="0" applyAlignment="0"/>
    <xf numFmtId="240" fontId="154" fillId="0" borderId="0" applyFill="0" applyBorder="0" applyAlignment="0"/>
    <xf numFmtId="241" fontId="154" fillId="0" borderId="0" applyFill="0" applyBorder="0" applyAlignment="0"/>
    <xf numFmtId="241" fontId="154" fillId="0" borderId="0" applyFill="0" applyBorder="0" applyAlignment="0"/>
    <xf numFmtId="237" fontId="154" fillId="0" borderId="0" applyFill="0" applyBorder="0" applyAlignment="0"/>
    <xf numFmtId="237" fontId="154" fillId="0" borderId="0" applyFill="0" applyBorder="0" applyAlignment="0"/>
    <xf numFmtId="0" fontId="260" fillId="0" borderId="53" applyNumberFormat="0" applyFill="0" applyAlignment="0" applyProtection="0"/>
    <xf numFmtId="0" fontId="260" fillId="0" borderId="53" applyNumberFormat="0" applyFill="0" applyAlignment="0" applyProtection="0"/>
    <xf numFmtId="0" fontId="261" fillId="0" borderId="53" applyNumberFormat="0" applyFill="0" applyAlignment="0" applyProtection="0">
      <alignment vertical="center"/>
    </xf>
    <xf numFmtId="0" fontId="260" fillId="0" borderId="53" applyNumberFormat="0" applyFill="0" applyAlignment="0" applyProtection="0"/>
    <xf numFmtId="0" fontId="262" fillId="0" borderId="53" applyNumberFormat="0" applyFill="0" applyAlignment="0" applyProtection="0"/>
    <xf numFmtId="0" fontId="81" fillId="52" borderId="0"/>
    <xf numFmtId="0" fontId="16" fillId="53" borderId="0"/>
    <xf numFmtId="3" fontId="263" fillId="0" borderId="51" applyNumberFormat="0" applyAlignment="0">
      <alignment horizontal="center" vertical="center"/>
    </xf>
    <xf numFmtId="3" fontId="113" fillId="0" borderId="51" applyNumberFormat="0" applyAlignment="0">
      <alignment horizontal="center" vertical="center"/>
    </xf>
    <xf numFmtId="3" fontId="244" fillId="0" borderId="51" applyNumberFormat="0" applyAlignment="0">
      <alignment horizontal="center" vertical="center"/>
    </xf>
    <xf numFmtId="242" fontId="88" fillId="0" borderId="54"/>
    <xf numFmtId="242" fontId="135" fillId="0" borderId="25" applyFont="0"/>
    <xf numFmtId="242" fontId="135" fillId="0" borderId="25" applyFont="0"/>
    <xf numFmtId="3" fontId="81" fillId="0" borderId="55"/>
    <xf numFmtId="3" fontId="16" fillId="0" borderId="56"/>
    <xf numFmtId="3" fontId="16" fillId="0" borderId="56"/>
    <xf numFmtId="3" fontId="16" fillId="0" borderId="56"/>
    <xf numFmtId="176" fontId="264" fillId="0" borderId="2" applyNumberFormat="0" applyFont="0" applyFill="0" applyBorder="0">
      <alignment horizontal="center"/>
    </xf>
    <xf numFmtId="176" fontId="264" fillId="0" borderId="2" applyNumberFormat="0" applyFont="0" applyFill="0" applyBorder="0">
      <alignment horizontal="center"/>
    </xf>
    <xf numFmtId="38" fontId="93" fillId="0" borderId="0" applyFont="0" applyFill="0" applyBorder="0" applyAlignment="0" applyProtection="0"/>
    <xf numFmtId="4" fontId="154" fillId="0" borderId="0" applyFont="0" applyFill="0" applyBorder="0" applyAlignment="0" applyProtection="0"/>
    <xf numFmtId="313" fontId="88" fillId="0" borderId="0" applyFill="0" applyBorder="0" applyAlignment="0" applyProtection="0"/>
    <xf numFmtId="314" fontId="88" fillId="0" borderId="0" applyFill="0" applyBorder="0" applyAlignment="0" applyProtection="0"/>
    <xf numFmtId="171" fontId="16" fillId="0" borderId="0" applyFont="0" applyFill="0" applyBorder="0" applyAlignment="0" applyProtection="0"/>
    <xf numFmtId="172" fontId="16" fillId="0" borderId="0" applyFont="0" applyFill="0" applyBorder="0" applyAlignment="0" applyProtection="0"/>
    <xf numFmtId="0" fontId="265" fillId="0" borderId="28"/>
    <xf numFmtId="0" fontId="266" fillId="0" borderId="57"/>
    <xf numFmtId="0" fontId="266" fillId="0" borderId="57"/>
    <xf numFmtId="0" fontId="266" fillId="0" borderId="57"/>
    <xf numFmtId="0" fontId="267" fillId="0" borderId="46"/>
    <xf numFmtId="0" fontId="267" fillId="0" borderId="46"/>
    <xf numFmtId="0" fontId="268" fillId="0" borderId="46"/>
    <xf numFmtId="315" fontId="16" fillId="0" borderId="2"/>
    <xf numFmtId="316" fontId="269" fillId="0" borderId="2"/>
    <xf numFmtId="317" fontId="130" fillId="0" borderId="2"/>
    <xf numFmtId="318" fontId="88" fillId="0" borderId="0" applyFill="0" applyBorder="0" applyAlignment="0" applyProtection="0"/>
    <xf numFmtId="319" fontId="88" fillId="0" borderId="0" applyFill="0" applyBorder="0" applyAlignment="0" applyProtection="0"/>
    <xf numFmtId="0" fontId="88" fillId="0" borderId="0" applyFill="0" applyBorder="0" applyAlignment="0" applyProtection="0"/>
    <xf numFmtId="0" fontId="88" fillId="0" borderId="0" applyFill="0" applyBorder="0" applyAlignment="0" applyProtection="0"/>
    <xf numFmtId="320" fontId="16" fillId="0" borderId="0" applyFont="0" applyFill="0" applyBorder="0" applyAlignment="0" applyProtection="0"/>
    <xf numFmtId="321" fontId="16" fillId="0" borderId="0" applyFont="0" applyFill="0" applyBorder="0" applyAlignment="0" applyProtection="0"/>
    <xf numFmtId="0" fontId="258" fillId="0" borderId="0" applyNumberFormat="0" applyFont="0" applyFill="0" applyAlignment="0"/>
    <xf numFmtId="0" fontId="258" fillId="0" borderId="0" applyNumberFormat="0" applyFont="0" applyFill="0" applyAlignment="0"/>
    <xf numFmtId="0" fontId="88" fillId="0" borderId="0" applyNumberFormat="0" applyFill="0" applyAlignment="0"/>
    <xf numFmtId="0" fontId="258" fillId="0" borderId="0" applyNumberFormat="0" applyFont="0" applyFill="0" applyAlignment="0"/>
    <xf numFmtId="0" fontId="88" fillId="0" borderId="0" applyNumberFormat="0" applyFill="0" applyAlignment="0"/>
    <xf numFmtId="0" fontId="258" fillId="0" borderId="0" applyNumberFormat="0" applyFont="0" applyFill="0" applyAlignment="0"/>
    <xf numFmtId="0" fontId="88" fillId="0" borderId="0" applyNumberFormat="0" applyFill="0" applyAlignment="0"/>
    <xf numFmtId="0" fontId="258" fillId="0" borderId="0" applyNumberFormat="0" applyFont="0" applyFill="0" applyAlignment="0"/>
    <xf numFmtId="0" fontId="88" fillId="0" borderId="0" applyNumberFormat="0" applyFill="0" applyAlignment="0"/>
    <xf numFmtId="0" fontId="258" fillId="0" borderId="0" applyNumberFormat="0" applyFont="0" applyFill="0" applyAlignment="0"/>
    <xf numFmtId="0" fontId="88" fillId="0" borderId="0" applyNumberFormat="0" applyFill="0" applyAlignment="0"/>
    <xf numFmtId="0" fontId="258" fillId="0" borderId="0" applyNumberFormat="0" applyFont="0" applyFill="0" applyAlignment="0"/>
    <xf numFmtId="0" fontId="91" fillId="0" borderId="0" applyNumberFormat="0" applyFill="0" applyAlignment="0"/>
    <xf numFmtId="0" fontId="69" fillId="0" borderId="0" applyNumberFormat="0" applyFill="0" applyAlignment="0"/>
    <xf numFmtId="0" fontId="69" fillId="0" borderId="0" applyNumberFormat="0" applyFill="0" applyAlignment="0"/>
    <xf numFmtId="0" fontId="69" fillId="0" borderId="0" applyNumberFormat="0" applyFill="0" applyAlignment="0"/>
    <xf numFmtId="0" fontId="88" fillId="0" borderId="0" applyNumberFormat="0" applyFill="0" applyAlignment="0"/>
    <xf numFmtId="0" fontId="258" fillId="0" borderId="0" applyNumberFormat="0" applyFont="0" applyFill="0" applyAlignment="0"/>
    <xf numFmtId="0" fontId="69" fillId="0" borderId="0" applyNumberFormat="0" applyFill="0" applyAlignment="0"/>
    <xf numFmtId="0" fontId="91" fillId="0" borderId="0" applyNumberFormat="0" applyFill="0" applyAlignment="0"/>
    <xf numFmtId="0" fontId="69" fillId="0" borderId="0" applyNumberFormat="0" applyFill="0" applyAlignment="0"/>
    <xf numFmtId="0" fontId="69" fillId="0" borderId="0" applyNumberFormat="0" applyFill="0" applyAlignment="0"/>
    <xf numFmtId="0" fontId="69" fillId="0" borderId="0" applyNumberFormat="0" applyFill="0" applyAlignment="0"/>
    <xf numFmtId="0" fontId="69" fillId="0" borderId="0" applyNumberFormat="0" applyFill="0" applyAlignment="0"/>
    <xf numFmtId="0" fontId="88" fillId="0" borderId="0" applyNumberFormat="0" applyFill="0" applyAlignment="0"/>
    <xf numFmtId="0" fontId="258" fillId="0" borderId="0" applyNumberFormat="0" applyFont="0" applyFill="0" applyAlignment="0"/>
    <xf numFmtId="0" fontId="91" fillId="0" borderId="0" applyNumberFormat="0" applyFill="0" applyAlignment="0"/>
    <xf numFmtId="0" fontId="69" fillId="0" borderId="0" applyNumberFormat="0" applyFill="0" applyAlignment="0"/>
    <xf numFmtId="0" fontId="69" fillId="0" borderId="0" applyNumberFormat="0" applyFill="0" applyAlignment="0"/>
    <xf numFmtId="0" fontId="69" fillId="0" borderId="0" applyNumberFormat="0" applyFill="0" applyAlignment="0"/>
    <xf numFmtId="0" fontId="69" fillId="0" borderId="0" applyNumberFormat="0" applyFill="0" applyAlignment="0"/>
    <xf numFmtId="0" fontId="194" fillId="0" borderId="0">
      <alignment horizontal="justify" vertical="top"/>
    </xf>
    <xf numFmtId="0" fontId="195" fillId="0" borderId="0">
      <alignment horizontal="justify" vertical="top"/>
    </xf>
    <xf numFmtId="0" fontId="270" fillId="54" borderId="0" applyNumberFormat="0" applyBorder="0" applyAlignment="0" applyProtection="0"/>
    <xf numFmtId="0" fontId="270" fillId="54" borderId="0" applyNumberFormat="0" applyBorder="0" applyAlignment="0" applyProtection="0"/>
    <xf numFmtId="0" fontId="271" fillId="54" borderId="0" applyNumberFormat="0" applyBorder="0" applyAlignment="0" applyProtection="0">
      <alignment vertical="center"/>
    </xf>
    <xf numFmtId="0" fontId="270" fillId="54" borderId="0" applyNumberFormat="0" applyBorder="0" applyAlignment="0" applyProtection="0"/>
    <xf numFmtId="0" fontId="272" fillId="54" borderId="0" applyNumberFormat="0" applyBorder="0" applyAlignment="0" applyProtection="0"/>
    <xf numFmtId="0" fontId="96" fillId="0" borderId="22"/>
    <xf numFmtId="0" fontId="97" fillId="0" borderId="29"/>
    <xf numFmtId="0" fontId="97" fillId="0" borderId="29"/>
    <xf numFmtId="0" fontId="5" fillId="0" borderId="0"/>
    <xf numFmtId="0" fontId="5" fillId="0" borderId="0"/>
    <xf numFmtId="0" fontId="5" fillId="0" borderId="0"/>
    <xf numFmtId="0" fontId="96" fillId="0" borderId="22"/>
    <xf numFmtId="0" fontId="77" fillId="0" borderId="4" applyNumberFormat="0" applyAlignment="0">
      <alignment horizontal="center"/>
    </xf>
    <xf numFmtId="0" fontId="77" fillId="0" borderId="4" applyNumberFormat="0" applyAlignment="0">
      <alignment horizontal="center"/>
    </xf>
    <xf numFmtId="37" fontId="273" fillId="0" borderId="0"/>
    <xf numFmtId="37" fontId="274" fillId="0" borderId="0"/>
    <xf numFmtId="0" fontId="275" fillId="0" borderId="29" applyNumberFormat="0" applyFont="0" applyFill="0" applyBorder="0" applyAlignment="0">
      <alignment horizontal="center"/>
    </xf>
    <xf numFmtId="0" fontId="275" fillId="0" borderId="29" applyNumberFormat="0" applyFont="0" applyFill="0" applyBorder="0" applyAlignment="0">
      <alignment horizontal="center"/>
    </xf>
    <xf numFmtId="322" fontId="276" fillId="0" borderId="0"/>
    <xf numFmtId="0" fontId="16" fillId="0" borderId="0"/>
    <xf numFmtId="323" fontId="69" fillId="0" borderId="0"/>
    <xf numFmtId="0" fontId="16" fillId="0" borderId="0"/>
    <xf numFmtId="0" fontId="276" fillId="0" borderId="0"/>
    <xf numFmtId="324" fontId="97" fillId="0" borderId="0"/>
    <xf numFmtId="324" fontId="97" fillId="0" borderId="0"/>
    <xf numFmtId="0" fontId="277" fillId="0" borderId="0"/>
    <xf numFmtId="0" fontId="16" fillId="0" borderId="0"/>
    <xf numFmtId="0" fontId="14" fillId="0" borderId="0"/>
    <xf numFmtId="0" fontId="16" fillId="0" borderId="0"/>
    <xf numFmtId="0" fontId="14" fillId="0" borderId="0"/>
    <xf numFmtId="0" fontId="13" fillId="0" borderId="0"/>
    <xf numFmtId="0" fontId="69" fillId="0" borderId="0"/>
    <xf numFmtId="0" fontId="14" fillId="0" borderId="0"/>
    <xf numFmtId="0" fontId="14" fillId="0" borderId="0"/>
    <xf numFmtId="0" fontId="13" fillId="0" borderId="0"/>
    <xf numFmtId="0" fontId="69" fillId="0" borderId="0"/>
    <xf numFmtId="0" fontId="1" fillId="0" borderId="0"/>
    <xf numFmtId="0" fontId="69" fillId="0" borderId="0"/>
    <xf numFmtId="0" fontId="14" fillId="0" borderId="0"/>
    <xf numFmtId="0" fontId="14" fillId="0" borderId="0"/>
    <xf numFmtId="0" fontId="69" fillId="0" borderId="0"/>
    <xf numFmtId="0" fontId="278" fillId="0" borderId="0"/>
    <xf numFmtId="0" fontId="14" fillId="0" borderId="0"/>
    <xf numFmtId="0" fontId="16" fillId="0" borderId="0"/>
    <xf numFmtId="0" fontId="14" fillId="0" borderId="0"/>
    <xf numFmtId="0" fontId="1" fillId="0" borderId="0"/>
    <xf numFmtId="0" fontId="14" fillId="0" borderId="0"/>
    <xf numFmtId="0" fontId="16" fillId="0" borderId="0"/>
    <xf numFmtId="0" fontId="14" fillId="0" borderId="0"/>
    <xf numFmtId="0" fontId="14" fillId="0" borderId="0"/>
    <xf numFmtId="0" fontId="14" fillId="0" borderId="0"/>
    <xf numFmtId="0" fontId="16" fillId="0" borderId="0"/>
    <xf numFmtId="0" fontId="16" fillId="0" borderId="0"/>
    <xf numFmtId="0" fontId="14" fillId="0" borderId="0"/>
    <xf numFmtId="0" fontId="14" fillId="0" borderId="0"/>
    <xf numFmtId="0" fontId="21" fillId="0" borderId="0"/>
    <xf numFmtId="0" fontId="13" fillId="0" borderId="0"/>
    <xf numFmtId="0" fontId="13" fillId="0" borderId="0"/>
    <xf numFmtId="0" fontId="13" fillId="0" borderId="0"/>
    <xf numFmtId="0" fontId="13" fillId="0" borderId="0"/>
    <xf numFmtId="0" fontId="16" fillId="0" borderId="0"/>
    <xf numFmtId="0" fontId="177" fillId="0" borderId="0"/>
    <xf numFmtId="0" fontId="13" fillId="0" borderId="0"/>
    <xf numFmtId="0" fontId="12" fillId="0" borderId="0"/>
    <xf numFmtId="0" fontId="1" fillId="0" borderId="0"/>
    <xf numFmtId="0" fontId="16" fillId="0" borderId="0"/>
    <xf numFmtId="0" fontId="13" fillId="0" borderId="0"/>
    <xf numFmtId="0" fontId="14" fillId="0" borderId="0"/>
    <xf numFmtId="0" fontId="14" fillId="0" borderId="0"/>
    <xf numFmtId="0" fontId="14" fillId="0" borderId="0"/>
    <xf numFmtId="0" fontId="279" fillId="0" borderId="0"/>
    <xf numFmtId="0" fontId="14" fillId="0" borderId="0"/>
    <xf numFmtId="0" fontId="279" fillId="0" borderId="0" applyProtection="0"/>
    <xf numFmtId="0" fontId="14" fillId="0" borderId="0"/>
    <xf numFmtId="0" fontId="279" fillId="0" borderId="0" applyProtection="0"/>
    <xf numFmtId="0" fontId="14" fillId="0" borderId="0"/>
    <xf numFmtId="0" fontId="279" fillId="0" borderId="0" applyProtection="0"/>
    <xf numFmtId="0" fontId="14" fillId="0" borderId="0"/>
    <xf numFmtId="0" fontId="279" fillId="0" borderId="0" applyProtection="0"/>
    <xf numFmtId="0" fontId="14" fillId="0" borderId="0"/>
    <xf numFmtId="0" fontId="279" fillId="0" borderId="0" applyProtection="0"/>
    <xf numFmtId="0" fontId="14" fillId="0" borderId="0"/>
    <xf numFmtId="0" fontId="280" fillId="0" borderId="0"/>
    <xf numFmtId="0" fontId="14" fillId="0" borderId="0"/>
    <xf numFmtId="0" fontId="69" fillId="0" borderId="0"/>
    <xf numFmtId="0" fontId="69" fillId="0" borderId="0"/>
    <xf numFmtId="0" fontId="16" fillId="0" borderId="0"/>
    <xf numFmtId="0" fontId="16" fillId="0" borderId="0"/>
    <xf numFmtId="0" fontId="16" fillId="0" borderId="0"/>
    <xf numFmtId="0" fontId="69" fillId="0" borderId="0"/>
    <xf numFmtId="0" fontId="16" fillId="0" borderId="0"/>
    <xf numFmtId="0" fontId="16" fillId="0" borderId="0"/>
    <xf numFmtId="0" fontId="14" fillId="0" borderId="0"/>
    <xf numFmtId="0" fontId="1" fillId="0" borderId="0"/>
    <xf numFmtId="0" fontId="14" fillId="0" borderId="0"/>
    <xf numFmtId="0" fontId="1" fillId="0" borderId="0"/>
    <xf numFmtId="0" fontId="14" fillId="0" borderId="0"/>
    <xf numFmtId="0" fontId="279" fillId="0" borderId="0"/>
    <xf numFmtId="0" fontId="14" fillId="0" borderId="0"/>
    <xf numFmtId="0" fontId="14" fillId="0" borderId="0"/>
    <xf numFmtId="0" fontId="14" fillId="0" borderId="0"/>
    <xf numFmtId="0" fontId="21" fillId="0" borderId="0"/>
    <xf numFmtId="0" fontId="16" fillId="0" borderId="0"/>
    <xf numFmtId="0" fontId="17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6" fillId="0" borderId="0"/>
    <xf numFmtId="0" fontId="16" fillId="0" borderId="0"/>
    <xf numFmtId="0" fontId="14" fillId="0" borderId="0"/>
    <xf numFmtId="0" fontId="16" fillId="0" borderId="0"/>
    <xf numFmtId="0" fontId="12" fillId="0" borderId="0"/>
    <xf numFmtId="0" fontId="17" fillId="0" borderId="0"/>
    <xf numFmtId="0" fontId="17" fillId="0" borderId="0"/>
    <xf numFmtId="0" fontId="1"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81" fillId="0" borderId="0" applyNumberFormat="0" applyFill="0" applyBorder="0" applyProtection="0">
      <alignment vertical="top"/>
    </xf>
    <xf numFmtId="0" fontId="67" fillId="0" borderId="0"/>
    <xf numFmtId="0" fontId="5" fillId="0" borderId="0"/>
    <xf numFmtId="0" fontId="177" fillId="0" borderId="0"/>
    <xf numFmtId="0" fontId="17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7" fillId="0" borderId="0"/>
    <xf numFmtId="0" fontId="17" fillId="0" borderId="0"/>
    <xf numFmtId="0" fontId="14" fillId="0" borderId="0"/>
    <xf numFmtId="0" fontId="60" fillId="0" borderId="0"/>
    <xf numFmtId="0" fontId="69" fillId="0" borderId="0"/>
    <xf numFmtId="0" fontId="69" fillId="0" borderId="0"/>
    <xf numFmtId="0" fontId="1" fillId="0" borderId="0"/>
    <xf numFmtId="0" fontId="1" fillId="0" borderId="0"/>
    <xf numFmtId="0" fontId="1" fillId="0" borderId="0"/>
    <xf numFmtId="0" fontId="69" fillId="0" borderId="0"/>
    <xf numFmtId="0" fontId="282" fillId="0" borderId="0"/>
    <xf numFmtId="0" fontId="13" fillId="0" borderId="0"/>
    <xf numFmtId="0" fontId="82" fillId="0" borderId="0"/>
    <xf numFmtId="0" fontId="13" fillId="0" borderId="0"/>
    <xf numFmtId="0" fontId="13" fillId="0" borderId="0"/>
    <xf numFmtId="0" fontId="17" fillId="0" borderId="0"/>
    <xf numFmtId="0" fontId="17" fillId="0" borderId="0"/>
    <xf numFmtId="0" fontId="69" fillId="0" borderId="0"/>
    <xf numFmtId="0" fontId="282" fillId="0" borderId="0"/>
    <xf numFmtId="0" fontId="16" fillId="0" borderId="0"/>
    <xf numFmtId="0" fontId="16" fillId="0" borderId="0"/>
    <xf numFmtId="0" fontId="180" fillId="0" borderId="0"/>
    <xf numFmtId="0" fontId="69" fillId="0" borderId="0"/>
    <xf numFmtId="0" fontId="16" fillId="0" borderId="0"/>
    <xf numFmtId="192" fontId="67" fillId="0" borderId="0">
      <protection locked="0"/>
    </xf>
    <xf numFmtId="0" fontId="16" fillId="0" borderId="0"/>
    <xf numFmtId="0" fontId="283" fillId="0" borderId="0"/>
    <xf numFmtId="0" fontId="69" fillId="0" borderId="0"/>
    <xf numFmtId="0" fontId="69" fillId="0" borderId="0"/>
    <xf numFmtId="0" fontId="69" fillId="0" borderId="0"/>
    <xf numFmtId="0" fontId="104" fillId="0" borderId="0" applyFont="0"/>
    <xf numFmtId="0" fontId="104" fillId="0" borderId="0" applyFont="0"/>
    <xf numFmtId="0" fontId="154" fillId="43" borderId="0"/>
    <xf numFmtId="0" fontId="199" fillId="0" borderId="0"/>
    <xf numFmtId="0" fontId="13" fillId="55" borderId="58" applyNumberFormat="0" applyFont="0" applyAlignment="0" applyProtection="0"/>
    <xf numFmtId="0" fontId="14" fillId="55" borderId="58" applyNumberFormat="0" applyFont="0" applyAlignment="0" applyProtection="0"/>
    <xf numFmtId="0" fontId="16" fillId="55" borderId="58" applyNumberFormat="0" applyFont="0" applyAlignment="0" applyProtection="0">
      <alignment vertical="center"/>
    </xf>
    <xf numFmtId="0" fontId="16" fillId="55" borderId="58" applyNumberFormat="0" applyFont="0" applyAlignment="0" applyProtection="0"/>
    <xf numFmtId="0" fontId="69" fillId="55" borderId="58" applyNumberFormat="0" applyFont="0" applyAlignment="0" applyProtection="0"/>
    <xf numFmtId="325" fontId="284" fillId="0" borderId="0" applyFont="0" applyFill="0" applyBorder="0" applyProtection="0">
      <alignment vertical="top" wrapText="1"/>
    </xf>
    <xf numFmtId="325" fontId="284" fillId="0" borderId="0" applyFont="0" applyFill="0" applyBorder="0" applyProtection="0">
      <alignment vertical="top" wrapText="1"/>
    </xf>
    <xf numFmtId="0" fontId="76" fillId="0" borderId="0"/>
    <xf numFmtId="0" fontId="16" fillId="0" borderId="0"/>
    <xf numFmtId="171" fontId="102" fillId="0" borderId="0" applyFont="0" applyFill="0" applyBorder="0" applyAlignment="0" applyProtection="0"/>
    <xf numFmtId="0" fontId="285" fillId="0" borderId="0" applyNumberFormat="0" applyFill="0" applyBorder="0" applyAlignment="0" applyProtection="0"/>
    <xf numFmtId="0" fontId="285" fillId="0" borderId="0" applyNumberFormat="0" applyFill="0" applyBorder="0" applyAlignment="0" applyProtection="0"/>
    <xf numFmtId="0" fontId="285" fillId="0" borderId="0" applyNumberFormat="0" applyFill="0" applyBorder="0" applyAlignment="0" applyProtection="0"/>
    <xf numFmtId="0" fontId="285" fillId="0" borderId="0" applyNumberFormat="0" applyFill="0" applyBorder="0" applyAlignment="0" applyProtection="0"/>
    <xf numFmtId="0" fontId="285" fillId="0" borderId="0" applyNumberFormat="0" applyFill="0" applyBorder="0" applyAlignment="0" applyProtection="0"/>
    <xf numFmtId="0" fontId="285" fillId="0" borderId="0" applyNumberFormat="0" applyFill="0" applyBorder="0" applyAlignment="0" applyProtection="0"/>
    <xf numFmtId="0" fontId="285" fillId="0" borderId="0" applyNumberFormat="0" applyFill="0" applyBorder="0" applyAlignment="0" applyProtection="0"/>
    <xf numFmtId="0" fontId="148"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16" fillId="0" borderId="0" applyFont="0" applyFill="0" applyBorder="0" applyAlignment="0" applyProtection="0"/>
    <xf numFmtId="0" fontId="5" fillId="0" borderId="0"/>
    <xf numFmtId="0" fontId="286" fillId="36" borderId="59" applyNumberFormat="0" applyAlignment="0" applyProtection="0"/>
    <xf numFmtId="0" fontId="286" fillId="36" borderId="59" applyNumberFormat="0" applyAlignment="0" applyProtection="0"/>
    <xf numFmtId="0" fontId="287" fillId="36" borderId="59" applyNumberFormat="0" applyAlignment="0" applyProtection="0">
      <alignment vertical="center"/>
    </xf>
    <xf numFmtId="0" fontId="286" fillId="36" borderId="59" applyNumberFormat="0" applyAlignment="0" applyProtection="0"/>
    <xf numFmtId="0" fontId="288" fillId="36" borderId="59" applyNumberFormat="0" applyAlignment="0" applyProtection="0"/>
    <xf numFmtId="175" fontId="289" fillId="0" borderId="4" applyFont="0" applyBorder="0" applyAlignment="0"/>
    <xf numFmtId="175" fontId="289" fillId="0" borderId="4" applyFont="0" applyBorder="0" applyAlignment="0"/>
    <xf numFmtId="0" fontId="290" fillId="56" borderId="0"/>
    <xf numFmtId="0" fontId="120" fillId="43" borderId="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4" fontId="20" fillId="0" borderId="0">
      <alignment horizontal="center" wrapText="1"/>
      <protection locked="0"/>
    </xf>
    <xf numFmtId="14" fontId="20" fillId="0" borderId="0">
      <alignment horizontal="center" wrapText="1"/>
      <protection locked="0"/>
    </xf>
    <xf numFmtId="239" fontId="16" fillId="0" borderId="0" applyFont="0" applyFill="0" applyBorder="0" applyAlignment="0" applyProtection="0"/>
    <xf numFmtId="239" fontId="16" fillId="0" borderId="0" applyFont="0" applyFill="0" applyBorder="0" applyAlignment="0" applyProtection="0"/>
    <xf numFmtId="239" fontId="16" fillId="0" borderId="0" applyFont="0" applyFill="0" applyBorder="0" applyAlignment="0" applyProtection="0"/>
    <xf numFmtId="239" fontId="16" fillId="0" borderId="0" applyFont="0" applyFill="0" applyBorder="0" applyAlignment="0" applyProtection="0"/>
    <xf numFmtId="326" fontId="16" fillId="0" borderId="0" applyFont="0" applyFill="0" applyBorder="0" applyAlignment="0" applyProtection="0"/>
    <xf numFmtId="326" fontId="16" fillId="0" borderId="0" applyFont="0" applyFill="0" applyBorder="0" applyAlignment="0" applyProtection="0"/>
    <xf numFmtId="326" fontId="16" fillId="0" borderId="0" applyFont="0" applyFill="0" applyBorder="0" applyAlignment="0" applyProtection="0"/>
    <xf numFmtId="326" fontId="16" fillId="0" borderId="0" applyFont="0" applyFill="0" applyBorder="0" applyAlignment="0" applyProtection="0"/>
    <xf numFmtId="10" fontId="16" fillId="0" borderId="0" applyFont="0" applyFill="0" applyBorder="0" applyAlignment="0" applyProtection="0"/>
    <xf numFmtId="10" fontId="16" fillId="0" borderId="0" applyFont="0" applyFill="0" applyBorder="0" applyAlignment="0" applyProtection="0"/>
    <xf numFmtId="10" fontId="16" fillId="0" borderId="0" applyFont="0" applyFill="0" applyBorder="0" applyAlignment="0" applyProtection="0"/>
    <xf numFmtId="10"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53" fillId="0" borderId="60" applyNumberFormat="0" applyBorder="0"/>
    <xf numFmtId="9" fontId="93" fillId="0" borderId="60" applyNumberFormat="0" applyBorder="0"/>
    <xf numFmtId="9" fontId="93" fillId="0" borderId="60" applyNumberFormat="0" applyBorder="0"/>
    <xf numFmtId="9" fontId="93" fillId="0" borderId="60" applyNumberFormat="0" applyBorder="0"/>
    <xf numFmtId="0" fontId="16" fillId="0" borderId="0" applyFill="0" applyBorder="0" applyAlignment="0"/>
    <xf numFmtId="0" fontId="16" fillId="0" borderId="0" applyFill="0" applyBorder="0" applyAlignment="0"/>
    <xf numFmtId="0" fontId="16" fillId="0" borderId="0" applyFill="0" applyBorder="0" applyAlignment="0"/>
    <xf numFmtId="0" fontId="16" fillId="0" borderId="0" applyFill="0" applyBorder="0" applyAlignment="0"/>
    <xf numFmtId="237" fontId="154" fillId="0" borderId="0" applyFill="0" applyBorder="0" applyAlignment="0"/>
    <xf numFmtId="237" fontId="154" fillId="0" borderId="0" applyFill="0" applyBorder="0" applyAlignment="0"/>
    <xf numFmtId="240" fontId="154" fillId="0" borderId="0" applyFill="0" applyBorder="0" applyAlignment="0"/>
    <xf numFmtId="240" fontId="154" fillId="0" borderId="0" applyFill="0" applyBorder="0" applyAlignment="0"/>
    <xf numFmtId="241" fontId="154" fillId="0" borderId="0" applyFill="0" applyBorder="0" applyAlignment="0"/>
    <xf numFmtId="241" fontId="154" fillId="0" borderId="0" applyFill="0" applyBorder="0" applyAlignment="0"/>
    <xf numFmtId="237" fontId="154" fillId="0" borderId="0" applyFill="0" applyBorder="0" applyAlignment="0"/>
    <xf numFmtId="237" fontId="154" fillId="0" borderId="0" applyFill="0" applyBorder="0" applyAlignment="0"/>
    <xf numFmtId="0" fontId="291" fillId="0" borderId="0"/>
    <xf numFmtId="164" fontId="292" fillId="0" borderId="0"/>
    <xf numFmtId="0" fontId="153" fillId="0" borderId="0" applyNumberFormat="0" applyFont="0" applyFill="0" applyBorder="0" applyAlignment="0" applyProtection="0">
      <alignment horizontal="left"/>
    </xf>
    <xf numFmtId="0" fontId="93" fillId="0" borderId="0" applyNumberFormat="0" applyFont="0" applyFill="0" applyBorder="0" applyAlignment="0" applyProtection="0">
      <alignment horizontal="left"/>
    </xf>
    <xf numFmtId="0" fontId="93" fillId="0" borderId="0" applyNumberFormat="0" applyFont="0" applyFill="0" applyBorder="0" applyAlignment="0" applyProtection="0">
      <alignment horizontal="left"/>
    </xf>
    <xf numFmtId="0" fontId="293" fillId="0" borderId="46">
      <alignment horizontal="center"/>
    </xf>
    <xf numFmtId="0" fontId="294" fillId="0" borderId="46">
      <alignment horizontal="center"/>
    </xf>
    <xf numFmtId="0" fontId="294" fillId="0" borderId="46">
      <alignment horizontal="center"/>
    </xf>
    <xf numFmtId="0" fontId="294" fillId="0" borderId="46">
      <alignment horizontal="center"/>
    </xf>
    <xf numFmtId="1" fontId="16" fillId="0" borderId="51" applyNumberFormat="0" applyFill="0" applyAlignment="0" applyProtection="0">
      <alignment horizontal="center" vertical="center"/>
    </xf>
    <xf numFmtId="0" fontId="295" fillId="57" borderId="0" applyNumberFormat="0" applyFont="0" applyBorder="0" applyAlignment="0">
      <alignment horizontal="center"/>
    </xf>
    <xf numFmtId="0" fontId="295" fillId="57" borderId="0" applyNumberFormat="0" applyFont="0" applyBorder="0" applyAlignment="0">
      <alignment horizontal="center"/>
    </xf>
    <xf numFmtId="14" fontId="296" fillId="0" borderId="0" applyNumberFormat="0" applyFill="0" applyBorder="0" applyAlignment="0" applyProtection="0">
      <alignment horizontal="left"/>
    </xf>
    <xf numFmtId="14" fontId="296" fillId="0" borderId="0" applyNumberFormat="0" applyFill="0" applyBorder="0" applyAlignment="0" applyProtection="0">
      <alignment horizontal="left"/>
    </xf>
    <xf numFmtId="327" fontId="16" fillId="0" borderId="0" applyNumberFormat="0" applyFill="0" applyBorder="0" applyAlignment="0" applyProtection="0">
      <alignment horizontal="left"/>
    </xf>
    <xf numFmtId="14" fontId="297" fillId="0" borderId="0" applyNumberFormat="0" applyFill="0" applyBorder="0" applyAlignment="0" applyProtection="0">
      <alignment horizontal="left"/>
    </xf>
    <xf numFmtId="0" fontId="255" fillId="0" borderId="0" applyNumberFormat="0" applyFill="0" applyBorder="0" applyAlignment="0" applyProtection="0">
      <alignment vertical="top"/>
      <protection locked="0"/>
    </xf>
    <xf numFmtId="0" fontId="76" fillId="0" borderId="0"/>
    <xf numFmtId="0" fontId="174" fillId="0" borderId="0" applyNumberFormat="0" applyFill="0" applyBorder="0" applyAlignment="0" applyProtection="0"/>
    <xf numFmtId="168" fontId="78" fillId="0" borderId="0" applyFont="0" applyFill="0" applyBorder="0" applyAlignment="0" applyProtection="0"/>
    <xf numFmtId="168" fontId="78" fillId="0" borderId="0" applyFon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4" fontId="298" fillId="58" borderId="61" applyNumberFormat="0" applyProtection="0">
      <alignment vertical="center"/>
    </xf>
    <xf numFmtId="4" fontId="298" fillId="58" borderId="61" applyNumberFormat="0" applyProtection="0">
      <alignment vertical="center"/>
    </xf>
    <xf numFmtId="4" fontId="299" fillId="58" borderId="61" applyNumberFormat="0" applyProtection="0">
      <alignment vertical="center"/>
    </xf>
    <xf numFmtId="4" fontId="299" fillId="58" borderId="61" applyNumberFormat="0" applyProtection="0">
      <alignment vertical="center"/>
    </xf>
    <xf numFmtId="4" fontId="300" fillId="58" borderId="61" applyNumberFormat="0" applyProtection="0">
      <alignment horizontal="left" vertical="center" indent="1"/>
    </xf>
    <xf numFmtId="4" fontId="300" fillId="58" borderId="61" applyNumberFormat="0" applyProtection="0">
      <alignment horizontal="left" vertical="center" indent="1"/>
    </xf>
    <xf numFmtId="4" fontId="300" fillId="58" borderId="61" applyNumberFormat="0" applyProtection="0">
      <alignment horizontal="left" vertical="center"/>
    </xf>
    <xf numFmtId="4" fontId="300" fillId="59" borderId="0" applyNumberFormat="0" applyProtection="0">
      <alignment horizontal="left" vertical="center" indent="1"/>
    </xf>
    <xf numFmtId="4" fontId="300" fillId="59" borderId="0" applyNumberFormat="0" applyProtection="0">
      <alignment horizontal="left" vertical="center" indent="1"/>
    </xf>
    <xf numFmtId="4" fontId="300" fillId="59" borderId="0" applyNumberFormat="0" applyProtection="0">
      <alignment horizontal="left" vertical="center"/>
    </xf>
    <xf numFmtId="4" fontId="300" fillId="60" borderId="61" applyNumberFormat="0" applyProtection="0">
      <alignment horizontal="right" vertical="center"/>
    </xf>
    <xf numFmtId="4" fontId="300" fillId="60" borderId="61" applyNumberFormat="0" applyProtection="0">
      <alignment horizontal="right" vertical="center"/>
    </xf>
    <xf numFmtId="4" fontId="300" fillId="61" borderId="61" applyNumberFormat="0" applyProtection="0">
      <alignment horizontal="right" vertical="center"/>
    </xf>
    <xf numFmtId="4" fontId="300" fillId="61" borderId="61" applyNumberFormat="0" applyProtection="0">
      <alignment horizontal="right" vertical="center"/>
    </xf>
    <xf numFmtId="4" fontId="300" fillId="62" borderId="61" applyNumberFormat="0" applyProtection="0">
      <alignment horizontal="right" vertical="center"/>
    </xf>
    <xf numFmtId="4" fontId="300" fillId="62" borderId="61" applyNumberFormat="0" applyProtection="0">
      <alignment horizontal="right" vertical="center"/>
    </xf>
    <xf numFmtId="4" fontId="300" fillId="38" borderId="61" applyNumberFormat="0" applyProtection="0">
      <alignment horizontal="right" vertical="center"/>
    </xf>
    <xf numFmtId="4" fontId="300" fillId="38" borderId="61" applyNumberFormat="0" applyProtection="0">
      <alignment horizontal="right" vertical="center"/>
    </xf>
    <xf numFmtId="4" fontId="300" fillId="63" borderId="61" applyNumberFormat="0" applyProtection="0">
      <alignment horizontal="right" vertical="center"/>
    </xf>
    <xf numFmtId="4" fontId="300" fillId="63" borderId="61" applyNumberFormat="0" applyProtection="0">
      <alignment horizontal="right" vertical="center"/>
    </xf>
    <xf numFmtId="4" fontId="300" fillId="64" borderId="61" applyNumberFormat="0" applyProtection="0">
      <alignment horizontal="right" vertical="center"/>
    </xf>
    <xf numFmtId="4" fontId="300" fillId="64" borderId="61" applyNumberFormat="0" applyProtection="0">
      <alignment horizontal="right" vertical="center"/>
    </xf>
    <xf numFmtId="4" fontId="300" fillId="7" borderId="61" applyNumberFormat="0" applyProtection="0">
      <alignment horizontal="right" vertical="center"/>
    </xf>
    <xf numFmtId="4" fontId="300" fillId="65" borderId="61" applyNumberFormat="0" applyProtection="0">
      <alignment horizontal="right" vertical="center"/>
    </xf>
    <xf numFmtId="4" fontId="300" fillId="65" borderId="61" applyNumberFormat="0" applyProtection="0">
      <alignment horizontal="right" vertical="center"/>
    </xf>
    <xf numFmtId="4" fontId="300" fillId="66" borderId="61" applyNumberFormat="0" applyProtection="0">
      <alignment horizontal="right" vertical="center"/>
    </xf>
    <xf numFmtId="4" fontId="300" fillId="66" borderId="61" applyNumberFormat="0" applyProtection="0">
      <alignment horizontal="right" vertical="center"/>
    </xf>
    <xf numFmtId="4" fontId="300" fillId="67" borderId="61" applyNumberFormat="0" applyProtection="0">
      <alignment horizontal="right" vertical="center"/>
    </xf>
    <xf numFmtId="4" fontId="300" fillId="67" borderId="61" applyNumberFormat="0" applyProtection="0">
      <alignment horizontal="right" vertical="center"/>
    </xf>
    <xf numFmtId="4" fontId="298" fillId="68" borderId="62" applyNumberFormat="0" applyProtection="0">
      <alignment horizontal="left" vertical="center" indent="1"/>
    </xf>
    <xf numFmtId="4" fontId="298" fillId="68" borderId="62" applyNumberFormat="0" applyProtection="0">
      <alignment horizontal="left" vertical="center" indent="1"/>
    </xf>
    <xf numFmtId="4" fontId="298" fillId="68" borderId="62" applyNumberFormat="0" applyProtection="0">
      <alignment horizontal="left" vertical="center"/>
    </xf>
    <xf numFmtId="4" fontId="298" fillId="69" borderId="0" applyNumberFormat="0" applyProtection="0">
      <alignment horizontal="left" vertical="center" indent="1"/>
    </xf>
    <xf numFmtId="4" fontId="298" fillId="69" borderId="0" applyNumberFormat="0" applyProtection="0">
      <alignment horizontal="left" vertical="center" indent="1"/>
    </xf>
    <xf numFmtId="4" fontId="298" fillId="69" borderId="0" applyNumberFormat="0" applyProtection="0">
      <alignment horizontal="left" vertical="center"/>
    </xf>
    <xf numFmtId="4" fontId="298" fillId="59" borderId="0" applyNumberFormat="0" applyProtection="0">
      <alignment horizontal="left" vertical="center" indent="1"/>
    </xf>
    <xf numFmtId="4" fontId="298" fillId="59" borderId="0" applyNumberFormat="0" applyProtection="0">
      <alignment horizontal="left" vertical="center" indent="1"/>
    </xf>
    <xf numFmtId="4" fontId="298" fillId="59" borderId="0" applyNumberFormat="0" applyProtection="0">
      <alignment horizontal="left" vertical="center"/>
    </xf>
    <xf numFmtId="4" fontId="300" fillId="69" borderId="61" applyNumberFormat="0" applyProtection="0">
      <alignment horizontal="right" vertical="center"/>
    </xf>
    <xf numFmtId="4" fontId="300" fillId="69" borderId="61" applyNumberFormat="0" applyProtection="0">
      <alignment horizontal="right" vertical="center"/>
    </xf>
    <xf numFmtId="4" fontId="95" fillId="69" borderId="0" applyNumberFormat="0" applyProtection="0">
      <alignment horizontal="left" vertical="center" indent="1"/>
    </xf>
    <xf numFmtId="4" fontId="95" fillId="69" borderId="0" applyNumberFormat="0" applyProtection="0">
      <alignment horizontal="left" vertical="center" indent="1"/>
    </xf>
    <xf numFmtId="4" fontId="95" fillId="69" borderId="0" applyNumberFormat="0" applyProtection="0">
      <alignment horizontal="left" vertical="center"/>
    </xf>
    <xf numFmtId="4" fontId="95" fillId="59" borderId="0" applyNumberFormat="0" applyProtection="0">
      <alignment horizontal="left" vertical="center" indent="1"/>
    </xf>
    <xf numFmtId="4" fontId="95" fillId="59" borderId="0" applyNumberFormat="0" applyProtection="0">
      <alignment horizontal="left" vertical="center" indent="1"/>
    </xf>
    <xf numFmtId="4" fontId="95" fillId="59" borderId="0" applyNumberFormat="0" applyProtection="0">
      <alignment horizontal="left" vertical="center"/>
    </xf>
    <xf numFmtId="4" fontId="300" fillId="45" borderId="61" applyNumberFormat="0" applyProtection="0">
      <alignment vertical="center"/>
    </xf>
    <xf numFmtId="4" fontId="300" fillId="45" borderId="61" applyNumberFormat="0" applyProtection="0">
      <alignment vertical="center"/>
    </xf>
    <xf numFmtId="4" fontId="301" fillId="45" borderId="61" applyNumberFormat="0" applyProtection="0">
      <alignment vertical="center"/>
    </xf>
    <xf numFmtId="4" fontId="301" fillId="45" borderId="61" applyNumberFormat="0" applyProtection="0">
      <alignment vertical="center"/>
    </xf>
    <xf numFmtId="4" fontId="298" fillId="69" borderId="63" applyNumberFormat="0" applyProtection="0">
      <alignment horizontal="left" vertical="center" indent="1"/>
    </xf>
    <xf numFmtId="4" fontId="298" fillId="69" borderId="63" applyNumberFormat="0" applyProtection="0">
      <alignment horizontal="left" vertical="center" indent="1"/>
    </xf>
    <xf numFmtId="4" fontId="298" fillId="69" borderId="63" applyNumberFormat="0" applyProtection="0">
      <alignment horizontal="left" vertical="center"/>
    </xf>
    <xf numFmtId="4" fontId="300" fillId="45" borderId="61" applyNumberFormat="0" applyProtection="0">
      <alignment horizontal="right" vertical="center"/>
    </xf>
    <xf numFmtId="4" fontId="300" fillId="45" borderId="61" applyNumberFormat="0" applyProtection="0">
      <alignment horizontal="right" vertical="center"/>
    </xf>
    <xf numFmtId="4" fontId="301" fillId="45" borderId="61" applyNumberFormat="0" applyProtection="0">
      <alignment horizontal="right" vertical="center"/>
    </xf>
    <xf numFmtId="4" fontId="301" fillId="45" borderId="61" applyNumberFormat="0" applyProtection="0">
      <alignment horizontal="right" vertical="center"/>
    </xf>
    <xf numFmtId="4" fontId="298" fillId="69" borderId="61" applyNumberFormat="0" applyProtection="0">
      <alignment horizontal="left" vertical="center" indent="1"/>
    </xf>
    <xf numFmtId="4" fontId="298" fillId="69" borderId="61" applyNumberFormat="0" applyProtection="0">
      <alignment horizontal="left" vertical="center" indent="1"/>
    </xf>
    <xf numFmtId="4" fontId="298" fillId="69" borderId="61" applyNumberFormat="0" applyProtection="0">
      <alignment horizontal="left" vertical="center"/>
    </xf>
    <xf numFmtId="4" fontId="302" fillId="48" borderId="63" applyNumberFormat="0" applyProtection="0">
      <alignment horizontal="left" vertical="center" indent="1"/>
    </xf>
    <xf numFmtId="4" fontId="302" fillId="48" borderId="63" applyNumberFormat="0" applyProtection="0">
      <alignment horizontal="left" vertical="center" indent="1"/>
    </xf>
    <xf numFmtId="4" fontId="302" fillId="48" borderId="63" applyNumberFormat="0" applyProtection="0">
      <alignment horizontal="left" vertical="center"/>
    </xf>
    <xf numFmtId="4" fontId="303" fillId="45" borderId="61" applyNumberFormat="0" applyProtection="0">
      <alignment horizontal="right" vertical="center"/>
    </xf>
    <xf numFmtId="4" fontId="303" fillId="45" borderId="61" applyNumberFormat="0" applyProtection="0">
      <alignment horizontal="right" vertical="center"/>
    </xf>
    <xf numFmtId="328" fontId="304" fillId="0" borderId="0" applyFont="0" applyFill="0" applyBorder="0" applyAlignment="0" applyProtection="0"/>
    <xf numFmtId="328" fontId="304" fillId="0" borderId="0" applyFont="0" applyFill="0" applyBorder="0" applyAlignment="0" applyProtection="0"/>
    <xf numFmtId="0" fontId="295" fillId="1" borderId="42" applyNumberFormat="0" applyFont="0" applyAlignment="0">
      <alignment horizontal="center"/>
    </xf>
    <xf numFmtId="0" fontId="295" fillId="1" borderId="42" applyNumberFormat="0" applyFont="0" applyAlignment="0">
      <alignment horizontal="center"/>
    </xf>
    <xf numFmtId="0" fontId="305" fillId="0" borderId="0" applyNumberFormat="0" applyFill="0" applyBorder="0" applyAlignment="0" applyProtection="0"/>
    <xf numFmtId="0" fontId="306" fillId="0" borderId="0" applyNumberFormat="0" applyFill="0" applyBorder="0" applyAlignment="0" applyProtection="0"/>
    <xf numFmtId="3" fontId="67" fillId="0" borderId="0"/>
    <xf numFmtId="0" fontId="307" fillId="0" borderId="0" applyNumberFormat="0" applyFill="0" applyBorder="0" applyAlignment="0" applyProtection="0"/>
    <xf numFmtId="0" fontId="308" fillId="0" borderId="0" applyNumberFormat="0" applyFill="0" applyBorder="0" applyAlignment="0">
      <alignment horizontal="center"/>
    </xf>
    <xf numFmtId="0" fontId="309" fillId="0" borderId="0" applyNumberFormat="0" applyFill="0" applyBorder="0" applyAlignment="0">
      <alignment horizontal="center"/>
    </xf>
    <xf numFmtId="0" fontId="81" fillId="0" borderId="0"/>
    <xf numFmtId="175" fontId="310" fillId="0" borderId="0" applyNumberFormat="0" applyBorder="0" applyAlignment="0">
      <alignment horizontal="centerContinuous"/>
    </xf>
    <xf numFmtId="175" fontId="310" fillId="0" borderId="0" applyNumberFormat="0" applyBorder="0" applyAlignment="0">
      <alignment horizontal="centerContinuous"/>
    </xf>
    <xf numFmtId="0" fontId="69" fillId="0" borderId="51">
      <alignment horizontal="center"/>
    </xf>
    <xf numFmtId="0" fontId="18" fillId="0" borderId="0"/>
    <xf numFmtId="0" fontId="93" fillId="0" borderId="0"/>
    <xf numFmtId="0" fontId="92" fillId="0" borderId="0" applyNumberFormat="0" applyFill="0" applyBorder="0" applyAlignment="0" applyProtection="0"/>
    <xf numFmtId="0" fontId="92" fillId="0" borderId="0" applyNumberFormat="0" applyFill="0" applyBorder="0" applyAlignment="0" applyProtection="0"/>
    <xf numFmtId="175" fontId="170" fillId="0" borderId="0" applyFont="0" applyFill="0" applyBorder="0" applyAlignment="0" applyProtection="0"/>
    <xf numFmtId="168" fontId="78" fillId="0" borderId="0" applyFont="0" applyFill="0" applyBorder="0" applyAlignment="0" applyProtection="0"/>
    <xf numFmtId="171" fontId="68" fillId="0" borderId="0" applyFont="0" applyFill="0" applyBorder="0" applyAlignment="0" applyProtection="0"/>
    <xf numFmtId="175" fontId="80" fillId="0" borderId="0" applyFont="0" applyFill="0" applyBorder="0" applyAlignment="0" applyProtection="0"/>
    <xf numFmtId="175" fontId="80" fillId="0" borderId="0" applyFont="0" applyFill="0" applyBorder="0" applyAlignment="0" applyProtection="0"/>
    <xf numFmtId="171" fontId="68" fillId="0" borderId="0" applyFont="0" applyFill="0" applyBorder="0" applyAlignment="0" applyProtection="0"/>
    <xf numFmtId="171" fontId="69" fillId="0" borderId="0" applyFont="0" applyFill="0" applyBorder="0" applyAlignment="0" applyProtection="0"/>
    <xf numFmtId="171" fontId="69" fillId="0" borderId="0" applyFont="0" applyFill="0" applyBorder="0" applyAlignment="0" applyProtection="0"/>
    <xf numFmtId="171" fontId="69" fillId="0" borderId="0" applyFont="0" applyFill="0" applyBorder="0" applyAlignment="0" applyProtection="0"/>
    <xf numFmtId="171" fontId="68" fillId="0" borderId="0" applyFont="0" applyFill="0" applyBorder="0" applyAlignment="0" applyProtection="0"/>
    <xf numFmtId="171" fontId="69" fillId="0" borderId="0" applyFont="0" applyFill="0" applyBorder="0" applyAlignment="0" applyProtection="0"/>
    <xf numFmtId="171" fontId="69" fillId="0" borderId="0" applyFont="0" applyFill="0" applyBorder="0" applyAlignment="0" applyProtection="0"/>
    <xf numFmtId="171" fontId="69" fillId="0" borderId="0" applyFont="0" applyFill="0" applyBorder="0" applyAlignment="0" applyProtection="0"/>
    <xf numFmtId="175" fontId="170" fillId="0" borderId="0" applyFont="0" applyFill="0" applyBorder="0" applyAlignment="0" applyProtection="0"/>
    <xf numFmtId="175" fontId="80" fillId="0" borderId="0" applyFont="0" applyFill="0" applyBorder="0" applyAlignment="0" applyProtection="0"/>
    <xf numFmtId="175" fontId="80" fillId="0" borderId="0" applyFont="0" applyFill="0" applyBorder="0" applyAlignment="0" applyProtection="0"/>
    <xf numFmtId="175" fontId="170" fillId="0" borderId="0" applyFont="0" applyFill="0" applyBorder="0" applyAlignment="0" applyProtection="0"/>
    <xf numFmtId="171" fontId="69" fillId="0" borderId="0" applyFont="0" applyFill="0" applyBorder="0" applyAlignment="0" applyProtection="0"/>
    <xf numFmtId="171" fontId="69" fillId="0" borderId="0" applyFont="0" applyFill="0" applyBorder="0" applyAlignment="0" applyProtection="0"/>
    <xf numFmtId="171" fontId="69" fillId="0" borderId="0" applyFont="0" applyFill="0" applyBorder="0" applyAlignment="0" applyProtection="0"/>
    <xf numFmtId="168" fontId="78" fillId="0" borderId="0" applyFont="0" applyFill="0" applyBorder="0" applyAlignment="0" applyProtection="0"/>
    <xf numFmtId="171" fontId="69" fillId="0" borderId="0" applyFont="0" applyFill="0" applyBorder="0" applyAlignment="0" applyProtection="0"/>
    <xf numFmtId="171" fontId="69" fillId="0" borderId="0" applyFont="0" applyFill="0" applyBorder="0" applyAlignment="0" applyProtection="0"/>
    <xf numFmtId="171" fontId="69" fillId="0" borderId="0" applyFont="0" applyFill="0" applyBorder="0" applyAlignment="0" applyProtection="0"/>
    <xf numFmtId="41" fontId="78" fillId="0" borderId="0" applyFont="0" applyFill="0" applyBorder="0" applyAlignment="0" applyProtection="0"/>
    <xf numFmtId="171" fontId="69" fillId="0" borderId="0" applyFont="0" applyFill="0" applyBorder="0" applyAlignment="0" applyProtection="0"/>
    <xf numFmtId="171" fontId="69" fillId="0" borderId="0" applyFont="0" applyFill="0" applyBorder="0" applyAlignment="0" applyProtection="0"/>
    <xf numFmtId="171" fontId="69" fillId="0" borderId="0" applyFont="0" applyFill="0" applyBorder="0" applyAlignment="0" applyProtection="0"/>
    <xf numFmtId="41" fontId="78" fillId="0" borderId="0" applyFont="0" applyFill="0" applyBorder="0" applyAlignment="0" applyProtection="0"/>
    <xf numFmtId="171" fontId="69" fillId="0" borderId="0" applyFont="0" applyFill="0" applyBorder="0" applyAlignment="0" applyProtection="0"/>
    <xf numFmtId="171" fontId="69" fillId="0" borderId="0" applyFont="0" applyFill="0" applyBorder="0" applyAlignment="0" applyProtection="0"/>
    <xf numFmtId="171" fontId="69" fillId="0" borderId="0" applyFont="0" applyFill="0" applyBorder="0" applyAlignment="0" applyProtection="0"/>
    <xf numFmtId="201" fontId="78" fillId="0" borderId="0" applyFont="0" applyFill="0" applyBorder="0" applyAlignment="0" applyProtection="0"/>
    <xf numFmtId="171" fontId="69" fillId="0" borderId="0" applyFont="0" applyFill="0" applyBorder="0" applyAlignment="0" applyProtection="0"/>
    <xf numFmtId="171" fontId="69" fillId="0" borderId="0" applyFont="0" applyFill="0" applyBorder="0" applyAlignment="0" applyProtection="0"/>
    <xf numFmtId="171" fontId="69" fillId="0" borderId="0" applyFont="0" applyFill="0" applyBorder="0" applyAlignment="0" applyProtection="0"/>
    <xf numFmtId="168" fontId="78" fillId="0" borderId="0" applyFont="0" applyFill="0" applyBorder="0" applyAlignment="0" applyProtection="0"/>
    <xf numFmtId="175" fontId="80" fillId="0" borderId="0" applyFont="0" applyFill="0" applyBorder="0" applyAlignment="0" applyProtection="0"/>
    <xf numFmtId="175" fontId="80" fillId="0" borderId="0" applyFont="0" applyFill="0" applyBorder="0" applyAlignment="0" applyProtection="0"/>
    <xf numFmtId="41" fontId="78" fillId="0" borderId="0" applyFont="0" applyFill="0" applyBorder="0" applyAlignment="0" applyProtection="0"/>
    <xf numFmtId="175" fontId="80" fillId="0" borderId="0" applyFont="0" applyFill="0" applyBorder="0" applyAlignment="0" applyProtection="0"/>
    <xf numFmtId="175" fontId="80" fillId="0" borderId="0" applyFont="0" applyFill="0" applyBorder="0" applyAlignment="0" applyProtection="0"/>
    <xf numFmtId="41" fontId="78" fillId="0" borderId="0" applyFont="0" applyFill="0" applyBorder="0" applyAlignment="0" applyProtection="0"/>
    <xf numFmtId="175" fontId="80" fillId="0" borderId="0" applyFont="0" applyFill="0" applyBorder="0" applyAlignment="0" applyProtection="0"/>
    <xf numFmtId="175" fontId="80" fillId="0" borderId="0" applyFont="0" applyFill="0" applyBorder="0" applyAlignment="0" applyProtection="0"/>
    <xf numFmtId="168" fontId="78" fillId="0" borderId="0" applyFont="0" applyFill="0" applyBorder="0" applyAlignment="0" applyProtection="0"/>
    <xf numFmtId="175" fontId="80" fillId="0" borderId="0" applyFont="0" applyFill="0" applyBorder="0" applyAlignment="0" applyProtection="0"/>
    <xf numFmtId="175" fontId="80" fillId="0" borderId="0" applyFont="0" applyFill="0" applyBorder="0" applyAlignment="0" applyProtection="0"/>
    <xf numFmtId="168" fontId="78" fillId="0" borderId="0" applyFont="0" applyFill="0" applyBorder="0" applyAlignment="0" applyProtection="0"/>
    <xf numFmtId="216" fontId="78" fillId="0" borderId="0" applyFont="0" applyFill="0" applyBorder="0" applyAlignment="0" applyProtection="0"/>
    <xf numFmtId="167" fontId="78" fillId="0" borderId="0" applyFont="0" applyFill="0" applyBorder="0" applyAlignment="0" applyProtection="0"/>
    <xf numFmtId="41" fontId="78" fillId="0" borderId="0" applyFont="0" applyFill="0" applyBorder="0" applyAlignment="0" applyProtection="0"/>
    <xf numFmtId="211" fontId="78" fillId="0" borderId="0" applyFont="0" applyFill="0" applyBorder="0" applyAlignment="0" applyProtection="0"/>
    <xf numFmtId="41" fontId="78" fillId="0" borderId="0" applyFont="0" applyFill="0" applyBorder="0" applyAlignment="0" applyProtection="0"/>
    <xf numFmtId="194" fontId="67" fillId="0" borderId="0" applyFont="0" applyFill="0" applyBorder="0" applyAlignment="0" applyProtection="0"/>
    <xf numFmtId="201" fontId="78" fillId="0" borderId="0" applyFont="0" applyFill="0" applyBorder="0" applyAlignment="0" applyProtection="0"/>
    <xf numFmtId="194" fontId="78" fillId="0" borderId="0" applyFont="0" applyFill="0" applyBorder="0" applyAlignment="0" applyProtection="0"/>
    <xf numFmtId="41" fontId="78" fillId="0" borderId="0" applyFont="0" applyFill="0" applyBorder="0" applyAlignment="0" applyProtection="0"/>
    <xf numFmtId="0" fontId="76" fillId="0" borderId="0"/>
    <xf numFmtId="41" fontId="78" fillId="0" borderId="0" applyFont="0" applyFill="0" applyBorder="0" applyAlignment="0" applyProtection="0"/>
    <xf numFmtId="329" fontId="148" fillId="0" borderId="0" applyFont="0" applyFill="0" applyBorder="0" applyAlignment="0" applyProtection="0"/>
    <xf numFmtId="168" fontId="78" fillId="0" borderId="0" applyFont="0" applyFill="0" applyBorder="0" applyAlignment="0" applyProtection="0"/>
    <xf numFmtId="41" fontId="78" fillId="0" borderId="0" applyFont="0" applyFill="0" applyBorder="0" applyAlignment="0" applyProtection="0"/>
    <xf numFmtId="171" fontId="69" fillId="0" borderId="0" applyFont="0" applyFill="0" applyBorder="0" applyAlignment="0" applyProtection="0"/>
    <xf numFmtId="171" fontId="69" fillId="0" borderId="0" applyFont="0" applyFill="0" applyBorder="0" applyAlignment="0" applyProtection="0"/>
    <xf numFmtId="175" fontId="80" fillId="0" borderId="0" applyFont="0" applyFill="0" applyBorder="0" applyAlignment="0" applyProtection="0"/>
    <xf numFmtId="171" fontId="69" fillId="0" borderId="0" applyFont="0" applyFill="0" applyBorder="0" applyAlignment="0" applyProtection="0"/>
    <xf numFmtId="175" fontId="170" fillId="0" borderId="0" applyFont="0" applyFill="0" applyBorder="0" applyAlignment="0" applyProtection="0"/>
    <xf numFmtId="168" fontId="78" fillId="0" borderId="0" applyFont="0" applyFill="0" applyBorder="0" applyAlignment="0" applyProtection="0"/>
    <xf numFmtId="171" fontId="68" fillId="0" borderId="0" applyFont="0" applyFill="0" applyBorder="0" applyAlignment="0" applyProtection="0"/>
    <xf numFmtId="168" fontId="78" fillId="0" borderId="0" applyFont="0" applyFill="0" applyBorder="0" applyAlignment="0" applyProtection="0"/>
    <xf numFmtId="171" fontId="68" fillId="0" borderId="0" applyFont="0" applyFill="0" applyBorder="0" applyAlignment="0" applyProtection="0"/>
    <xf numFmtId="204" fontId="78" fillId="0" borderId="0" applyFont="0" applyFill="0" applyBorder="0" applyAlignment="0" applyProtection="0"/>
    <xf numFmtId="171" fontId="68" fillId="0" borderId="0" applyFont="0" applyFill="0" applyBorder="0" applyAlignment="0" applyProtection="0"/>
    <xf numFmtId="167" fontId="78" fillId="0" borderId="0" applyFont="0" applyFill="0" applyBorder="0" applyAlignment="0" applyProtection="0"/>
    <xf numFmtId="175" fontId="170" fillId="0" borderId="0" applyFont="0" applyFill="0" applyBorder="0" applyAlignment="0" applyProtection="0"/>
    <xf numFmtId="211" fontId="78" fillId="0" borderId="0" applyFont="0" applyFill="0" applyBorder="0" applyAlignment="0" applyProtection="0"/>
    <xf numFmtId="175" fontId="170" fillId="0" borderId="0" applyFont="0" applyFill="0" applyBorder="0" applyAlignment="0" applyProtection="0"/>
    <xf numFmtId="194" fontId="67" fillId="0" borderId="0" applyFont="0" applyFill="0" applyBorder="0" applyAlignment="0" applyProtection="0"/>
    <xf numFmtId="201" fontId="78" fillId="0" borderId="0" applyFont="0" applyFill="0" applyBorder="0" applyAlignment="0" applyProtection="0"/>
    <xf numFmtId="194" fontId="78" fillId="0" borderId="0" applyFont="0" applyFill="0" applyBorder="0" applyAlignment="0" applyProtection="0"/>
    <xf numFmtId="171" fontId="78" fillId="0" borderId="0" applyFont="0" applyFill="0" applyBorder="0" applyAlignment="0" applyProtection="0"/>
    <xf numFmtId="0" fontId="77" fillId="0" borderId="0"/>
    <xf numFmtId="0" fontId="77" fillId="0" borderId="0"/>
    <xf numFmtId="41" fontId="78" fillId="0" borderId="0" applyFont="0" applyFill="0" applyBorder="0" applyAlignment="0" applyProtection="0"/>
    <xf numFmtId="329" fontId="97" fillId="0" borderId="0" applyFont="0" applyFill="0" applyBorder="0" applyAlignment="0" applyProtection="0"/>
    <xf numFmtId="329" fontId="97" fillId="0" borderId="0" applyFont="0" applyFill="0" applyBorder="0" applyAlignment="0" applyProtection="0"/>
    <xf numFmtId="41" fontId="78" fillId="0" borderId="0" applyFont="0" applyFill="0" applyBorder="0" applyAlignment="0" applyProtection="0"/>
    <xf numFmtId="167" fontId="78" fillId="0" borderId="0" applyFont="0" applyFill="0" applyBorder="0" applyAlignment="0" applyProtection="0"/>
    <xf numFmtId="41" fontId="78" fillId="0" borderId="0" applyFont="0" applyFill="0" applyBorder="0" applyAlignment="0" applyProtection="0"/>
    <xf numFmtId="171" fontId="69"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168" fontId="78" fillId="0" borderId="0" applyFont="0" applyFill="0" applyBorder="0" applyAlignment="0" applyProtection="0"/>
    <xf numFmtId="211" fontId="78" fillId="0" borderId="0" applyFont="0" applyFill="0" applyBorder="0" applyAlignment="0" applyProtection="0"/>
    <xf numFmtId="171" fontId="78" fillId="0" borderId="0" applyFont="0" applyFill="0" applyBorder="0" applyAlignment="0" applyProtection="0"/>
    <xf numFmtId="194" fontId="67" fillId="0" borderId="0" applyFont="0" applyFill="0" applyBorder="0" applyAlignment="0" applyProtection="0"/>
    <xf numFmtId="171" fontId="78" fillId="0" borderId="0" applyFont="0" applyFill="0" applyBorder="0" applyAlignment="0" applyProtection="0"/>
    <xf numFmtId="194" fontId="78" fillId="0" borderId="0" applyFont="0" applyFill="0" applyBorder="0" applyAlignment="0" applyProtection="0"/>
    <xf numFmtId="171" fontId="78" fillId="0" borderId="0" applyFont="0" applyFill="0" applyBorder="0" applyAlignment="0" applyProtection="0"/>
    <xf numFmtId="0" fontId="77" fillId="0" borderId="0"/>
    <xf numFmtId="0" fontId="77" fillId="0" borderId="0"/>
    <xf numFmtId="171" fontId="78" fillId="0" borderId="0" applyFont="0" applyFill="0" applyBorder="0" applyAlignment="0" applyProtection="0"/>
    <xf numFmtId="329" fontId="97" fillId="0" borderId="0" applyFont="0" applyFill="0" applyBorder="0" applyAlignment="0" applyProtection="0"/>
    <xf numFmtId="329" fontId="97" fillId="0" borderId="0" applyFont="0" applyFill="0" applyBorder="0" applyAlignment="0" applyProtection="0"/>
    <xf numFmtId="168"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201" fontId="78" fillId="0" borderId="0" applyFont="0" applyFill="0" applyBorder="0" applyAlignment="0" applyProtection="0"/>
    <xf numFmtId="171" fontId="78" fillId="0" borderId="0" applyFont="0" applyFill="0" applyBorder="0" applyAlignment="0" applyProtection="0"/>
    <xf numFmtId="201" fontId="78" fillId="0" borderId="0" applyFont="0" applyFill="0" applyBorder="0" applyAlignment="0" applyProtection="0"/>
    <xf numFmtId="201" fontId="78" fillId="0" borderId="0" applyFont="0" applyFill="0" applyBorder="0" applyAlignment="0" applyProtection="0"/>
    <xf numFmtId="171" fontId="78" fillId="0" borderId="0" applyFont="0" applyFill="0" applyBorder="0" applyAlignment="0" applyProtection="0"/>
    <xf numFmtId="201" fontId="78" fillId="0" borderId="0" applyFont="0" applyFill="0" applyBorder="0" applyAlignment="0" applyProtection="0"/>
    <xf numFmtId="201" fontId="78" fillId="0" borderId="0" applyFont="0" applyFill="0" applyBorder="0" applyAlignment="0" applyProtection="0"/>
    <xf numFmtId="41" fontId="78" fillId="0" borderId="0" applyFont="0" applyFill="0" applyBorder="0" applyAlignment="0" applyProtection="0"/>
    <xf numFmtId="168" fontId="78" fillId="0" borderId="0" applyFont="0" applyFill="0" applyBorder="0" applyAlignment="0" applyProtection="0"/>
    <xf numFmtId="171" fontId="78" fillId="0" borderId="0" applyFont="0" applyFill="0" applyBorder="0" applyAlignment="0" applyProtection="0"/>
    <xf numFmtId="201" fontId="78" fillId="0" borderId="0" applyFont="0" applyFill="0" applyBorder="0" applyAlignment="0" applyProtection="0"/>
    <xf numFmtId="168" fontId="78" fillId="0" borderId="0" applyFont="0" applyFill="0" applyBorder="0" applyAlignment="0" applyProtection="0"/>
    <xf numFmtId="201" fontId="78" fillId="0" borderId="0" applyFont="0" applyFill="0" applyBorder="0" applyAlignment="0" applyProtection="0"/>
    <xf numFmtId="168" fontId="78"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171" fontId="78" fillId="0" borderId="0" applyFont="0" applyFill="0" applyBorder="0" applyAlignment="0" applyProtection="0"/>
    <xf numFmtId="168" fontId="78" fillId="0" borderId="0" applyFont="0" applyFill="0" applyBorder="0" applyAlignment="0" applyProtection="0"/>
    <xf numFmtId="217" fontId="78" fillId="0" borderId="0" applyFont="0" applyFill="0" applyBorder="0" applyAlignment="0" applyProtection="0"/>
    <xf numFmtId="218" fontId="78" fillId="0" borderId="0" applyFont="0" applyFill="0" applyBorder="0" applyAlignment="0" applyProtection="0"/>
    <xf numFmtId="168" fontId="78" fillId="0" borderId="0" applyFont="0" applyFill="0" applyBorder="0" applyAlignment="0" applyProtection="0"/>
    <xf numFmtId="167" fontId="78" fillId="0" borderId="0" applyFont="0" applyFill="0" applyBorder="0" applyAlignment="0" applyProtection="0"/>
    <xf numFmtId="167" fontId="78" fillId="0" borderId="0" applyFont="0" applyFill="0" applyBorder="0" applyAlignment="0" applyProtection="0"/>
    <xf numFmtId="194" fontId="78" fillId="0" borderId="0" applyFont="0" applyFill="0" applyBorder="0" applyAlignment="0" applyProtection="0"/>
    <xf numFmtId="211" fontId="78" fillId="0" borderId="0" applyFont="0" applyFill="0" applyBorder="0" applyAlignment="0" applyProtection="0"/>
    <xf numFmtId="194" fontId="67" fillId="0" borderId="0" applyFont="0" applyFill="0" applyBorder="0" applyAlignment="0" applyProtection="0"/>
    <xf numFmtId="41" fontId="78" fillId="0" borderId="0" applyFont="0" applyFill="0" applyBorder="0" applyAlignment="0" applyProtection="0"/>
    <xf numFmtId="41" fontId="78" fillId="0" borderId="0" applyFont="0" applyFill="0" applyBorder="0" applyAlignment="0" applyProtection="0"/>
    <xf numFmtId="211" fontId="78" fillId="0" borderId="0" applyFont="0" applyFill="0" applyBorder="0" applyAlignment="0" applyProtection="0"/>
    <xf numFmtId="194" fontId="78" fillId="0" borderId="0" applyFont="0" applyFill="0" applyBorder="0" applyAlignment="0" applyProtection="0"/>
    <xf numFmtId="212" fontId="78" fillId="0" borderId="0" applyFont="0" applyFill="0" applyBorder="0" applyAlignment="0" applyProtection="0"/>
    <xf numFmtId="0" fontId="76" fillId="0" borderId="0"/>
    <xf numFmtId="329" fontId="148" fillId="0" borderId="0" applyFont="0" applyFill="0" applyBorder="0" applyAlignment="0" applyProtection="0"/>
    <xf numFmtId="168" fontId="78" fillId="0" borderId="0" applyFont="0" applyFill="0" applyBorder="0" applyAlignment="0" applyProtection="0"/>
    <xf numFmtId="168" fontId="78" fillId="0" borderId="0" applyFont="0" applyFill="0" applyBorder="0" applyAlignment="0" applyProtection="0"/>
    <xf numFmtId="168" fontId="78" fillId="0" borderId="0" applyFont="0" applyFill="0" applyBorder="0" applyAlignment="0" applyProtection="0"/>
    <xf numFmtId="168" fontId="78" fillId="0" borderId="0" applyFont="0" applyFill="0" applyBorder="0" applyAlignment="0" applyProtection="0"/>
    <xf numFmtId="14" fontId="311" fillId="0" borderId="0"/>
    <xf numFmtId="14" fontId="312" fillId="0" borderId="0"/>
    <xf numFmtId="14" fontId="311" fillId="0" borderId="0"/>
    <xf numFmtId="0" fontId="313" fillId="0" borderId="0"/>
    <xf numFmtId="0" fontId="267" fillId="0" borderId="0"/>
    <xf numFmtId="0" fontId="267" fillId="0" borderId="0"/>
    <xf numFmtId="0" fontId="268" fillId="0" borderId="0"/>
    <xf numFmtId="0" fontId="314" fillId="49" borderId="0">
      <alignment wrapText="1"/>
    </xf>
    <xf numFmtId="0" fontId="315" fillId="47" borderId="0">
      <alignment wrapText="1"/>
    </xf>
    <xf numFmtId="40" fontId="316" fillId="0" borderId="0" applyBorder="0">
      <alignment horizontal="right"/>
    </xf>
    <xf numFmtId="40" fontId="316" fillId="0" borderId="0" applyBorder="0">
      <alignment horizontal="right"/>
    </xf>
    <xf numFmtId="40" fontId="317" fillId="0" borderId="0" applyBorder="0">
      <alignment horizontal="right"/>
    </xf>
    <xf numFmtId="0" fontId="318" fillId="0" borderId="0"/>
    <xf numFmtId="330" fontId="148" fillId="0" borderId="47">
      <alignment horizontal="right" vertical="center"/>
    </xf>
    <xf numFmtId="330" fontId="97" fillId="0" borderId="47">
      <alignment horizontal="right" vertical="center"/>
    </xf>
    <xf numFmtId="330" fontId="97" fillId="0" borderId="47">
      <alignment horizontal="right" vertical="center"/>
    </xf>
    <xf numFmtId="331" fontId="91" fillId="0" borderId="64">
      <alignment horizontal="right" vertical="center"/>
    </xf>
    <xf numFmtId="332" fontId="69" fillId="0" borderId="47">
      <alignment horizontal="right" vertical="center"/>
    </xf>
    <xf numFmtId="333" fontId="91" fillId="0" borderId="64">
      <alignment horizontal="right" vertical="center"/>
    </xf>
    <xf numFmtId="334" fontId="69" fillId="0" borderId="47">
      <alignment horizontal="right" vertical="center"/>
    </xf>
    <xf numFmtId="332" fontId="69" fillId="0" borderId="47">
      <alignment horizontal="right" vertical="center"/>
    </xf>
    <xf numFmtId="332" fontId="69" fillId="0" borderId="47">
      <alignment horizontal="right" vertical="center"/>
    </xf>
    <xf numFmtId="331" fontId="91" fillId="0" borderId="64">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1" fontId="91" fillId="0" borderId="64">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1" fontId="91"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335" fontId="91" fillId="0" borderId="64">
      <alignment horizontal="right" vertical="center"/>
    </xf>
    <xf numFmtId="336" fontId="69" fillId="0" borderId="47">
      <alignment horizontal="right" vertical="center"/>
    </xf>
    <xf numFmtId="336" fontId="69" fillId="0" borderId="47">
      <alignment horizontal="right" vertical="center"/>
    </xf>
    <xf numFmtId="336" fontId="69" fillId="0" borderId="47">
      <alignment horizontal="right" vertical="center"/>
    </xf>
    <xf numFmtId="335" fontId="91" fillId="0" borderId="64">
      <alignment horizontal="right" vertical="center"/>
    </xf>
    <xf numFmtId="336" fontId="69" fillId="0" borderId="47">
      <alignment horizontal="right" vertical="center"/>
    </xf>
    <xf numFmtId="336" fontId="69" fillId="0" borderId="47">
      <alignment horizontal="right" vertical="center"/>
    </xf>
    <xf numFmtId="336" fontId="69" fillId="0" borderId="47">
      <alignment horizontal="right" vertical="center"/>
    </xf>
    <xf numFmtId="336" fontId="69" fillId="0" borderId="47">
      <alignment horizontal="right" vertical="center"/>
    </xf>
    <xf numFmtId="336" fontId="69" fillId="0" borderId="47">
      <alignment horizontal="right" vertical="center"/>
    </xf>
    <xf numFmtId="331" fontId="91" fillId="0" borderId="64">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1" fontId="91"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91"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91"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91"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332" fontId="69" fillId="0" borderId="47">
      <alignment horizontal="right" vertical="center"/>
    </xf>
    <xf numFmtId="331" fontId="91" fillId="0" borderId="64">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1" fontId="91" fillId="0" borderId="64">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1" fontId="91" fillId="0" borderId="64">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1" fontId="91"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91" fillId="0" borderId="64">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1" fontId="91" fillId="0" borderId="64">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1" fontId="91" fillId="0" borderId="64">
      <alignment horizontal="right" vertical="center"/>
    </xf>
    <xf numFmtId="332" fontId="69" fillId="0" borderId="47">
      <alignment horizontal="right" vertical="center"/>
    </xf>
    <xf numFmtId="331" fontId="91" fillId="0" borderId="64">
      <alignment horizontal="right" vertical="center"/>
    </xf>
    <xf numFmtId="332" fontId="69" fillId="0" borderId="47">
      <alignment horizontal="right" vertical="center"/>
    </xf>
    <xf numFmtId="331" fontId="91" fillId="0" borderId="64">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1" fontId="91" fillId="0" borderId="64">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37" fontId="320" fillId="0" borderId="64">
      <alignment horizontal="right" vertical="center"/>
    </xf>
    <xf numFmtId="337" fontId="320" fillId="0" borderId="64">
      <alignment horizontal="right" vertical="center"/>
    </xf>
    <xf numFmtId="337" fontId="320" fillId="0" borderId="64">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37" fontId="319" fillId="0" borderId="64">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37" fontId="320" fillId="0" borderId="64">
      <alignment horizontal="right" vertical="center"/>
    </xf>
    <xf numFmtId="337" fontId="320" fillId="0" borderId="64">
      <alignment horizontal="right" vertical="center"/>
    </xf>
    <xf numFmtId="337" fontId="320" fillId="0" borderId="64">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37" fontId="320" fillId="0" borderId="64">
      <alignment horizontal="right" vertical="center"/>
    </xf>
    <xf numFmtId="337" fontId="320" fillId="0" borderId="64">
      <alignment horizontal="right" vertical="center"/>
    </xf>
    <xf numFmtId="337" fontId="320" fillId="0" borderId="64">
      <alignment horizontal="right" vertical="center"/>
    </xf>
    <xf numFmtId="0" fontId="16" fillId="0" borderId="0"/>
    <xf numFmtId="337" fontId="320" fillId="0" borderId="64">
      <alignment horizontal="right" vertical="center"/>
    </xf>
    <xf numFmtId="337" fontId="320" fillId="0" borderId="64">
      <alignment horizontal="right" vertical="center"/>
    </xf>
    <xf numFmtId="337" fontId="320" fillId="0" borderId="64">
      <alignment horizontal="right" vertical="center"/>
    </xf>
    <xf numFmtId="0" fontId="16" fillId="0" borderId="0"/>
    <xf numFmtId="337" fontId="320" fillId="0" borderId="64">
      <alignment horizontal="right" vertical="center"/>
    </xf>
    <xf numFmtId="337" fontId="320" fillId="0" borderId="64">
      <alignment horizontal="right" vertical="center"/>
    </xf>
    <xf numFmtId="337" fontId="320" fillId="0" borderId="64">
      <alignment horizontal="right" vertical="center"/>
    </xf>
    <xf numFmtId="0" fontId="16" fillId="0" borderId="0"/>
    <xf numFmtId="337" fontId="320" fillId="0" borderId="64">
      <alignment horizontal="right" vertical="center"/>
    </xf>
    <xf numFmtId="337" fontId="320" fillId="0" borderId="64">
      <alignment horizontal="right" vertical="center"/>
    </xf>
    <xf numFmtId="337" fontId="320" fillId="0" borderId="64">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37" fontId="320" fillId="0" borderId="64">
      <alignment horizontal="right" vertical="center"/>
    </xf>
    <xf numFmtId="337" fontId="320" fillId="0" borderId="64">
      <alignment horizontal="right" vertical="center"/>
    </xf>
    <xf numFmtId="337" fontId="320" fillId="0" borderId="64">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315" fontId="321"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20" fontId="69" fillId="0" borderId="47">
      <alignment horizontal="right" vertical="center"/>
    </xf>
    <xf numFmtId="320" fontId="69" fillId="0" borderId="47">
      <alignment horizontal="right" vertical="center"/>
    </xf>
    <xf numFmtId="320" fontId="69"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315" fontId="320" fillId="0" borderId="47">
      <alignment horizontal="right" vertical="center"/>
    </xf>
    <xf numFmtId="330" fontId="148"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20" fontId="69" fillId="0" borderId="47">
      <alignment horizontal="right" vertical="center"/>
    </xf>
    <xf numFmtId="320" fontId="69" fillId="0" borderId="47">
      <alignment horizontal="right" vertical="center"/>
    </xf>
    <xf numFmtId="320" fontId="69"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339" fontId="8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0" fontId="97" fillId="0" borderId="47">
      <alignment horizontal="right" vertical="center"/>
    </xf>
    <xf numFmtId="0" fontId="16" fillId="0" borderId="0"/>
    <xf numFmtId="339" fontId="80" fillId="0" borderId="47">
      <alignment horizontal="right" vertical="center"/>
    </xf>
    <xf numFmtId="330" fontId="97" fillId="0" borderId="47">
      <alignment horizontal="right" vertical="center"/>
    </xf>
    <xf numFmtId="339" fontId="170" fillId="0" borderId="47">
      <alignment horizontal="right" vertical="center"/>
    </xf>
    <xf numFmtId="338" fontId="130" fillId="0" borderId="47">
      <alignment horizontal="right" vertical="center"/>
    </xf>
    <xf numFmtId="338" fontId="130" fillId="0" borderId="47">
      <alignment horizontal="right" vertical="center"/>
    </xf>
    <xf numFmtId="339" fontId="80" fillId="0" borderId="47">
      <alignment horizontal="right" vertical="center"/>
    </xf>
    <xf numFmtId="340" fontId="69" fillId="0" borderId="47">
      <alignment horizontal="right" vertical="center"/>
    </xf>
    <xf numFmtId="0" fontId="16" fillId="0" borderId="0"/>
    <xf numFmtId="341" fontId="78" fillId="0" borderId="47">
      <alignment horizontal="right" vertical="center"/>
    </xf>
    <xf numFmtId="341" fontId="322" fillId="0" borderId="47">
      <alignment horizontal="right" vertical="center"/>
    </xf>
    <xf numFmtId="341" fontId="322" fillId="0" borderId="47">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2" fontId="78" fillId="0" borderId="64">
      <alignment horizontal="right" vertical="center"/>
    </xf>
    <xf numFmtId="0" fontId="16" fillId="0" borderId="0"/>
    <xf numFmtId="341" fontId="78" fillId="0" borderId="47">
      <alignment horizontal="right" vertical="center"/>
    </xf>
    <xf numFmtId="0" fontId="16" fillId="0" borderId="0"/>
    <xf numFmtId="342" fontId="78" fillId="0" borderId="64">
      <alignment horizontal="right" vertical="center"/>
    </xf>
    <xf numFmtId="0" fontId="16" fillId="0" borderId="0"/>
    <xf numFmtId="342" fontId="78" fillId="0" borderId="64">
      <alignment horizontal="right" vertical="center"/>
    </xf>
    <xf numFmtId="0" fontId="16" fillId="0" borderId="0"/>
    <xf numFmtId="342" fontId="78" fillId="0" borderId="64">
      <alignment horizontal="right" vertical="center"/>
    </xf>
    <xf numFmtId="0" fontId="16" fillId="0" borderId="0"/>
    <xf numFmtId="342" fontId="78" fillId="0" borderId="64">
      <alignment horizontal="right" vertical="center"/>
    </xf>
    <xf numFmtId="341" fontId="78" fillId="0" borderId="47">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2" fontId="78" fillId="0" borderId="64">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341" fontId="322"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1" fontId="78" fillId="0" borderId="47">
      <alignment horizontal="right" vertical="center"/>
    </xf>
    <xf numFmtId="339" fontId="80" fillId="0" borderId="47">
      <alignment horizontal="right" vertical="center"/>
    </xf>
    <xf numFmtId="343" fontId="77" fillId="0" borderId="47">
      <alignment horizontal="right" vertical="center"/>
    </xf>
    <xf numFmtId="339" fontId="80" fillId="0" borderId="47">
      <alignment horizontal="right" vertical="center"/>
    </xf>
    <xf numFmtId="343" fontId="77" fillId="0" borderId="47">
      <alignment horizontal="right" vertical="center"/>
    </xf>
    <xf numFmtId="341" fontId="322" fillId="0" borderId="47">
      <alignment horizontal="right" vertical="center"/>
    </xf>
    <xf numFmtId="0" fontId="16" fillId="0" borderId="0"/>
    <xf numFmtId="339" fontId="80"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344" fontId="69" fillId="0" borderId="47">
      <alignment horizontal="right" vertical="center"/>
    </xf>
    <xf numFmtId="341" fontId="322" fillId="0" borderId="47">
      <alignment horizontal="right" vertical="center"/>
    </xf>
    <xf numFmtId="341" fontId="322"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343" fontId="77"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0" fontId="16" fillId="0" borderId="0"/>
    <xf numFmtId="344" fontId="69" fillId="0" borderId="47">
      <alignment horizontal="right" vertical="center"/>
    </xf>
    <xf numFmtId="340" fontId="69" fillId="0" borderId="47">
      <alignment horizontal="right" vertical="center"/>
    </xf>
    <xf numFmtId="344" fontId="69" fillId="0" borderId="47">
      <alignment horizontal="right" vertical="center"/>
    </xf>
    <xf numFmtId="0" fontId="16" fillId="0" borderId="0"/>
    <xf numFmtId="339" fontId="80" fillId="0" borderId="47">
      <alignment horizontal="right" vertical="center"/>
    </xf>
    <xf numFmtId="344" fontId="69" fillId="0" borderId="47">
      <alignment horizontal="right" vertical="center"/>
    </xf>
    <xf numFmtId="339" fontId="80" fillId="0" borderId="47">
      <alignment horizontal="right" vertical="center"/>
    </xf>
    <xf numFmtId="0" fontId="16" fillId="0" borderId="0"/>
    <xf numFmtId="341" fontId="78" fillId="0" borderId="47">
      <alignment horizontal="right" vertical="center"/>
    </xf>
    <xf numFmtId="339" fontId="80" fillId="0" borderId="47">
      <alignment horizontal="right" vertical="center"/>
    </xf>
    <xf numFmtId="344" fontId="69" fillId="0" borderId="47">
      <alignment horizontal="right" vertical="center"/>
    </xf>
    <xf numFmtId="0" fontId="16" fillId="0" borderId="0"/>
    <xf numFmtId="341" fontId="78"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339" fontId="80"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0" fontId="16" fillId="0" borderId="0"/>
    <xf numFmtId="340" fontId="69" fillId="0" borderId="47">
      <alignment horizontal="right" vertical="center"/>
    </xf>
    <xf numFmtId="0" fontId="16" fillId="0" borderId="0"/>
    <xf numFmtId="0" fontId="16" fillId="0" borderId="0"/>
    <xf numFmtId="340" fontId="69"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0" fontId="16" fillId="0" borderId="0"/>
    <xf numFmtId="341" fontId="78" fillId="0" borderId="47">
      <alignment horizontal="right" vertical="center"/>
    </xf>
    <xf numFmtId="344" fontId="69"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0" fontId="16" fillId="0" borderId="0"/>
    <xf numFmtId="341" fontId="78"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341" fontId="322"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340" fontId="68"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1" fontId="78" fillId="0" borderId="47">
      <alignment horizontal="right" vertical="center"/>
    </xf>
    <xf numFmtId="0" fontId="16" fillId="0" borderId="0"/>
    <xf numFmtId="343" fontId="77" fillId="0" borderId="47">
      <alignment horizontal="right" vertical="center"/>
    </xf>
    <xf numFmtId="0" fontId="16" fillId="0" borderId="0"/>
    <xf numFmtId="341" fontId="78" fillId="0" borderId="47">
      <alignment horizontal="right" vertical="center"/>
    </xf>
    <xf numFmtId="0" fontId="16" fillId="0" borderId="0"/>
    <xf numFmtId="342" fontId="78" fillId="0" borderId="64">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2" fontId="78" fillId="0" borderId="64">
      <alignment horizontal="right" vertical="center"/>
    </xf>
    <xf numFmtId="0" fontId="16" fillId="0" borderId="0"/>
    <xf numFmtId="342" fontId="78" fillId="0" borderId="64">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341" fontId="78"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0" fontId="16" fillId="0" borderId="0"/>
    <xf numFmtId="345" fontId="77" fillId="0" borderId="64">
      <alignment horizontal="right" vertical="center"/>
    </xf>
    <xf numFmtId="345" fontId="77" fillId="0" borderId="64">
      <alignment horizontal="right" vertical="center"/>
    </xf>
    <xf numFmtId="345" fontId="77" fillId="0" borderId="64">
      <alignment horizontal="right" vertical="center"/>
    </xf>
    <xf numFmtId="0" fontId="16" fillId="0" borderId="0"/>
    <xf numFmtId="345" fontId="77" fillId="0" borderId="64">
      <alignment horizontal="right" vertical="center"/>
    </xf>
    <xf numFmtId="345" fontId="77" fillId="0" borderId="64">
      <alignment horizontal="right" vertical="center"/>
    </xf>
    <xf numFmtId="345" fontId="77" fillId="0" borderId="64">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1" fontId="78"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341" fontId="322" fillId="0" borderId="47">
      <alignment horizontal="right" vertical="center"/>
    </xf>
    <xf numFmtId="0" fontId="16" fillId="0" borderId="0"/>
    <xf numFmtId="341" fontId="78"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346" fontId="16" fillId="0" borderId="47">
      <alignment horizontal="right" vertical="center"/>
    </xf>
    <xf numFmtId="0" fontId="16" fillId="0" borderId="0"/>
    <xf numFmtId="345" fontId="77" fillId="0" borderId="64">
      <alignment horizontal="right" vertical="center"/>
    </xf>
    <xf numFmtId="345" fontId="77" fillId="0" borderId="64">
      <alignment horizontal="right" vertical="center"/>
    </xf>
    <xf numFmtId="345" fontId="77" fillId="0" borderId="64">
      <alignment horizontal="right" vertical="center"/>
    </xf>
    <xf numFmtId="0" fontId="16" fillId="0" borderId="0"/>
    <xf numFmtId="343" fontId="77" fillId="0" borderId="47">
      <alignment horizontal="right" vertical="center"/>
    </xf>
    <xf numFmtId="0" fontId="16" fillId="0" borderId="0"/>
    <xf numFmtId="341" fontId="78"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1" fontId="78" fillId="0" borderId="47">
      <alignment horizontal="right" vertical="center"/>
    </xf>
    <xf numFmtId="0" fontId="16" fillId="0" borderId="0"/>
    <xf numFmtId="343" fontId="77" fillId="0" borderId="47">
      <alignment horizontal="right" vertical="center"/>
    </xf>
    <xf numFmtId="340" fontId="68"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39" fontId="80"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341" fontId="322"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39" fontId="80" fillId="0" borderId="47">
      <alignment horizontal="right" vertical="center"/>
    </xf>
    <xf numFmtId="347" fontId="13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43" fontId="77"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330" fontId="97" fillId="0" borderId="47">
      <alignment horizontal="right" vertical="center"/>
    </xf>
    <xf numFmtId="0" fontId="16" fillId="0" borderId="0"/>
    <xf numFmtId="0" fontId="16" fillId="0" borderId="0"/>
    <xf numFmtId="339" fontId="80" fillId="0" borderId="47">
      <alignment horizontal="right" vertical="center"/>
    </xf>
    <xf numFmtId="341" fontId="78" fillId="0" borderId="47">
      <alignment horizontal="right" vertical="center"/>
    </xf>
    <xf numFmtId="339" fontId="8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0" fontId="16" fillId="0" borderId="0"/>
    <xf numFmtId="330" fontId="97" fillId="0" borderId="47">
      <alignment horizontal="right" vertical="center"/>
    </xf>
    <xf numFmtId="0" fontId="16" fillId="0" borderId="0"/>
    <xf numFmtId="330" fontId="9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41" fontId="78" fillId="0" borderId="47">
      <alignment horizontal="right" vertical="center"/>
    </xf>
    <xf numFmtId="339" fontId="80"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0" fontId="16" fillId="0" borderId="0"/>
    <xf numFmtId="347" fontId="130" fillId="0" borderId="47">
      <alignment horizontal="right" vertical="center"/>
    </xf>
    <xf numFmtId="347" fontId="130" fillId="0" borderId="47">
      <alignment horizontal="right" vertical="center"/>
    </xf>
    <xf numFmtId="347" fontId="13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15" fontId="320" fillId="0" borderId="47">
      <alignment horizontal="right" vertical="center"/>
    </xf>
    <xf numFmtId="0" fontId="16" fillId="0" borderId="0"/>
    <xf numFmtId="347" fontId="13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37" fontId="320" fillId="0" borderId="64">
      <alignment horizontal="right" vertical="center"/>
    </xf>
    <xf numFmtId="337" fontId="320" fillId="0" borderId="64">
      <alignment horizontal="right" vertical="center"/>
    </xf>
    <xf numFmtId="337" fontId="320" fillId="0" borderId="64">
      <alignment horizontal="right" vertical="center"/>
    </xf>
    <xf numFmtId="0" fontId="16" fillId="0" borderId="0"/>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37" fontId="320" fillId="0" borderId="64">
      <alignment horizontal="right" vertical="center"/>
    </xf>
    <xf numFmtId="337" fontId="320" fillId="0" borderId="64">
      <alignment horizontal="right" vertical="center"/>
    </xf>
    <xf numFmtId="337" fontId="320" fillId="0" borderId="64">
      <alignment horizontal="right" vertical="center"/>
    </xf>
    <xf numFmtId="0" fontId="16" fillId="0" borderId="0"/>
    <xf numFmtId="337" fontId="320" fillId="0" borderId="64">
      <alignment horizontal="right" vertical="center"/>
    </xf>
    <xf numFmtId="337" fontId="320" fillId="0" borderId="64">
      <alignment horizontal="right" vertical="center"/>
    </xf>
    <xf numFmtId="337" fontId="320" fillId="0" borderId="64">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48" fontId="97" fillId="0" borderId="64">
      <alignment horizontal="right" vertical="center"/>
    </xf>
    <xf numFmtId="348" fontId="97" fillId="0" borderId="64">
      <alignment horizontal="right" vertical="center"/>
    </xf>
    <xf numFmtId="348" fontId="97" fillId="0" borderId="64">
      <alignment horizontal="right" vertical="center"/>
    </xf>
    <xf numFmtId="0" fontId="16" fillId="0" borderId="0"/>
    <xf numFmtId="348" fontId="97" fillId="0" borderId="64">
      <alignment horizontal="right" vertical="center"/>
    </xf>
    <xf numFmtId="348" fontId="97" fillId="0" borderId="64">
      <alignment horizontal="right" vertical="center"/>
    </xf>
    <xf numFmtId="348" fontId="97" fillId="0" borderId="64">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315" fontId="32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48" fontId="97" fillId="0" borderId="64">
      <alignment horizontal="right" vertical="center"/>
    </xf>
    <xf numFmtId="348" fontId="97" fillId="0" borderId="64">
      <alignment horizontal="right" vertical="center"/>
    </xf>
    <xf numFmtId="348" fontId="97" fillId="0" borderId="64">
      <alignment horizontal="right" vertical="center"/>
    </xf>
    <xf numFmtId="0" fontId="16" fillId="0" borderId="0"/>
    <xf numFmtId="347" fontId="130" fillId="0" borderId="47">
      <alignment horizontal="right" vertical="center"/>
    </xf>
    <xf numFmtId="0" fontId="16" fillId="0" borderId="0"/>
    <xf numFmtId="315" fontId="320"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47" fontId="130" fillId="0" borderId="47">
      <alignment horizontal="right" vertical="center"/>
    </xf>
    <xf numFmtId="347" fontId="130" fillId="0" borderId="47">
      <alignment horizontal="right" vertical="center"/>
    </xf>
    <xf numFmtId="347" fontId="13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47" fontId="130"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47" fontId="130" fillId="0" borderId="47">
      <alignment horizontal="right" vertical="center"/>
    </xf>
    <xf numFmtId="347" fontId="130" fillId="0" borderId="47">
      <alignment horizontal="right" vertical="center"/>
    </xf>
    <xf numFmtId="347" fontId="130"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30" fontId="97" fillId="0" borderId="47">
      <alignment horizontal="right" vertical="center"/>
    </xf>
    <xf numFmtId="315" fontId="320"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15" fontId="32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343" fontId="77"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0" fontId="16" fillId="0" borderId="0"/>
    <xf numFmtId="338" fontId="130" fillId="0" borderId="47">
      <alignment horizontal="right" vertical="center"/>
    </xf>
    <xf numFmtId="0" fontId="16" fillId="0" borderId="0"/>
    <xf numFmtId="338" fontId="130" fillId="0" borderId="47">
      <alignment horizontal="right" vertical="center"/>
    </xf>
    <xf numFmtId="0" fontId="16" fillId="0" borderId="0"/>
    <xf numFmtId="343" fontId="77" fillId="0" borderId="47">
      <alignment horizontal="right" vertical="center"/>
    </xf>
    <xf numFmtId="0" fontId="16" fillId="0" borderId="0"/>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0" fontId="97" fillId="0" borderId="47">
      <alignment horizontal="right" vertical="center"/>
    </xf>
    <xf numFmtId="338" fontId="13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0" fontId="97" fillId="0" borderId="47">
      <alignment horizontal="right" vertical="center"/>
    </xf>
    <xf numFmtId="0" fontId="16" fillId="0" borderId="0"/>
    <xf numFmtId="0" fontId="16" fillId="0" borderId="0"/>
    <xf numFmtId="349" fontId="130" fillId="0" borderId="47">
      <alignment horizontal="right" vertical="center"/>
    </xf>
    <xf numFmtId="349" fontId="130" fillId="0" borderId="47">
      <alignment horizontal="right" vertical="center"/>
    </xf>
    <xf numFmtId="349" fontId="130"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44" fontId="69" fillId="0" borderId="47">
      <alignment horizontal="right" vertical="center"/>
    </xf>
    <xf numFmtId="339" fontId="80"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39" fontId="80" fillId="0" borderId="47">
      <alignment horizontal="right" vertical="center"/>
    </xf>
    <xf numFmtId="341" fontId="78" fillId="0" borderId="47">
      <alignment horizontal="right" vertical="center"/>
    </xf>
    <xf numFmtId="341" fontId="78" fillId="0" borderId="47">
      <alignment horizontal="right" vertical="center"/>
    </xf>
    <xf numFmtId="341" fontId="78"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9" fontId="80" fillId="0" borderId="47">
      <alignment horizontal="right" vertical="center"/>
    </xf>
    <xf numFmtId="0" fontId="16" fillId="0" borderId="0"/>
    <xf numFmtId="341" fontId="78" fillId="0" borderId="47">
      <alignment horizontal="right" vertical="center"/>
    </xf>
    <xf numFmtId="338" fontId="130" fillId="0" borderId="47">
      <alignment horizontal="right" vertical="center"/>
    </xf>
    <xf numFmtId="344" fontId="69" fillId="0" borderId="47">
      <alignment horizontal="right" vertical="center"/>
    </xf>
    <xf numFmtId="340" fontId="69"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0" fontId="16" fillId="0" borderId="0"/>
    <xf numFmtId="330" fontId="97" fillId="0" borderId="47">
      <alignment horizontal="right" vertical="center"/>
    </xf>
    <xf numFmtId="0" fontId="16" fillId="0" borderId="0"/>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0" fontId="16" fillId="0" borderId="0"/>
    <xf numFmtId="330" fontId="97" fillId="0" borderId="47">
      <alignment horizontal="right" vertical="center"/>
    </xf>
    <xf numFmtId="330" fontId="97"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330" fontId="97"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0" fontId="16" fillId="0" borderId="0"/>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38" fontId="130"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0" fontId="16" fillId="0" borderId="0"/>
    <xf numFmtId="338" fontId="130" fillId="0" borderId="47">
      <alignment horizontal="right" vertical="center"/>
    </xf>
    <xf numFmtId="330" fontId="97"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0" fontId="16" fillId="0" borderId="0"/>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338" fontId="130" fillId="0" borderId="47">
      <alignment horizontal="right" vertical="center"/>
    </xf>
    <xf numFmtId="0" fontId="16" fillId="0" borderId="0"/>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0" fontId="16" fillId="0" borderId="0"/>
    <xf numFmtId="338" fontId="130" fillId="0" borderId="47">
      <alignment horizontal="right" vertical="center"/>
    </xf>
    <xf numFmtId="340" fontId="69" fillId="0" borderId="47">
      <alignment horizontal="right" vertical="center"/>
    </xf>
    <xf numFmtId="338" fontId="130"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0" fontId="16" fillId="0" borderId="0"/>
    <xf numFmtId="340" fontId="69" fillId="0" borderId="47">
      <alignment horizontal="right" vertical="center"/>
    </xf>
    <xf numFmtId="0" fontId="16" fillId="0" borderId="0"/>
    <xf numFmtId="0" fontId="16" fillId="0" borderId="0"/>
    <xf numFmtId="340" fontId="69"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344" fontId="69" fillId="0" borderId="47">
      <alignment horizontal="right" vertical="center"/>
    </xf>
    <xf numFmtId="338" fontId="130"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40" fontId="69" fillId="0" borderId="47">
      <alignment horizontal="right" vertical="center"/>
    </xf>
    <xf numFmtId="0" fontId="16" fillId="0" borderId="0"/>
    <xf numFmtId="344" fontId="69"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4" fontId="69" fillId="0" borderId="47">
      <alignment horizontal="right" vertical="center"/>
    </xf>
    <xf numFmtId="0" fontId="16" fillId="0" borderId="0"/>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4"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340" fontId="69" fillId="0" borderId="47">
      <alignment horizontal="right" vertical="center"/>
    </xf>
    <xf numFmtId="340" fontId="69" fillId="0" borderId="47">
      <alignment horizontal="right" vertical="center"/>
    </xf>
    <xf numFmtId="330" fontId="97"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350" fontId="16" fillId="0" borderId="47">
      <alignment horizontal="right" vertical="center"/>
    </xf>
    <xf numFmtId="340" fontId="69" fillId="0" borderId="47">
      <alignment horizontal="right" vertical="center"/>
    </xf>
    <xf numFmtId="341" fontId="78" fillId="0" borderId="47">
      <alignment horizontal="right" vertical="center"/>
    </xf>
    <xf numFmtId="341" fontId="78" fillId="0" borderId="47">
      <alignment horizontal="right" vertical="center"/>
    </xf>
    <xf numFmtId="341" fontId="322" fillId="0" borderId="47">
      <alignment horizontal="right" vertical="center"/>
    </xf>
    <xf numFmtId="341" fontId="322" fillId="0" borderId="47">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2" fontId="78" fillId="0" borderId="64">
      <alignment horizontal="right" vertical="center"/>
    </xf>
    <xf numFmtId="0" fontId="16" fillId="0" borderId="0"/>
    <xf numFmtId="341" fontId="78" fillId="0" borderId="47">
      <alignment horizontal="right" vertical="center"/>
    </xf>
    <xf numFmtId="0" fontId="16" fillId="0" borderId="0"/>
    <xf numFmtId="342" fontId="78" fillId="0" borderId="64">
      <alignment horizontal="right" vertical="center"/>
    </xf>
    <xf numFmtId="0" fontId="16" fillId="0" borderId="0"/>
    <xf numFmtId="342" fontId="78" fillId="0" borderId="64">
      <alignment horizontal="right" vertical="center"/>
    </xf>
    <xf numFmtId="0" fontId="16" fillId="0" borderId="0"/>
    <xf numFmtId="342" fontId="78" fillId="0" borderId="64">
      <alignment horizontal="right" vertical="center"/>
    </xf>
    <xf numFmtId="0" fontId="16" fillId="0" borderId="0"/>
    <xf numFmtId="342" fontId="78" fillId="0" borderId="64">
      <alignment horizontal="right" vertical="center"/>
    </xf>
    <xf numFmtId="341" fontId="78" fillId="0" borderId="47">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2" fontId="78" fillId="0" borderId="64">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341" fontId="322" fillId="0" borderId="47">
      <alignment horizontal="right" vertical="center"/>
    </xf>
    <xf numFmtId="0" fontId="16" fillId="0" borderId="0"/>
    <xf numFmtId="340" fontId="69" fillId="0" borderId="47">
      <alignment horizontal="right" vertical="center"/>
    </xf>
    <xf numFmtId="0" fontId="16" fillId="0" borderId="0"/>
    <xf numFmtId="339" fontId="80" fillId="0" borderId="47">
      <alignment horizontal="right" vertical="center"/>
    </xf>
    <xf numFmtId="330" fontId="97" fillId="0" borderId="47">
      <alignment horizontal="right" vertical="center"/>
    </xf>
    <xf numFmtId="0" fontId="16" fillId="0" borderId="0"/>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64">
      <alignment horizontal="right" vertical="center"/>
    </xf>
    <xf numFmtId="340" fontId="69" fillId="0" borderId="64">
      <alignment horizontal="right" vertical="center"/>
    </xf>
    <xf numFmtId="340" fontId="69" fillId="0" borderId="64">
      <alignment horizontal="right" vertical="center"/>
    </xf>
    <xf numFmtId="340" fontId="69" fillId="0" borderId="64">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47" fontId="130" fillId="0" borderId="47">
      <alignment horizontal="right" vertical="center"/>
    </xf>
    <xf numFmtId="347" fontId="130" fillId="0" borderId="47">
      <alignment horizontal="right" vertical="center"/>
    </xf>
    <xf numFmtId="347" fontId="130"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40" fontId="69" fillId="0" borderId="47">
      <alignment horizontal="right" vertical="center"/>
    </xf>
    <xf numFmtId="0" fontId="16" fillId="0" borderId="0"/>
    <xf numFmtId="351" fontId="69" fillId="0" borderId="64">
      <alignment horizontal="right" vertical="center"/>
    </xf>
    <xf numFmtId="351" fontId="69" fillId="0" borderId="64">
      <alignment horizontal="right" vertical="center"/>
    </xf>
    <xf numFmtId="351" fontId="69" fillId="0" borderId="64">
      <alignment horizontal="right" vertical="center"/>
    </xf>
    <xf numFmtId="338" fontId="13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351" fontId="69" fillId="0" borderId="64">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47" fontId="13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352" fontId="323" fillId="7" borderId="65" applyFont="0" applyFill="0" applyBorder="0"/>
    <xf numFmtId="352" fontId="323" fillId="7" borderId="65" applyFont="0" applyFill="0" applyBorder="0"/>
    <xf numFmtId="0" fontId="16" fillId="0" borderId="0"/>
    <xf numFmtId="351" fontId="69" fillId="0" borderId="64">
      <alignment horizontal="right" vertical="center"/>
    </xf>
    <xf numFmtId="351" fontId="69" fillId="0" borderId="64">
      <alignment horizontal="right" vertical="center"/>
    </xf>
    <xf numFmtId="351" fontId="69" fillId="0" borderId="64">
      <alignment horizontal="right" vertical="center"/>
    </xf>
    <xf numFmtId="351" fontId="69" fillId="0" borderId="64">
      <alignment horizontal="right" vertical="center"/>
    </xf>
    <xf numFmtId="0" fontId="16" fillId="0" borderId="0"/>
    <xf numFmtId="347" fontId="130"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52" fontId="323" fillId="7" borderId="65" applyFont="0" applyFill="0" applyBorder="0"/>
    <xf numFmtId="352" fontId="323" fillId="7" borderId="65" applyFont="0" applyFill="0" applyBorder="0"/>
    <xf numFmtId="350" fontId="16" fillId="0" borderId="47">
      <alignment horizontal="right" vertical="center"/>
    </xf>
    <xf numFmtId="0" fontId="16" fillId="0" borderId="0"/>
    <xf numFmtId="351" fontId="69" fillId="0" borderId="64">
      <alignment horizontal="right" vertical="center"/>
    </xf>
    <xf numFmtId="351" fontId="69" fillId="0" borderId="64">
      <alignment horizontal="right" vertical="center"/>
    </xf>
    <xf numFmtId="351" fontId="69" fillId="0" borderId="64">
      <alignment horizontal="right" vertical="center"/>
    </xf>
    <xf numFmtId="351" fontId="69" fillId="0" borderId="64">
      <alignment horizontal="right" vertical="center"/>
    </xf>
    <xf numFmtId="0" fontId="16" fillId="0" borderId="0"/>
    <xf numFmtId="347" fontId="130" fillId="0" borderId="47">
      <alignment horizontal="right" vertical="center"/>
    </xf>
    <xf numFmtId="347" fontId="130" fillId="0" borderId="47">
      <alignment horizontal="right" vertical="center"/>
    </xf>
    <xf numFmtId="347" fontId="130" fillId="0" borderId="47">
      <alignment horizontal="right" vertical="center"/>
    </xf>
    <xf numFmtId="340" fontId="68"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39" fontId="80" fillId="0" borderId="47">
      <alignment horizontal="right" vertical="center"/>
    </xf>
    <xf numFmtId="350" fontId="16" fillId="0" borderId="47">
      <alignment horizontal="right" vertical="center"/>
    </xf>
    <xf numFmtId="0" fontId="16" fillId="0" borderId="0"/>
    <xf numFmtId="340" fontId="69"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39" fontId="80" fillId="0" borderId="47">
      <alignment horizontal="right" vertical="center"/>
    </xf>
    <xf numFmtId="350" fontId="16" fillId="0" borderId="47">
      <alignment horizontal="right" vertical="center"/>
    </xf>
    <xf numFmtId="350" fontId="16" fillId="0" borderId="47">
      <alignment horizontal="right" vertical="center"/>
    </xf>
    <xf numFmtId="350" fontId="16" fillId="0" borderId="47">
      <alignment horizontal="right" vertical="center"/>
    </xf>
    <xf numFmtId="350" fontId="16" fillId="0" borderId="47">
      <alignment horizontal="right" vertical="center"/>
    </xf>
    <xf numFmtId="350" fontId="16" fillId="0" borderId="47">
      <alignment horizontal="right" vertical="center"/>
    </xf>
    <xf numFmtId="350" fontId="16" fillId="0" borderId="47">
      <alignment horizontal="right" vertical="center"/>
    </xf>
    <xf numFmtId="350" fontId="16"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341" fontId="78" fillId="0" borderId="47">
      <alignment horizontal="right" vertical="center"/>
    </xf>
    <xf numFmtId="341" fontId="78" fillId="0" borderId="47">
      <alignment horizontal="right" vertical="center"/>
    </xf>
    <xf numFmtId="341" fontId="322" fillId="0" borderId="47">
      <alignment horizontal="right" vertical="center"/>
    </xf>
    <xf numFmtId="341" fontId="322" fillId="0" borderId="47">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2" fontId="78" fillId="0" borderId="64">
      <alignment horizontal="right" vertical="center"/>
    </xf>
    <xf numFmtId="0" fontId="16" fillId="0" borderId="0"/>
    <xf numFmtId="341" fontId="78" fillId="0" borderId="47">
      <alignment horizontal="right" vertical="center"/>
    </xf>
    <xf numFmtId="0" fontId="16" fillId="0" borderId="0"/>
    <xf numFmtId="342" fontId="78" fillId="0" borderId="64">
      <alignment horizontal="right" vertical="center"/>
    </xf>
    <xf numFmtId="0" fontId="16" fillId="0" borderId="0"/>
    <xf numFmtId="342" fontId="78" fillId="0" borderId="64">
      <alignment horizontal="right" vertical="center"/>
    </xf>
    <xf numFmtId="0" fontId="16" fillId="0" borderId="0"/>
    <xf numFmtId="342" fontId="78" fillId="0" borderId="64">
      <alignment horizontal="right" vertical="center"/>
    </xf>
    <xf numFmtId="0" fontId="16" fillId="0" borderId="0"/>
    <xf numFmtId="342" fontId="78" fillId="0" borderId="64">
      <alignment horizontal="right" vertical="center"/>
    </xf>
    <xf numFmtId="341" fontId="78" fillId="0" borderId="47">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2" fontId="78" fillId="0" borderId="64">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0" fontId="16" fillId="0" borderId="0"/>
    <xf numFmtId="341" fontId="78" fillId="0" borderId="47">
      <alignment horizontal="right" vertical="center"/>
    </xf>
    <xf numFmtId="341" fontId="322"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40" fontId="69" fillId="0" borderId="47">
      <alignment horizontal="right" vertical="center"/>
    </xf>
    <xf numFmtId="0" fontId="16" fillId="0" borderId="0"/>
    <xf numFmtId="340" fontId="69" fillId="0" borderId="47">
      <alignment horizontal="right" vertical="center"/>
    </xf>
    <xf numFmtId="0" fontId="16" fillId="0" borderId="0"/>
    <xf numFmtId="347" fontId="130" fillId="0" borderId="47">
      <alignment horizontal="right" vertical="center"/>
    </xf>
    <xf numFmtId="347" fontId="130" fillId="0" borderId="47">
      <alignment horizontal="right" vertical="center"/>
    </xf>
    <xf numFmtId="347" fontId="130"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350" fontId="16" fillId="0" borderId="47">
      <alignment horizontal="right" vertical="center"/>
    </xf>
    <xf numFmtId="0" fontId="16" fillId="0" borderId="0"/>
    <xf numFmtId="344" fontId="69"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340" fontId="68"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340" fontId="69"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340" fontId="69" fillId="0" borderId="47">
      <alignment horizontal="right" vertical="center"/>
    </xf>
    <xf numFmtId="340" fontId="69" fillId="0" borderId="47">
      <alignment horizontal="right" vertical="center"/>
    </xf>
    <xf numFmtId="339" fontId="80"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53" fontId="69" fillId="0" borderId="47">
      <alignment horizontal="right" vertical="center"/>
    </xf>
    <xf numFmtId="353" fontId="69" fillId="0" borderId="47">
      <alignment horizontal="right" vertical="center"/>
    </xf>
    <xf numFmtId="353" fontId="69" fillId="0" borderId="47">
      <alignment horizontal="right" vertical="center"/>
    </xf>
    <xf numFmtId="353" fontId="69" fillId="0" borderId="47">
      <alignment horizontal="right" vertical="center"/>
    </xf>
    <xf numFmtId="0" fontId="16" fillId="0" borderId="0"/>
    <xf numFmtId="353" fontId="69" fillId="0" borderId="47">
      <alignment horizontal="right" vertical="center"/>
    </xf>
    <xf numFmtId="353" fontId="69" fillId="0" borderId="47">
      <alignment horizontal="right" vertical="center"/>
    </xf>
    <xf numFmtId="353" fontId="69" fillId="0" borderId="47">
      <alignment horizontal="right" vertical="center"/>
    </xf>
    <xf numFmtId="0" fontId="16" fillId="0" borderId="0"/>
    <xf numFmtId="353" fontId="69" fillId="0" borderId="47">
      <alignment horizontal="right" vertical="center"/>
    </xf>
    <xf numFmtId="353" fontId="69" fillId="0" borderId="47">
      <alignment horizontal="right" vertical="center"/>
    </xf>
    <xf numFmtId="353" fontId="69" fillId="0" borderId="47">
      <alignment horizontal="right" vertical="center"/>
    </xf>
    <xf numFmtId="353" fontId="69" fillId="0" borderId="47">
      <alignment horizontal="right" vertical="center"/>
    </xf>
    <xf numFmtId="353" fontId="69" fillId="0" borderId="47">
      <alignment horizontal="right" vertical="center"/>
    </xf>
    <xf numFmtId="0" fontId="16" fillId="0" borderId="0"/>
    <xf numFmtId="354" fontId="69" fillId="0" borderId="64">
      <alignment horizontal="right" vertical="center"/>
    </xf>
    <xf numFmtId="354" fontId="69" fillId="0" borderId="64">
      <alignment horizontal="right" vertical="center"/>
    </xf>
    <xf numFmtId="354" fontId="69" fillId="0" borderId="64">
      <alignment horizontal="right" vertical="center"/>
    </xf>
    <xf numFmtId="354" fontId="69" fillId="0" borderId="64">
      <alignment horizontal="right" vertical="center"/>
    </xf>
    <xf numFmtId="0" fontId="16" fillId="0" borderId="0"/>
    <xf numFmtId="354" fontId="69" fillId="0" borderId="64">
      <alignment horizontal="right" vertical="center"/>
    </xf>
    <xf numFmtId="354" fontId="69" fillId="0" borderId="64">
      <alignment horizontal="right" vertical="center"/>
    </xf>
    <xf numFmtId="354" fontId="69" fillId="0" borderId="64">
      <alignment horizontal="right" vertical="center"/>
    </xf>
    <xf numFmtId="354" fontId="69" fillId="0" borderId="64">
      <alignment horizontal="right" vertical="center"/>
    </xf>
    <xf numFmtId="0" fontId="16" fillId="0" borderId="0"/>
    <xf numFmtId="353" fontId="69" fillId="0" borderId="47">
      <alignment horizontal="right" vertical="center"/>
    </xf>
    <xf numFmtId="353" fontId="69" fillId="0" borderId="47">
      <alignment horizontal="right" vertical="center"/>
    </xf>
    <xf numFmtId="353" fontId="69" fillId="0" borderId="47">
      <alignment horizontal="right" vertical="center"/>
    </xf>
    <xf numFmtId="353" fontId="69" fillId="0" borderId="47">
      <alignment horizontal="right" vertical="center"/>
    </xf>
    <xf numFmtId="0" fontId="16" fillId="0" borderId="0"/>
    <xf numFmtId="354" fontId="69" fillId="0" borderId="64">
      <alignment horizontal="right" vertical="center"/>
    </xf>
    <xf numFmtId="354" fontId="69" fillId="0" borderId="64">
      <alignment horizontal="right" vertical="center"/>
    </xf>
    <xf numFmtId="354" fontId="69" fillId="0" borderId="64">
      <alignment horizontal="right" vertical="center"/>
    </xf>
    <xf numFmtId="354" fontId="69" fillId="0" borderId="64">
      <alignment horizontal="right" vertical="center"/>
    </xf>
    <xf numFmtId="0" fontId="16" fillId="0" borderId="0"/>
    <xf numFmtId="353" fontId="69" fillId="0" borderId="47">
      <alignment horizontal="right" vertical="center"/>
    </xf>
    <xf numFmtId="353" fontId="69" fillId="0" borderId="47">
      <alignment horizontal="right" vertical="center"/>
    </xf>
    <xf numFmtId="353" fontId="69" fillId="0" borderId="47">
      <alignment horizontal="right" vertical="center"/>
    </xf>
    <xf numFmtId="353" fontId="69" fillId="0" borderId="47">
      <alignment horizontal="right" vertical="center"/>
    </xf>
    <xf numFmtId="0" fontId="16" fillId="0" borderId="0"/>
    <xf numFmtId="354" fontId="69" fillId="0" borderId="64">
      <alignment horizontal="right" vertical="center"/>
    </xf>
    <xf numFmtId="354" fontId="69" fillId="0" borderId="64">
      <alignment horizontal="right" vertical="center"/>
    </xf>
    <xf numFmtId="354" fontId="69" fillId="0" borderId="64">
      <alignment horizontal="right" vertical="center"/>
    </xf>
    <xf numFmtId="354" fontId="69" fillId="0" borderId="64">
      <alignment horizontal="right" vertical="center"/>
    </xf>
    <xf numFmtId="0" fontId="16" fillId="0" borderId="0"/>
    <xf numFmtId="354" fontId="69" fillId="0" borderId="64">
      <alignment horizontal="right" vertical="center"/>
    </xf>
    <xf numFmtId="354" fontId="69" fillId="0" borderId="64">
      <alignment horizontal="right" vertical="center"/>
    </xf>
    <xf numFmtId="354" fontId="69" fillId="0" borderId="64">
      <alignment horizontal="right" vertical="center"/>
    </xf>
    <xf numFmtId="354" fontId="69" fillId="0" borderId="64">
      <alignment horizontal="right" vertical="center"/>
    </xf>
    <xf numFmtId="0" fontId="16" fillId="0" borderId="0"/>
    <xf numFmtId="353" fontId="69" fillId="0" borderId="47">
      <alignment horizontal="right" vertical="center"/>
    </xf>
    <xf numFmtId="353" fontId="69" fillId="0" borderId="47">
      <alignment horizontal="right" vertical="center"/>
    </xf>
    <xf numFmtId="353" fontId="69" fillId="0" borderId="47">
      <alignment horizontal="right" vertical="center"/>
    </xf>
    <xf numFmtId="353" fontId="69" fillId="0" borderId="47">
      <alignment horizontal="right" vertical="center"/>
    </xf>
    <xf numFmtId="0" fontId="16" fillId="0" borderId="0"/>
    <xf numFmtId="353" fontId="69" fillId="0" borderId="47">
      <alignment horizontal="right" vertical="center"/>
    </xf>
    <xf numFmtId="353" fontId="69" fillId="0" borderId="47">
      <alignment horizontal="right" vertical="center"/>
    </xf>
    <xf numFmtId="353" fontId="69" fillId="0" borderId="47">
      <alignment horizontal="right" vertical="center"/>
    </xf>
    <xf numFmtId="353" fontId="69" fillId="0" borderId="47">
      <alignment horizontal="right" vertical="center"/>
    </xf>
    <xf numFmtId="0" fontId="16" fillId="0" borderId="0"/>
    <xf numFmtId="354" fontId="69" fillId="0" borderId="64">
      <alignment horizontal="right" vertical="center"/>
    </xf>
    <xf numFmtId="354" fontId="69" fillId="0" borderId="64">
      <alignment horizontal="right" vertical="center"/>
    </xf>
    <xf numFmtId="354" fontId="69" fillId="0" borderId="64">
      <alignment horizontal="right" vertical="center"/>
    </xf>
    <xf numFmtId="354" fontId="69" fillId="0" borderId="64">
      <alignment horizontal="right" vertical="center"/>
    </xf>
    <xf numFmtId="0" fontId="16" fillId="0" borderId="0"/>
    <xf numFmtId="353" fontId="69" fillId="0" borderId="47">
      <alignment horizontal="right" vertical="center"/>
    </xf>
    <xf numFmtId="353" fontId="69" fillId="0" borderId="47">
      <alignment horizontal="right" vertical="center"/>
    </xf>
    <xf numFmtId="353" fontId="69" fillId="0" borderId="47">
      <alignment horizontal="right" vertical="center"/>
    </xf>
    <xf numFmtId="353" fontId="69" fillId="0" borderId="47">
      <alignment horizontal="right" vertical="center"/>
    </xf>
    <xf numFmtId="0" fontId="16" fillId="0" borderId="0"/>
    <xf numFmtId="353" fontId="69" fillId="0" borderId="47">
      <alignment horizontal="right" vertical="center"/>
    </xf>
    <xf numFmtId="353" fontId="69" fillId="0" borderId="47">
      <alignment horizontal="right" vertical="center"/>
    </xf>
    <xf numFmtId="353" fontId="69" fillId="0" borderId="47">
      <alignment horizontal="right" vertical="center"/>
    </xf>
    <xf numFmtId="353" fontId="69" fillId="0" borderId="47">
      <alignment horizontal="right" vertical="center"/>
    </xf>
    <xf numFmtId="0" fontId="16" fillId="0" borderId="0"/>
    <xf numFmtId="353" fontId="69" fillId="0" borderId="47">
      <alignment horizontal="right" vertical="center"/>
    </xf>
    <xf numFmtId="353" fontId="69" fillId="0" borderId="47">
      <alignment horizontal="right" vertical="center"/>
    </xf>
    <xf numFmtId="353" fontId="69" fillId="0" borderId="47">
      <alignment horizontal="right" vertical="center"/>
    </xf>
    <xf numFmtId="353" fontId="69" fillId="0" borderId="47">
      <alignment horizontal="right" vertical="center"/>
    </xf>
    <xf numFmtId="0" fontId="16" fillId="0" borderId="0"/>
    <xf numFmtId="320" fontId="69" fillId="0" borderId="47">
      <alignment horizontal="right" vertical="center"/>
    </xf>
    <xf numFmtId="320" fontId="69" fillId="0" borderId="47">
      <alignment horizontal="right" vertical="center"/>
    </xf>
    <xf numFmtId="320" fontId="69" fillId="0" borderId="47">
      <alignment horizontal="right" vertical="center"/>
    </xf>
    <xf numFmtId="0" fontId="16" fillId="0" borderId="0"/>
    <xf numFmtId="320" fontId="69" fillId="0" borderId="47">
      <alignment horizontal="right" vertical="center"/>
    </xf>
    <xf numFmtId="320" fontId="69" fillId="0" borderId="47">
      <alignment horizontal="right" vertical="center"/>
    </xf>
    <xf numFmtId="320" fontId="69"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0" fontId="16" fillId="0" borderId="0"/>
    <xf numFmtId="344" fontId="69" fillId="0" borderId="47">
      <alignment horizontal="right" vertical="center"/>
    </xf>
    <xf numFmtId="344" fontId="69" fillId="0" borderId="47">
      <alignment horizontal="right" vertical="center"/>
    </xf>
    <xf numFmtId="344" fontId="69" fillId="0" borderId="47">
      <alignment horizontal="right" vertical="center"/>
    </xf>
    <xf numFmtId="344" fontId="69"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332" fontId="68" fillId="0" borderId="47">
      <alignment horizontal="right" vertical="center"/>
    </xf>
    <xf numFmtId="332" fontId="69" fillId="0" borderId="47">
      <alignment horizontal="right" vertical="center"/>
    </xf>
    <xf numFmtId="0" fontId="16" fillId="0" borderId="0"/>
    <xf numFmtId="334"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0" fontId="16" fillId="0" borderId="0"/>
    <xf numFmtId="336" fontId="69" fillId="0" borderId="47">
      <alignment horizontal="right" vertical="center"/>
    </xf>
    <xf numFmtId="336" fontId="69" fillId="0" borderId="47">
      <alignment horizontal="right" vertical="center"/>
    </xf>
    <xf numFmtId="336" fontId="69" fillId="0" borderId="47">
      <alignment horizontal="right" vertical="center"/>
    </xf>
    <xf numFmtId="0" fontId="16" fillId="0" borderId="0"/>
    <xf numFmtId="336" fontId="69" fillId="0" borderId="47">
      <alignment horizontal="right" vertical="center"/>
    </xf>
    <xf numFmtId="336" fontId="69" fillId="0" borderId="47">
      <alignment horizontal="right" vertical="center"/>
    </xf>
    <xf numFmtId="336" fontId="69" fillId="0" borderId="47">
      <alignment horizontal="right" vertical="center"/>
    </xf>
    <xf numFmtId="336" fontId="69" fillId="0" borderId="47">
      <alignment horizontal="right" vertical="center"/>
    </xf>
    <xf numFmtId="336" fontId="69" fillId="0" borderId="47">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0" fontId="16" fillId="0" borderId="0"/>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0" fontId="16" fillId="0" borderId="0"/>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0" fontId="16" fillId="0" borderId="0"/>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332" fontId="69" fillId="0" borderId="47">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2" fontId="69" fillId="0" borderId="47">
      <alignment horizontal="right" vertical="center"/>
    </xf>
    <xf numFmtId="0" fontId="16" fillId="0" borderId="0"/>
    <xf numFmtId="332" fontId="69" fillId="0" borderId="47">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330" fontId="97"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0" fontId="16" fillId="0" borderId="0"/>
    <xf numFmtId="320" fontId="69" fillId="0" borderId="47">
      <alignment horizontal="right" vertical="center"/>
    </xf>
    <xf numFmtId="320" fontId="69" fillId="0" borderId="47">
      <alignment horizontal="right" vertical="center"/>
    </xf>
    <xf numFmtId="320" fontId="69"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9" fontId="80"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48" fontId="97" fillId="0" borderId="64">
      <alignment horizontal="right" vertical="center"/>
    </xf>
    <xf numFmtId="348" fontId="97" fillId="0" borderId="64">
      <alignment horizontal="right" vertical="center"/>
    </xf>
    <xf numFmtId="348" fontId="97" fillId="0" borderId="64">
      <alignment horizontal="right" vertical="center"/>
    </xf>
    <xf numFmtId="0" fontId="16" fillId="0" borderId="0"/>
    <xf numFmtId="348" fontId="97" fillId="0" borderId="64">
      <alignment horizontal="right" vertical="center"/>
    </xf>
    <xf numFmtId="348" fontId="97" fillId="0" borderId="64">
      <alignment horizontal="right" vertical="center"/>
    </xf>
    <xf numFmtId="348" fontId="97" fillId="0" borderId="64">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48" fontId="97" fillId="0" borderId="64">
      <alignment horizontal="right" vertical="center"/>
    </xf>
    <xf numFmtId="348" fontId="97" fillId="0" borderId="64">
      <alignment horizontal="right" vertical="center"/>
    </xf>
    <xf numFmtId="348" fontId="97" fillId="0" borderId="64">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48" fontId="97" fillId="0" borderId="64">
      <alignment horizontal="right" vertical="center"/>
    </xf>
    <xf numFmtId="348" fontId="97" fillId="0" borderId="64">
      <alignment horizontal="right" vertical="center"/>
    </xf>
    <xf numFmtId="348" fontId="97" fillId="0" borderId="64">
      <alignment horizontal="right" vertical="center"/>
    </xf>
    <xf numFmtId="0" fontId="16" fillId="0" borderId="0"/>
    <xf numFmtId="348" fontId="97" fillId="0" borderId="64">
      <alignment horizontal="right" vertical="center"/>
    </xf>
    <xf numFmtId="348" fontId="97" fillId="0" borderId="64">
      <alignment horizontal="right" vertical="center"/>
    </xf>
    <xf numFmtId="348" fontId="97" fillId="0" borderId="64">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48" fontId="97" fillId="0" borderId="64">
      <alignment horizontal="right" vertical="center"/>
    </xf>
    <xf numFmtId="348" fontId="97" fillId="0" borderId="64">
      <alignment horizontal="right" vertical="center"/>
    </xf>
    <xf numFmtId="348" fontId="97" fillId="0" borderId="64">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48" fontId="97" fillId="0" borderId="64">
      <alignment horizontal="right" vertical="center"/>
    </xf>
    <xf numFmtId="348" fontId="97" fillId="0" borderId="64">
      <alignment horizontal="right" vertical="center"/>
    </xf>
    <xf numFmtId="330" fontId="97" fillId="0" borderId="47">
      <alignment horizontal="right" vertical="center"/>
    </xf>
    <xf numFmtId="330" fontId="148"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37" fontId="320" fillId="0" borderId="64">
      <alignment horizontal="right" vertical="center"/>
    </xf>
    <xf numFmtId="337" fontId="320" fillId="0" borderId="64">
      <alignment horizontal="right" vertical="center"/>
    </xf>
    <xf numFmtId="337" fontId="320" fillId="0" borderId="64">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37" fontId="320" fillId="0" borderId="64">
      <alignment horizontal="right" vertical="center"/>
    </xf>
    <xf numFmtId="337" fontId="320" fillId="0" borderId="64">
      <alignment horizontal="right" vertical="center"/>
    </xf>
    <xf numFmtId="337" fontId="320" fillId="0" borderId="64">
      <alignment horizontal="right" vertical="center"/>
    </xf>
    <xf numFmtId="0" fontId="16" fillId="0" borderId="0"/>
    <xf numFmtId="337" fontId="320" fillId="0" borderId="64">
      <alignment horizontal="right" vertical="center"/>
    </xf>
    <xf numFmtId="337" fontId="320" fillId="0" borderId="64">
      <alignment horizontal="right" vertical="center"/>
    </xf>
    <xf numFmtId="337" fontId="320" fillId="0" borderId="64">
      <alignment horizontal="right" vertical="center"/>
    </xf>
    <xf numFmtId="0" fontId="16" fillId="0" borderId="0"/>
    <xf numFmtId="337" fontId="320" fillId="0" borderId="64">
      <alignment horizontal="right" vertical="center"/>
    </xf>
    <xf numFmtId="337" fontId="320" fillId="0" borderId="64">
      <alignment horizontal="right" vertical="center"/>
    </xf>
    <xf numFmtId="337" fontId="320" fillId="0" borderId="64">
      <alignment horizontal="right" vertical="center"/>
    </xf>
    <xf numFmtId="0" fontId="16" fillId="0" borderId="0"/>
    <xf numFmtId="337" fontId="320" fillId="0" borderId="64">
      <alignment horizontal="right" vertical="center"/>
    </xf>
    <xf numFmtId="337" fontId="320" fillId="0" borderId="64">
      <alignment horizontal="right" vertical="center"/>
    </xf>
    <xf numFmtId="337" fontId="320" fillId="0" borderId="64">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37" fontId="320" fillId="0" borderId="64">
      <alignment horizontal="right" vertical="center"/>
    </xf>
    <xf numFmtId="337" fontId="320" fillId="0" borderId="64">
      <alignment horizontal="right" vertical="center"/>
    </xf>
    <xf numFmtId="337" fontId="320" fillId="0" borderId="64">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348" fontId="97" fillId="0" borderId="64">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20" fontId="69" fillId="0" borderId="47">
      <alignment horizontal="right" vertical="center"/>
    </xf>
    <xf numFmtId="320" fontId="69" fillId="0" borderId="47">
      <alignment horizontal="right" vertical="center"/>
    </xf>
    <xf numFmtId="320" fontId="69" fillId="0" borderId="47">
      <alignment horizontal="right" vertical="center"/>
    </xf>
    <xf numFmtId="0" fontId="16" fillId="0" borderId="0"/>
    <xf numFmtId="339" fontId="80"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48" fontId="97" fillId="0" borderId="64">
      <alignment horizontal="right" vertical="center"/>
    </xf>
    <xf numFmtId="348" fontId="97" fillId="0" borderId="64">
      <alignment horizontal="right" vertical="center"/>
    </xf>
    <xf numFmtId="348" fontId="97" fillId="0" borderId="64">
      <alignment horizontal="right" vertical="center"/>
    </xf>
    <xf numFmtId="0" fontId="16" fillId="0" borderId="0"/>
    <xf numFmtId="345" fontId="77" fillId="0" borderId="64">
      <alignment horizontal="right" vertical="center"/>
    </xf>
    <xf numFmtId="345" fontId="77" fillId="0" borderId="64">
      <alignment horizontal="right" vertical="center"/>
    </xf>
    <xf numFmtId="345" fontId="77" fillId="0" borderId="64">
      <alignment horizontal="right" vertical="center"/>
    </xf>
    <xf numFmtId="0" fontId="16" fillId="0" borderId="0"/>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5" fontId="77" fillId="0" borderId="64">
      <alignment horizontal="right" vertical="center"/>
    </xf>
    <xf numFmtId="345" fontId="77" fillId="0" borderId="64">
      <alignment horizontal="right" vertical="center"/>
    </xf>
    <xf numFmtId="345" fontId="77" fillId="0" borderId="64">
      <alignment horizontal="right" vertical="center"/>
    </xf>
    <xf numFmtId="0" fontId="16" fillId="0" borderId="0"/>
    <xf numFmtId="345" fontId="77" fillId="0" borderId="64">
      <alignment horizontal="right" vertical="center"/>
    </xf>
    <xf numFmtId="345" fontId="77" fillId="0" borderId="64">
      <alignment horizontal="right" vertical="center"/>
    </xf>
    <xf numFmtId="345" fontId="77" fillId="0" borderId="64">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7" fontId="130" fillId="0" borderId="47">
      <alignment horizontal="right" vertical="center"/>
    </xf>
    <xf numFmtId="347" fontId="130" fillId="0" borderId="47">
      <alignment horizontal="right" vertical="center"/>
    </xf>
    <xf numFmtId="347" fontId="130" fillId="0" borderId="47">
      <alignment horizontal="right" vertical="center"/>
    </xf>
    <xf numFmtId="0" fontId="16" fillId="0" borderId="0"/>
    <xf numFmtId="339" fontId="80" fillId="0" borderId="47">
      <alignment horizontal="right" vertical="center"/>
    </xf>
    <xf numFmtId="355" fontId="68"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0" fontId="97"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49" fontId="130" fillId="0" borderId="47">
      <alignment horizontal="right" vertical="center"/>
    </xf>
    <xf numFmtId="349" fontId="130" fillId="0" borderId="47">
      <alignment horizontal="right" vertical="center"/>
    </xf>
    <xf numFmtId="349" fontId="130" fillId="0" borderId="47">
      <alignment horizontal="right" vertical="center"/>
    </xf>
    <xf numFmtId="0" fontId="16" fillId="0" borderId="0"/>
    <xf numFmtId="349" fontId="130" fillId="0" borderId="47">
      <alignment horizontal="right" vertical="center"/>
    </xf>
    <xf numFmtId="349" fontId="130" fillId="0" borderId="47">
      <alignment horizontal="right" vertical="center"/>
    </xf>
    <xf numFmtId="0" fontId="16" fillId="0" borderId="0"/>
    <xf numFmtId="349" fontId="130" fillId="0" borderId="47">
      <alignment horizontal="right" vertical="center"/>
    </xf>
    <xf numFmtId="349" fontId="130" fillId="0" borderId="47">
      <alignment horizontal="right" vertical="center"/>
    </xf>
    <xf numFmtId="349" fontId="130" fillId="0" borderId="47">
      <alignment horizontal="right" vertical="center"/>
    </xf>
    <xf numFmtId="349" fontId="130" fillId="0" borderId="47">
      <alignment horizontal="right" vertical="center"/>
    </xf>
    <xf numFmtId="0" fontId="16" fillId="0" borderId="0"/>
    <xf numFmtId="356" fontId="130" fillId="0" borderId="64">
      <alignment horizontal="right" vertical="center"/>
    </xf>
    <xf numFmtId="356" fontId="130" fillId="0" borderId="64">
      <alignment horizontal="right" vertical="center"/>
    </xf>
    <xf numFmtId="356" fontId="130" fillId="0" borderId="64">
      <alignment horizontal="right" vertical="center"/>
    </xf>
    <xf numFmtId="0" fontId="16" fillId="0" borderId="0"/>
    <xf numFmtId="356" fontId="130" fillId="0" borderId="64">
      <alignment horizontal="right" vertical="center"/>
    </xf>
    <xf numFmtId="356" fontId="130" fillId="0" borderId="64">
      <alignment horizontal="right" vertical="center"/>
    </xf>
    <xf numFmtId="356" fontId="130" fillId="0" borderId="64">
      <alignment horizontal="right" vertical="center"/>
    </xf>
    <xf numFmtId="0" fontId="16" fillId="0" borderId="0"/>
    <xf numFmtId="349" fontId="130" fillId="0" borderId="47">
      <alignment horizontal="right" vertical="center"/>
    </xf>
    <xf numFmtId="349" fontId="130" fillId="0" borderId="47">
      <alignment horizontal="right" vertical="center"/>
    </xf>
    <xf numFmtId="349" fontId="130" fillId="0" borderId="47">
      <alignment horizontal="right" vertical="center"/>
    </xf>
    <xf numFmtId="0" fontId="16" fillId="0" borderId="0"/>
    <xf numFmtId="356" fontId="130" fillId="0" borderId="64">
      <alignment horizontal="right" vertical="center"/>
    </xf>
    <xf numFmtId="356" fontId="130" fillId="0" borderId="64">
      <alignment horizontal="right" vertical="center"/>
    </xf>
    <xf numFmtId="356" fontId="130" fillId="0" borderId="64">
      <alignment horizontal="right" vertical="center"/>
    </xf>
    <xf numFmtId="0" fontId="16" fillId="0" borderId="0"/>
    <xf numFmtId="349" fontId="130" fillId="0" borderId="47">
      <alignment horizontal="right" vertical="center"/>
    </xf>
    <xf numFmtId="349" fontId="130" fillId="0" borderId="47">
      <alignment horizontal="right" vertical="center"/>
    </xf>
    <xf numFmtId="349" fontId="130" fillId="0" borderId="47">
      <alignment horizontal="right" vertical="center"/>
    </xf>
    <xf numFmtId="0" fontId="16" fillId="0" borderId="0"/>
    <xf numFmtId="356" fontId="130" fillId="0" borderId="64">
      <alignment horizontal="right" vertical="center"/>
    </xf>
    <xf numFmtId="356" fontId="130" fillId="0" borderId="64">
      <alignment horizontal="right" vertical="center"/>
    </xf>
    <xf numFmtId="356" fontId="130" fillId="0" borderId="64">
      <alignment horizontal="right" vertical="center"/>
    </xf>
    <xf numFmtId="0" fontId="16" fillId="0" borderId="0"/>
    <xf numFmtId="356" fontId="130" fillId="0" borderId="64">
      <alignment horizontal="right" vertical="center"/>
    </xf>
    <xf numFmtId="356" fontId="130" fillId="0" borderId="64">
      <alignment horizontal="right" vertical="center"/>
    </xf>
    <xf numFmtId="356" fontId="130" fillId="0" borderId="64">
      <alignment horizontal="right" vertical="center"/>
    </xf>
    <xf numFmtId="0" fontId="16" fillId="0" borderId="0"/>
    <xf numFmtId="349" fontId="130" fillId="0" borderId="47">
      <alignment horizontal="right" vertical="center"/>
    </xf>
    <xf numFmtId="349" fontId="130" fillId="0" borderId="47">
      <alignment horizontal="right" vertical="center"/>
    </xf>
    <xf numFmtId="349" fontId="130" fillId="0" borderId="47">
      <alignment horizontal="right" vertical="center"/>
    </xf>
    <xf numFmtId="0" fontId="16" fillId="0" borderId="0"/>
    <xf numFmtId="349" fontId="130" fillId="0" borderId="47">
      <alignment horizontal="right" vertical="center"/>
    </xf>
    <xf numFmtId="349" fontId="130" fillId="0" borderId="47">
      <alignment horizontal="right" vertical="center"/>
    </xf>
    <xf numFmtId="349" fontId="130" fillId="0" borderId="47">
      <alignment horizontal="right" vertical="center"/>
    </xf>
    <xf numFmtId="0" fontId="16" fillId="0" borderId="0"/>
    <xf numFmtId="356" fontId="130" fillId="0" borderId="64">
      <alignment horizontal="right" vertical="center"/>
    </xf>
    <xf numFmtId="356" fontId="130" fillId="0" borderId="64">
      <alignment horizontal="right" vertical="center"/>
    </xf>
    <xf numFmtId="356" fontId="130" fillId="0" borderId="64">
      <alignment horizontal="right" vertical="center"/>
    </xf>
    <xf numFmtId="0" fontId="16" fillId="0" borderId="0"/>
    <xf numFmtId="349" fontId="130" fillId="0" borderId="47">
      <alignment horizontal="right" vertical="center"/>
    </xf>
    <xf numFmtId="349" fontId="130" fillId="0" borderId="47">
      <alignment horizontal="right" vertical="center"/>
    </xf>
    <xf numFmtId="349" fontId="130" fillId="0" borderId="47">
      <alignment horizontal="right" vertical="center"/>
    </xf>
    <xf numFmtId="0" fontId="16" fillId="0" borderId="0"/>
    <xf numFmtId="349" fontId="130" fillId="0" borderId="47">
      <alignment horizontal="right" vertical="center"/>
    </xf>
    <xf numFmtId="349" fontId="130" fillId="0" borderId="47">
      <alignment horizontal="right" vertical="center"/>
    </xf>
    <xf numFmtId="349" fontId="130" fillId="0" borderId="47">
      <alignment horizontal="right" vertical="center"/>
    </xf>
    <xf numFmtId="0" fontId="16" fillId="0" borderId="0"/>
    <xf numFmtId="349" fontId="130" fillId="0" borderId="47">
      <alignment horizontal="right" vertical="center"/>
    </xf>
    <xf numFmtId="349" fontId="130" fillId="0" borderId="47">
      <alignment horizontal="right" vertical="center"/>
    </xf>
    <xf numFmtId="349" fontId="130" fillId="0" borderId="47">
      <alignment horizontal="right" vertical="center"/>
    </xf>
    <xf numFmtId="0" fontId="16" fillId="0" borderId="0"/>
    <xf numFmtId="349" fontId="130" fillId="0" borderId="47">
      <alignment horizontal="right" vertical="center"/>
    </xf>
    <xf numFmtId="349" fontId="130" fillId="0" borderId="47">
      <alignment horizontal="right" vertical="center"/>
    </xf>
    <xf numFmtId="349" fontId="130" fillId="0" borderId="47">
      <alignment horizontal="right" vertical="center"/>
    </xf>
    <xf numFmtId="0" fontId="16" fillId="0" borderId="0"/>
    <xf numFmtId="345" fontId="77" fillId="0" borderId="64">
      <alignment horizontal="right" vertical="center"/>
    </xf>
    <xf numFmtId="345" fontId="77" fillId="0" borderId="64">
      <alignment horizontal="right" vertical="center"/>
    </xf>
    <xf numFmtId="345" fontId="77" fillId="0" borderId="64">
      <alignment horizontal="right" vertical="center"/>
    </xf>
    <xf numFmtId="0" fontId="16" fillId="0" borderId="0"/>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5" fontId="77" fillId="0" borderId="64">
      <alignment horizontal="right" vertical="center"/>
    </xf>
    <xf numFmtId="345" fontId="77" fillId="0" borderId="64">
      <alignment horizontal="right" vertical="center"/>
    </xf>
    <xf numFmtId="345" fontId="77" fillId="0" borderId="64">
      <alignment horizontal="right" vertical="center"/>
    </xf>
    <xf numFmtId="0" fontId="16" fillId="0" borderId="0"/>
    <xf numFmtId="345" fontId="77" fillId="0" borderId="64">
      <alignment horizontal="right" vertical="center"/>
    </xf>
    <xf numFmtId="345" fontId="77" fillId="0" borderId="64">
      <alignment horizontal="right" vertical="center"/>
    </xf>
    <xf numFmtId="345" fontId="77" fillId="0" borderId="64">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330" fontId="148"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148"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48" fontId="97" fillId="0" borderId="64">
      <alignment horizontal="right" vertical="center"/>
    </xf>
    <xf numFmtId="348" fontId="97" fillId="0" borderId="64">
      <alignment horizontal="right" vertical="center"/>
    </xf>
    <xf numFmtId="348" fontId="97" fillId="0" borderId="64">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352" fontId="323" fillId="7" borderId="65" applyFont="0" applyFill="0" applyBorder="0"/>
    <xf numFmtId="352" fontId="323" fillId="7" borderId="65" applyFont="0" applyFill="0" applyBorder="0"/>
    <xf numFmtId="0" fontId="16" fillId="0" borderId="0"/>
    <xf numFmtId="339" fontId="80" fillId="0" borderId="47">
      <alignment horizontal="right" vertical="center"/>
    </xf>
    <xf numFmtId="320" fontId="69" fillId="0" borderId="47">
      <alignment horizontal="right" vertical="center"/>
    </xf>
    <xf numFmtId="320" fontId="69" fillId="0" borderId="47">
      <alignment horizontal="right" vertical="center"/>
    </xf>
    <xf numFmtId="320" fontId="69" fillId="0" borderId="47">
      <alignment horizontal="right" vertical="center"/>
    </xf>
    <xf numFmtId="320" fontId="69" fillId="0" borderId="47">
      <alignment horizontal="right" vertical="center"/>
    </xf>
    <xf numFmtId="320" fontId="69" fillId="0" borderId="47">
      <alignment horizontal="right" vertical="center"/>
    </xf>
    <xf numFmtId="320" fontId="69" fillId="0" borderId="47">
      <alignment horizontal="right" vertical="center"/>
    </xf>
    <xf numFmtId="320" fontId="69"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320" fontId="69" fillId="0" borderId="47">
      <alignment horizontal="right" vertical="center"/>
    </xf>
    <xf numFmtId="320" fontId="69" fillId="0" borderId="47">
      <alignment horizontal="right" vertical="center"/>
    </xf>
    <xf numFmtId="320" fontId="69" fillId="0" borderId="47">
      <alignment horizontal="right" vertical="center"/>
    </xf>
    <xf numFmtId="320" fontId="69" fillId="0" borderId="47">
      <alignment horizontal="right" vertical="center"/>
    </xf>
    <xf numFmtId="339" fontId="80"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0" fontId="97" fillId="0" borderId="47">
      <alignment horizontal="right" vertical="center"/>
    </xf>
    <xf numFmtId="315" fontId="321" fillId="0" borderId="47">
      <alignment horizontal="right" vertical="center"/>
    </xf>
    <xf numFmtId="315" fontId="320" fillId="0" borderId="47">
      <alignment horizontal="right" vertical="center"/>
    </xf>
    <xf numFmtId="315" fontId="320" fillId="0" borderId="47">
      <alignment horizontal="right" vertical="center"/>
    </xf>
    <xf numFmtId="315" fontId="320" fillId="0" borderId="47">
      <alignment horizontal="right" vertical="center"/>
    </xf>
    <xf numFmtId="0" fontId="16" fillId="0" borderId="0"/>
    <xf numFmtId="339" fontId="80" fillId="0" borderId="47">
      <alignment horizontal="right" vertical="center"/>
    </xf>
    <xf numFmtId="0" fontId="16" fillId="0" borderId="0"/>
    <xf numFmtId="330" fontId="97" fillId="0" borderId="47">
      <alignment horizontal="right" vertical="center"/>
    </xf>
    <xf numFmtId="330" fontId="148" fillId="0" borderId="47">
      <alignment horizontal="right" vertical="center"/>
    </xf>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20" fontId="69" fillId="0" borderId="47">
      <alignment horizontal="right" vertical="center"/>
    </xf>
    <xf numFmtId="320" fontId="69" fillId="0" borderId="47">
      <alignment horizontal="right" vertical="center"/>
    </xf>
    <xf numFmtId="320" fontId="69" fillId="0" borderId="47">
      <alignment horizontal="right" vertical="center"/>
    </xf>
    <xf numFmtId="0" fontId="16" fillId="0" borderId="0"/>
    <xf numFmtId="338" fontId="130" fillId="0" borderId="47">
      <alignment horizontal="right" vertical="center"/>
    </xf>
    <xf numFmtId="338" fontId="130" fillId="0" borderId="47">
      <alignment horizontal="right" vertical="center"/>
    </xf>
    <xf numFmtId="338" fontId="130"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39" fontId="80" fillId="0" borderId="47">
      <alignment horizontal="right" vertical="center"/>
    </xf>
    <xf numFmtId="332" fontId="68" fillId="0" borderId="47">
      <alignment horizontal="right" vertical="center"/>
    </xf>
    <xf numFmtId="332" fontId="69" fillId="0" borderId="47">
      <alignment horizontal="right" vertical="center"/>
    </xf>
    <xf numFmtId="0" fontId="16" fillId="0" borderId="0"/>
    <xf numFmtId="334"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0" fontId="16" fillId="0" borderId="0"/>
    <xf numFmtId="336" fontId="69" fillId="0" borderId="47">
      <alignment horizontal="right" vertical="center"/>
    </xf>
    <xf numFmtId="336" fontId="69" fillId="0" borderId="47">
      <alignment horizontal="right" vertical="center"/>
    </xf>
    <xf numFmtId="336" fontId="69" fillId="0" borderId="47">
      <alignment horizontal="right" vertical="center"/>
    </xf>
    <xf numFmtId="0" fontId="16" fillId="0" borderId="0"/>
    <xf numFmtId="336" fontId="69" fillId="0" borderId="47">
      <alignment horizontal="right" vertical="center"/>
    </xf>
    <xf numFmtId="336" fontId="69" fillId="0" borderId="47">
      <alignment horizontal="right" vertical="center"/>
    </xf>
    <xf numFmtId="336" fontId="69" fillId="0" borderId="47">
      <alignment horizontal="right" vertical="center"/>
    </xf>
    <xf numFmtId="336" fontId="69" fillId="0" borderId="47">
      <alignment horizontal="right" vertical="center"/>
    </xf>
    <xf numFmtId="336" fontId="69" fillId="0" borderId="47">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0" fontId="16" fillId="0" borderId="0"/>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0" fontId="16" fillId="0" borderId="0"/>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0" fontId="16" fillId="0" borderId="0"/>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332" fontId="69" fillId="0" borderId="47">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1" fontId="69" fillId="0" borderId="64">
      <alignment horizontal="right" vertical="center"/>
    </xf>
    <xf numFmtId="331" fontId="69" fillId="0" borderId="64">
      <alignment horizontal="right" vertical="center"/>
    </xf>
    <xf numFmtId="331" fontId="69" fillId="0" borderId="64">
      <alignment horizontal="right" vertical="center"/>
    </xf>
    <xf numFmtId="331" fontId="69" fillId="0" borderId="64">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2" fontId="69" fillId="0" borderId="47">
      <alignment horizontal="right" vertical="center"/>
    </xf>
    <xf numFmtId="0" fontId="16" fillId="0" borderId="0"/>
    <xf numFmtId="332" fontId="69" fillId="0" borderId="47">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332" fontId="69" fillId="0" borderId="47">
      <alignment horizontal="right" vertical="center"/>
    </xf>
    <xf numFmtId="0" fontId="16" fillId="0" borderId="0"/>
    <xf numFmtId="315" fontId="320" fillId="0" borderId="47">
      <alignment horizontal="right" vertical="center"/>
    </xf>
    <xf numFmtId="0" fontId="16" fillId="0" borderId="0"/>
    <xf numFmtId="315" fontId="320"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5" fontId="77" fillId="0" borderId="64">
      <alignment horizontal="right" vertical="center"/>
    </xf>
    <xf numFmtId="345" fontId="77" fillId="0" borderId="64">
      <alignment horizontal="right" vertical="center"/>
    </xf>
    <xf numFmtId="345" fontId="77" fillId="0" borderId="64">
      <alignment horizontal="right" vertical="center"/>
    </xf>
    <xf numFmtId="0" fontId="16" fillId="0" borderId="0"/>
    <xf numFmtId="345" fontId="77" fillId="0" borderId="64">
      <alignment horizontal="right" vertical="center"/>
    </xf>
    <xf numFmtId="345" fontId="77" fillId="0" borderId="64">
      <alignment horizontal="right" vertical="center"/>
    </xf>
    <xf numFmtId="345" fontId="77" fillId="0" borderId="64">
      <alignment horizontal="right" vertical="center"/>
    </xf>
    <xf numFmtId="0" fontId="16" fillId="0" borderId="0"/>
    <xf numFmtId="343" fontId="77" fillId="0" borderId="47">
      <alignment horizontal="right" vertical="center"/>
    </xf>
    <xf numFmtId="343" fontId="77" fillId="0" borderId="47">
      <alignment horizontal="right" vertical="center"/>
    </xf>
    <xf numFmtId="0" fontId="16" fillId="0" borderId="0"/>
    <xf numFmtId="345" fontId="77" fillId="0" borderId="64">
      <alignment horizontal="right" vertical="center"/>
    </xf>
    <xf numFmtId="345" fontId="77" fillId="0" borderId="64">
      <alignment horizontal="right" vertical="center"/>
    </xf>
    <xf numFmtId="345" fontId="77" fillId="0" borderId="64">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5" fontId="77" fillId="0" borderId="64">
      <alignment horizontal="right" vertical="center"/>
    </xf>
    <xf numFmtId="345" fontId="77" fillId="0" borderId="64">
      <alignment horizontal="right" vertical="center"/>
    </xf>
    <xf numFmtId="345" fontId="77" fillId="0" borderId="64">
      <alignment horizontal="right" vertical="center"/>
    </xf>
    <xf numFmtId="0" fontId="16" fillId="0" borderId="0"/>
    <xf numFmtId="345" fontId="77" fillId="0" borderId="64">
      <alignment horizontal="right" vertical="center"/>
    </xf>
    <xf numFmtId="345" fontId="77" fillId="0" borderId="64">
      <alignment horizontal="right" vertical="center"/>
    </xf>
    <xf numFmtId="345" fontId="77" fillId="0" borderId="64">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5" fontId="77" fillId="0" borderId="64">
      <alignment horizontal="right" vertical="center"/>
    </xf>
    <xf numFmtId="345" fontId="77" fillId="0" borderId="64">
      <alignment horizontal="right" vertical="center"/>
    </xf>
    <xf numFmtId="345" fontId="77" fillId="0" borderId="64">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52" fontId="323" fillId="7" borderId="65" applyFont="0" applyFill="0" applyBorder="0"/>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330" fontId="97" fillId="0" borderId="47">
      <alignment horizontal="right" vertical="center"/>
    </xf>
    <xf numFmtId="0" fontId="16" fillId="0" borderId="0"/>
    <xf numFmtId="343" fontId="77" fillId="0" borderId="47">
      <alignment horizontal="right" vertical="center"/>
    </xf>
    <xf numFmtId="343" fontId="77" fillId="0" borderId="47">
      <alignment horizontal="right" vertical="center"/>
    </xf>
    <xf numFmtId="343" fontId="77" fillId="0" borderId="47">
      <alignment horizontal="right" vertical="center"/>
    </xf>
    <xf numFmtId="0" fontId="16" fillId="0" borderId="0"/>
    <xf numFmtId="339" fontId="80" fillId="0" borderId="47">
      <alignment horizontal="right" vertical="center"/>
    </xf>
    <xf numFmtId="339" fontId="80" fillId="0" borderId="47">
      <alignment horizontal="right" vertical="center"/>
    </xf>
    <xf numFmtId="339" fontId="80" fillId="0" borderId="47">
      <alignment horizontal="right" vertical="center"/>
    </xf>
    <xf numFmtId="0" fontId="16" fillId="0" borderId="0"/>
    <xf numFmtId="0" fontId="69" fillId="0" borderId="0"/>
    <xf numFmtId="0" fontId="69" fillId="0" borderId="0"/>
    <xf numFmtId="343" fontId="77" fillId="0" borderId="47">
      <alignment horizontal="right" vertical="center"/>
    </xf>
    <xf numFmtId="343" fontId="77" fillId="0" borderId="47">
      <alignment horizontal="right" vertical="center"/>
    </xf>
    <xf numFmtId="0" fontId="69" fillId="0" borderId="0"/>
    <xf numFmtId="0" fontId="69" fillId="0" borderId="0"/>
    <xf numFmtId="343" fontId="77" fillId="0" borderId="47">
      <alignment horizontal="right" vertical="center"/>
    </xf>
    <xf numFmtId="0" fontId="16" fillId="0" borderId="0"/>
    <xf numFmtId="0" fontId="69" fillId="0" borderId="0"/>
    <xf numFmtId="0" fontId="69" fillId="0" borderId="0"/>
    <xf numFmtId="343" fontId="77" fillId="0" borderId="47">
      <alignment horizontal="right" vertical="center"/>
    </xf>
    <xf numFmtId="343" fontId="77" fillId="0" borderId="47">
      <alignment horizontal="right" vertical="center"/>
    </xf>
    <xf numFmtId="0" fontId="69" fillId="0" borderId="0"/>
    <xf numFmtId="0" fontId="69" fillId="0" borderId="0"/>
    <xf numFmtId="343" fontId="77" fillId="0" borderId="47">
      <alignment horizontal="right" vertical="center"/>
    </xf>
    <xf numFmtId="0" fontId="16" fillId="0" borderId="0"/>
    <xf numFmtId="343" fontId="77" fillId="0" borderId="47">
      <alignment horizontal="right" vertical="center"/>
    </xf>
    <xf numFmtId="0" fontId="69" fillId="0" borderId="0"/>
    <xf numFmtId="0" fontId="69" fillId="0" borderId="0"/>
    <xf numFmtId="343" fontId="77" fillId="0" borderId="47">
      <alignment horizontal="right" vertical="center"/>
    </xf>
    <xf numFmtId="0" fontId="16" fillId="0" borderId="0"/>
    <xf numFmtId="0" fontId="69" fillId="0" borderId="0"/>
    <xf numFmtId="0" fontId="69" fillId="0" borderId="0"/>
    <xf numFmtId="330" fontId="97" fillId="0" borderId="47">
      <alignment horizontal="right" vertical="center"/>
    </xf>
    <xf numFmtId="0" fontId="69" fillId="0" borderId="0"/>
    <xf numFmtId="0" fontId="69" fillId="0" borderId="0"/>
    <xf numFmtId="330" fontId="97" fillId="0" borderId="47">
      <alignment horizontal="right" vertical="center"/>
    </xf>
    <xf numFmtId="330" fontId="97" fillId="0" borderId="47">
      <alignment horizontal="right" vertical="center"/>
    </xf>
    <xf numFmtId="330" fontId="97" fillId="0" borderId="47">
      <alignment horizontal="right" vertical="center"/>
    </xf>
    <xf numFmtId="357" fontId="324" fillId="0" borderId="47">
      <alignment horizontal="right" vertical="center"/>
    </xf>
    <xf numFmtId="0" fontId="69" fillId="0" borderId="0"/>
    <xf numFmtId="0" fontId="69" fillId="0" borderId="0"/>
    <xf numFmtId="357" fontId="325" fillId="0" borderId="47">
      <alignment horizontal="right" vertical="center"/>
    </xf>
    <xf numFmtId="0" fontId="69" fillId="0" borderId="0"/>
    <xf numFmtId="0" fontId="69" fillId="0" borderId="0"/>
    <xf numFmtId="357" fontId="325" fillId="0" borderId="47">
      <alignment horizontal="right" vertical="center"/>
    </xf>
    <xf numFmtId="0" fontId="16" fillId="0" borderId="0"/>
    <xf numFmtId="0" fontId="326" fillId="0" borderId="0">
      <alignment horizontal="centerContinuous"/>
    </xf>
    <xf numFmtId="0" fontId="326" fillId="0" borderId="0">
      <alignment horizontal="centerContinuous"/>
    </xf>
    <xf numFmtId="0" fontId="69" fillId="0" borderId="0"/>
    <xf numFmtId="0" fontId="69" fillId="0" borderId="0"/>
    <xf numFmtId="0" fontId="16" fillId="0" borderId="0"/>
    <xf numFmtId="242" fontId="195" fillId="0" borderId="23">
      <protection hidden="1"/>
    </xf>
    <xf numFmtId="0" fontId="69" fillId="0" borderId="0"/>
    <xf numFmtId="0" fontId="69" fillId="0" borderId="0"/>
    <xf numFmtId="49" fontId="95" fillId="0" borderId="0" applyFill="0" applyBorder="0" applyAlignment="0"/>
    <xf numFmtId="49" fontId="95" fillId="0" borderId="0" applyFill="0" applyBorder="0" applyAlignment="0"/>
    <xf numFmtId="0" fontId="69" fillId="0" borderId="0"/>
    <xf numFmtId="0" fontId="69" fillId="0" borderId="0"/>
    <xf numFmtId="0" fontId="16" fillId="0" borderId="0" applyFill="0" applyBorder="0" applyAlignment="0"/>
    <xf numFmtId="0" fontId="69" fillId="0" borderId="0"/>
    <xf numFmtId="0" fontId="69" fillId="0" borderId="0"/>
    <xf numFmtId="0" fontId="16" fillId="0" borderId="0" applyFill="0" applyBorder="0" applyAlignment="0"/>
    <xf numFmtId="0" fontId="16" fillId="0" borderId="0" applyFill="0" applyBorder="0" applyAlignment="0"/>
    <xf numFmtId="0" fontId="69" fillId="0" borderId="0"/>
    <xf numFmtId="0" fontId="69" fillId="0" borderId="0"/>
    <xf numFmtId="355" fontId="16" fillId="0" borderId="0" applyFill="0" applyBorder="0" applyAlignment="0"/>
    <xf numFmtId="0" fontId="69" fillId="0" borderId="0"/>
    <xf numFmtId="0" fontId="69" fillId="0" borderId="0"/>
    <xf numFmtId="355" fontId="16" fillId="0" borderId="0" applyFill="0" applyBorder="0" applyAlignment="0"/>
    <xf numFmtId="355" fontId="16" fillId="0" borderId="0" applyFill="0" applyBorder="0" applyAlignment="0"/>
    <xf numFmtId="0" fontId="69" fillId="0" borderId="0"/>
    <xf numFmtId="0" fontId="69" fillId="0" borderId="0"/>
    <xf numFmtId="194" fontId="148" fillId="0" borderId="47">
      <alignment horizontal="center"/>
    </xf>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0" fontId="69" fillId="0" borderId="0"/>
    <xf numFmtId="0" fontId="69" fillId="0" borderId="0"/>
    <xf numFmtId="0" fontId="69" fillId="0" borderId="0"/>
    <xf numFmtId="0" fontId="69" fillId="0" borderId="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69" fillId="0" borderId="0"/>
    <xf numFmtId="0" fontId="69" fillId="0" borderId="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0" fontId="69" fillId="0" borderId="0"/>
    <xf numFmtId="0" fontId="69" fillId="0" borderId="0"/>
    <xf numFmtId="0" fontId="69" fillId="0" borderId="0"/>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0" fontId="69" fillId="0" borderId="0"/>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0" fontId="97" fillId="0" borderId="0" applyNumberFormat="0" applyFill="0" applyBorder="0" applyAlignment="0" applyProtection="0"/>
    <xf numFmtId="194" fontId="97" fillId="0" borderId="47">
      <alignment horizontal="center"/>
    </xf>
    <xf numFmtId="0" fontId="97" fillId="0" borderId="0" applyNumberFormat="0" applyFill="0" applyBorder="0" applyAlignment="0" applyProtection="0"/>
    <xf numFmtId="0" fontId="69" fillId="0" borderId="0"/>
    <xf numFmtId="0" fontId="97" fillId="0" borderId="0" applyNumberFormat="0" applyFill="0" applyBorder="0" applyAlignment="0" applyProtection="0"/>
    <xf numFmtId="0" fontId="69" fillId="0" borderId="0"/>
    <xf numFmtId="0" fontId="16" fillId="0" borderId="0"/>
    <xf numFmtId="0" fontId="97" fillId="0" borderId="0" applyNumberFormat="0" applyFill="0" applyBorder="0" applyAlignment="0" applyProtection="0"/>
    <xf numFmtId="0" fontId="69" fillId="0" borderId="0"/>
    <xf numFmtId="0" fontId="69" fillId="0" borderId="0"/>
    <xf numFmtId="0" fontId="97" fillId="0" borderId="0" applyNumberFormat="0" applyFill="0" applyBorder="0" applyAlignment="0" applyProtection="0"/>
    <xf numFmtId="358" fontId="327" fillId="0" borderId="0" applyNumberFormat="0" applyFont="0" applyFill="0" applyBorder="0" applyAlignment="0">
      <alignment horizontal="centerContinuous"/>
    </xf>
    <xf numFmtId="358" fontId="327" fillId="0" borderId="0" applyNumberFormat="0" applyFont="0" applyFill="0" applyBorder="0" applyAlignment="0">
      <alignment horizontal="centerContinuous"/>
    </xf>
    <xf numFmtId="0" fontId="69" fillId="0" borderId="0"/>
    <xf numFmtId="0" fontId="69" fillId="0" borderId="0"/>
    <xf numFmtId="0" fontId="16" fillId="0" borderId="0"/>
    <xf numFmtId="0" fontId="69" fillId="0" borderId="0"/>
    <xf numFmtId="0" fontId="69" fillId="0" borderId="0"/>
    <xf numFmtId="0" fontId="82" fillId="0" borderId="0">
      <alignment vertical="center" wrapText="1"/>
      <protection locked="0"/>
    </xf>
    <xf numFmtId="0" fontId="82" fillId="0" borderId="0">
      <alignment vertical="center" wrapText="1"/>
      <protection locked="0"/>
    </xf>
    <xf numFmtId="0" fontId="69" fillId="0" borderId="0"/>
    <xf numFmtId="0" fontId="69" fillId="0" borderId="0"/>
    <xf numFmtId="0" fontId="69" fillId="0" borderId="0"/>
    <xf numFmtId="0" fontId="69" fillId="0" borderId="0"/>
    <xf numFmtId="0" fontId="69" fillId="0" borderId="0"/>
    <xf numFmtId="0" fontId="97" fillId="0" borderId="0" applyNumberFormat="0" applyFill="0" applyBorder="0" applyAlignment="0" applyProtection="0"/>
    <xf numFmtId="0" fontId="69" fillId="0" borderId="0"/>
    <xf numFmtId="0" fontId="16" fillId="0" borderId="0"/>
    <xf numFmtId="0" fontId="328" fillId="0" borderId="66"/>
    <xf numFmtId="0" fontId="69" fillId="0" borderId="0"/>
    <xf numFmtId="0" fontId="69" fillId="0" borderId="0"/>
    <xf numFmtId="0" fontId="16" fillId="0" borderId="0"/>
    <xf numFmtId="0" fontId="328" fillId="0" borderId="66"/>
    <xf numFmtId="0" fontId="69" fillId="0" borderId="0"/>
    <xf numFmtId="0" fontId="69" fillId="0" borderId="0"/>
    <xf numFmtId="0" fontId="16" fillId="0" borderId="0"/>
    <xf numFmtId="0" fontId="16" fillId="0" borderId="0"/>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69" fillId="0" borderId="0"/>
    <xf numFmtId="0" fontId="69" fillId="0" borderId="0"/>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220" fillId="0" borderId="66"/>
    <xf numFmtId="0" fontId="69" fillId="0" borderId="0"/>
    <xf numFmtId="0" fontId="69" fillId="0" borderId="0"/>
    <xf numFmtId="0" fontId="220" fillId="0" borderId="66"/>
    <xf numFmtId="0" fontId="220" fillId="0" borderId="66"/>
    <xf numFmtId="0" fontId="220" fillId="0" borderId="66"/>
    <xf numFmtId="0" fontId="220" fillId="0" borderId="66"/>
    <xf numFmtId="0" fontId="220" fillId="0" borderId="66"/>
    <xf numFmtId="0" fontId="220" fillId="0" borderId="66"/>
    <xf numFmtId="0" fontId="16" fillId="0" borderId="0"/>
    <xf numFmtId="0" fontId="328" fillId="0" borderId="66"/>
    <xf numFmtId="0" fontId="69" fillId="0" borderId="0"/>
    <xf numFmtId="0" fontId="69" fillId="0" borderId="0"/>
    <xf numFmtId="0" fontId="16" fillId="0" borderId="0"/>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69" fillId="0" borderId="0"/>
    <xf numFmtId="0" fontId="69" fillId="0" borderId="0"/>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328" fillId="0" borderId="66"/>
    <xf numFmtId="0" fontId="69" fillId="0" borderId="0"/>
    <xf numFmtId="0" fontId="69" fillId="0" borderId="0"/>
    <xf numFmtId="0" fontId="328" fillId="0" borderId="66"/>
    <xf numFmtId="0" fontId="328" fillId="0" borderId="66"/>
    <xf numFmtId="0" fontId="328" fillId="0" borderId="66"/>
    <xf numFmtId="0" fontId="328" fillId="0" borderId="66"/>
    <xf numFmtId="0" fontId="328" fillId="0" borderId="66"/>
    <xf numFmtId="0" fontId="328" fillId="0" borderId="66"/>
    <xf numFmtId="0" fontId="16" fillId="0" borderId="0"/>
    <xf numFmtId="0" fontId="328" fillId="0" borderId="67"/>
    <xf numFmtId="0" fontId="69" fillId="0" borderId="0"/>
    <xf numFmtId="0" fontId="69" fillId="0" borderId="0"/>
    <xf numFmtId="0" fontId="16" fillId="0" borderId="0"/>
    <xf numFmtId="0" fontId="16" fillId="0" borderId="0"/>
    <xf numFmtId="0" fontId="69" fillId="0" borderId="0"/>
    <xf numFmtId="0" fontId="69" fillId="0" borderId="0"/>
    <xf numFmtId="0" fontId="97" fillId="0" borderId="0" applyNumberForma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6" fillId="0" borderId="0"/>
    <xf numFmtId="0" fontId="97" fillId="0" borderId="0" applyNumberFormat="0" applyFill="0" applyBorder="0" applyAlignment="0" applyProtection="0"/>
    <xf numFmtId="0" fontId="16" fillId="0" borderId="0"/>
    <xf numFmtId="0" fontId="148"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69" fillId="0" borderId="0"/>
    <xf numFmtId="0" fontId="69" fillId="0" borderId="0"/>
    <xf numFmtId="0" fontId="97" fillId="0" borderId="0" applyNumberFormat="0" applyFill="0" applyBorder="0" applyAlignment="0" applyProtection="0"/>
    <xf numFmtId="0" fontId="69" fillId="0" borderId="0"/>
    <xf numFmtId="0" fontId="69" fillId="0" borderId="0"/>
    <xf numFmtId="0" fontId="69" fillId="0" borderId="0"/>
    <xf numFmtId="0" fontId="69" fillId="0" borderId="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69" fillId="0" borderId="0"/>
    <xf numFmtId="0" fontId="97" fillId="0" borderId="0" applyNumberFormat="0" applyFill="0" applyBorder="0" applyAlignment="0" applyProtection="0"/>
    <xf numFmtId="0" fontId="69" fillId="0" borderId="0"/>
    <xf numFmtId="0" fontId="69" fillId="0" borderId="0"/>
    <xf numFmtId="0" fontId="69" fillId="0" borderId="0"/>
    <xf numFmtId="0" fontId="69" fillId="0" borderId="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69" fillId="0" borderId="0"/>
    <xf numFmtId="0" fontId="69" fillId="0" borderId="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69" fillId="0" borderId="0"/>
    <xf numFmtId="0" fontId="69" fillId="0" borderId="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16" fillId="0" borderId="0"/>
    <xf numFmtId="0" fontId="69" fillId="0" borderId="0"/>
    <xf numFmtId="0" fontId="69" fillId="0" borderId="0"/>
    <xf numFmtId="0" fontId="97" fillId="0" borderId="0" applyNumberFormat="0" applyFill="0" applyBorder="0" applyAlignment="0" applyProtection="0"/>
    <xf numFmtId="0" fontId="69" fillId="0" borderId="0"/>
    <xf numFmtId="0" fontId="69" fillId="0" borderId="0"/>
    <xf numFmtId="0" fontId="16" fillId="0" borderId="0"/>
    <xf numFmtId="0" fontId="69" fillId="0" borderId="0"/>
    <xf numFmtId="0" fontId="69" fillId="0" borderId="0"/>
    <xf numFmtId="0" fontId="97" fillId="0" borderId="0" applyNumberFormat="0" applyFill="0" applyBorder="0" applyAlignment="0" applyProtection="0"/>
    <xf numFmtId="0" fontId="69" fillId="0" borderId="0"/>
    <xf numFmtId="0" fontId="69" fillId="0" borderId="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16" fillId="0" borderId="0"/>
    <xf numFmtId="0" fontId="16" fillId="0" borderId="0" applyNumberFormat="0" applyFill="0" applyBorder="0" applyAlignment="0" applyProtection="0"/>
    <xf numFmtId="0" fontId="16"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69" fillId="0" borderId="0"/>
    <xf numFmtId="0" fontId="69" fillId="0" borderId="0"/>
    <xf numFmtId="0" fontId="16" fillId="0" borderId="0" applyNumberFormat="0" applyFill="0" applyBorder="0" applyAlignment="0" applyProtection="0"/>
    <xf numFmtId="0" fontId="16" fillId="0" borderId="0" applyNumberFormat="0" applyFill="0" applyBorder="0" applyAlignment="0" applyProtection="0"/>
    <xf numFmtId="0" fontId="69" fillId="0" borderId="0"/>
    <xf numFmtId="0" fontId="69"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xf numFmtId="0" fontId="69"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285" fillId="0" borderId="0" applyNumberFormat="0" applyFill="0" applyBorder="0" applyAlignment="0" applyProtection="0"/>
    <xf numFmtId="0" fontId="285" fillId="0" borderId="0" applyNumberFormat="0" applyFill="0" applyBorder="0" applyAlignment="0" applyProtection="0"/>
    <xf numFmtId="0" fontId="69" fillId="0" borderId="0"/>
    <xf numFmtId="0" fontId="69" fillId="0" borderId="0"/>
    <xf numFmtId="0" fontId="80" fillId="0" borderId="4" applyNumberFormat="0" applyBorder="0" applyAlignment="0"/>
    <xf numFmtId="0" fontId="80" fillId="0" borderId="4" applyNumberFormat="0" applyBorder="0" applyAlignment="0"/>
    <xf numFmtId="0" fontId="69" fillId="0" borderId="0"/>
    <xf numFmtId="0" fontId="69" fillId="0" borderId="0"/>
    <xf numFmtId="0" fontId="329" fillId="0" borderId="68" applyNumberFormat="0" applyBorder="0" applyAlignment="0">
      <alignment horizontal="center"/>
    </xf>
    <xf numFmtId="0" fontId="329" fillId="0" borderId="68" applyNumberFormat="0" applyBorder="0" applyAlignment="0">
      <alignment horizontal="center"/>
    </xf>
    <xf numFmtId="0" fontId="69" fillId="0" borderId="0"/>
    <xf numFmtId="0" fontId="69" fillId="0" borderId="0"/>
    <xf numFmtId="0" fontId="69" fillId="0" borderId="0"/>
    <xf numFmtId="0" fontId="69" fillId="0" borderId="0"/>
    <xf numFmtId="3" fontId="330" fillId="0" borderId="34" applyNumberFormat="0" applyBorder="0" applyAlignment="0"/>
    <xf numFmtId="3" fontId="330" fillId="0" borderId="34" applyNumberFormat="0" applyBorder="0" applyAlignment="0"/>
    <xf numFmtId="0" fontId="69" fillId="0" borderId="0"/>
    <xf numFmtId="0" fontId="69" fillId="0" borderId="0"/>
    <xf numFmtId="0" fontId="16" fillId="0" borderId="0"/>
    <xf numFmtId="0" fontId="331" fillId="0" borderId="0" applyFont="0">
      <alignment horizontal="centerContinuous"/>
    </xf>
    <xf numFmtId="0" fontId="69" fillId="0" borderId="0"/>
    <xf numFmtId="0" fontId="69" fillId="0" borderId="0"/>
    <xf numFmtId="0" fontId="16" fillId="0" borderId="0"/>
    <xf numFmtId="49" fontId="332" fillId="0" borderId="0">
      <alignment horizontal="justify" vertical="center" wrapText="1"/>
    </xf>
    <xf numFmtId="0" fontId="69" fillId="0" borderId="0"/>
    <xf numFmtId="0" fontId="69" fillId="0" borderId="0"/>
    <xf numFmtId="0" fontId="333" fillId="0" borderId="4">
      <alignment horizontal="center" vertical="center" wrapText="1"/>
    </xf>
    <xf numFmtId="0" fontId="333" fillId="0" borderId="4">
      <alignment horizontal="center" vertical="center" wrapText="1"/>
    </xf>
    <xf numFmtId="0" fontId="69" fillId="0" borderId="0"/>
    <xf numFmtId="0" fontId="69" fillId="0" borderId="0"/>
    <xf numFmtId="0" fontId="334" fillId="0" borderId="0">
      <alignment horizontal="center"/>
    </xf>
    <xf numFmtId="40" fontId="31" fillId="0" borderId="0"/>
    <xf numFmtId="40" fontId="31" fillId="0" borderId="0"/>
    <xf numFmtId="0" fontId="69" fillId="0" borderId="0"/>
    <xf numFmtId="0" fontId="69" fillId="0" borderId="0"/>
    <xf numFmtId="0" fontId="16" fillId="0" borderId="0"/>
    <xf numFmtId="0" fontId="335" fillId="0" borderId="4"/>
    <xf numFmtId="0" fontId="69" fillId="0" borderId="0"/>
    <xf numFmtId="0" fontId="69" fillId="0" borderId="0"/>
    <xf numFmtId="3" fontId="336" fillId="0" borderId="0" applyNumberFormat="0" applyFill="0" applyBorder="0" applyAlignment="0" applyProtection="0">
      <alignment horizontal="center" wrapText="1"/>
    </xf>
    <xf numFmtId="3" fontId="336" fillId="0" borderId="0" applyNumberFormat="0" applyFill="0" applyBorder="0" applyAlignment="0" applyProtection="0">
      <alignment horizontal="center" wrapText="1"/>
    </xf>
    <xf numFmtId="0" fontId="69" fillId="0" borderId="0"/>
    <xf numFmtId="0" fontId="69" fillId="0" borderId="0"/>
    <xf numFmtId="0" fontId="337" fillId="0" borderId="69" applyBorder="0" applyAlignment="0">
      <alignment horizontal="center" vertical="center"/>
    </xf>
    <xf numFmtId="0" fontId="337" fillId="0" borderId="69" applyBorder="0" applyAlignment="0">
      <alignment horizontal="center" vertical="center"/>
    </xf>
    <xf numFmtId="0" fontId="69" fillId="0" borderId="0"/>
    <xf numFmtId="0" fontId="69" fillId="0" borderId="0"/>
    <xf numFmtId="0" fontId="338" fillId="0" borderId="0" applyNumberFormat="0" applyFill="0" applyBorder="0" applyAlignment="0" applyProtection="0">
      <alignment horizontal="centerContinuous"/>
    </xf>
    <xf numFmtId="0" fontId="338" fillId="0" borderId="0" applyNumberFormat="0" applyFill="0" applyBorder="0" applyAlignment="0" applyProtection="0">
      <alignment horizontal="centerContinuous"/>
    </xf>
    <xf numFmtId="0" fontId="69" fillId="0" borderId="0"/>
    <xf numFmtId="0" fontId="69" fillId="0" borderId="0"/>
    <xf numFmtId="0" fontId="224" fillId="0" borderId="70" applyNumberFormat="0" applyFill="0" applyBorder="0" applyAlignment="0" applyProtection="0">
      <alignment horizontal="center" vertical="center" wrapText="1"/>
    </xf>
    <xf numFmtId="0" fontId="224" fillId="0" borderId="70" applyNumberFormat="0" applyFill="0" applyBorder="0" applyAlignment="0" applyProtection="0">
      <alignment horizontal="center" vertical="center" wrapText="1"/>
    </xf>
    <xf numFmtId="0" fontId="69" fillId="0" borderId="0"/>
    <xf numFmtId="0" fontId="69" fillId="0" borderId="0"/>
    <xf numFmtId="0" fontId="339" fillId="0" borderId="0" applyNumberFormat="0" applyFill="0" applyBorder="0" applyAlignment="0" applyProtection="0"/>
    <xf numFmtId="0" fontId="69" fillId="0" borderId="0"/>
    <xf numFmtId="0" fontId="339" fillId="0" borderId="0" applyNumberFormat="0" applyFill="0" applyBorder="0" applyAlignment="0" applyProtection="0"/>
    <xf numFmtId="0" fontId="69" fillId="0" borderId="0"/>
    <xf numFmtId="0" fontId="339" fillId="0" borderId="0" applyNumberFormat="0" applyFill="0" applyBorder="0" applyAlignment="0" applyProtection="0"/>
    <xf numFmtId="0" fontId="340" fillId="0" borderId="0" applyNumberFormat="0" applyFill="0" applyBorder="0" applyAlignment="0" applyProtection="0"/>
    <xf numFmtId="0" fontId="16" fillId="0" borderId="0"/>
    <xf numFmtId="4" fontId="341" fillId="0" borderId="0">
      <alignment horizontal="left" indent="1"/>
    </xf>
    <xf numFmtId="0" fontId="69" fillId="0" borderId="0"/>
    <xf numFmtId="0" fontId="69" fillId="0" borderId="0"/>
    <xf numFmtId="3" fontId="342" fillId="0" borderId="51" applyNumberFormat="0" applyAlignment="0">
      <alignment horizontal="center" vertical="center"/>
    </xf>
    <xf numFmtId="3" fontId="343" fillId="0" borderId="4" applyNumberFormat="0" applyAlignment="0">
      <alignment horizontal="left" wrapText="1"/>
    </xf>
    <xf numFmtId="0" fontId="344" fillId="0" borderId="71" applyNumberFormat="0" applyBorder="0" applyAlignment="0">
      <alignment vertical="center"/>
    </xf>
    <xf numFmtId="0" fontId="344" fillId="0" borderId="71" applyNumberFormat="0" applyBorder="0" applyAlignment="0">
      <alignment vertical="center"/>
    </xf>
    <xf numFmtId="0" fontId="69" fillId="0" borderId="0"/>
    <xf numFmtId="0" fontId="69" fillId="0" borderId="0"/>
    <xf numFmtId="0" fontId="345" fillId="0" borderId="72" applyNumberFormat="0" applyFill="0" applyAlignment="0" applyProtection="0"/>
    <xf numFmtId="0" fontId="69" fillId="0" borderId="0"/>
    <xf numFmtId="0" fontId="69" fillId="0" borderId="0"/>
    <xf numFmtId="0" fontId="345" fillId="0" borderId="72" applyNumberFormat="0" applyFill="0" applyAlignment="0" applyProtection="0"/>
    <xf numFmtId="0" fontId="16" fillId="0" borderId="26" applyNumberFormat="0" applyFont="0" applyFill="0" applyAlignment="0" applyProtection="0"/>
    <xf numFmtId="0" fontId="16" fillId="0" borderId="26" applyNumberFormat="0" applyFont="0" applyFill="0" applyAlignment="0" applyProtection="0"/>
    <xf numFmtId="0" fontId="69" fillId="0" borderId="0"/>
    <xf numFmtId="0" fontId="69" fillId="0" borderId="0"/>
    <xf numFmtId="0" fontId="16" fillId="0" borderId="26" applyNumberFormat="0" applyFont="0" applyFill="0" applyAlignment="0" applyProtection="0"/>
    <xf numFmtId="0" fontId="269" fillId="0" borderId="73" applyNumberFormat="0" applyAlignment="0">
      <alignment horizontal="center"/>
    </xf>
    <xf numFmtId="0" fontId="269" fillId="0" borderId="73" applyNumberFormat="0" applyAlignment="0">
      <alignment horizontal="center"/>
    </xf>
    <xf numFmtId="0" fontId="69" fillId="0" borderId="0"/>
    <xf numFmtId="0" fontId="69" fillId="0" borderId="0"/>
    <xf numFmtId="0" fontId="16" fillId="0" borderId="0"/>
    <xf numFmtId="0" fontId="69" fillId="0" borderId="0"/>
    <xf numFmtId="0" fontId="69" fillId="0" borderId="0"/>
    <xf numFmtId="0" fontId="16" fillId="0" borderId="0"/>
    <xf numFmtId="0" fontId="16" fillId="0" borderId="0"/>
    <xf numFmtId="0" fontId="69" fillId="0" borderId="0"/>
    <xf numFmtId="0" fontId="69" fillId="0" borderId="0"/>
    <xf numFmtId="0" fontId="335" fillId="0" borderId="74">
      <alignment horizontal="center"/>
    </xf>
    <xf numFmtId="0" fontId="335" fillId="0" borderId="74">
      <alignment horizontal="center"/>
    </xf>
    <xf numFmtId="0" fontId="69" fillId="0" borderId="0"/>
    <xf numFmtId="0" fontId="69" fillId="0" borderId="0"/>
    <xf numFmtId="171" fontId="16" fillId="0" borderId="0" applyFont="0" applyFill="0" applyBorder="0" applyAlignment="0" applyProtection="0"/>
    <xf numFmtId="359" fontId="16" fillId="0" borderId="0" applyFont="0" applyFill="0" applyBorder="0" applyAlignment="0" applyProtection="0"/>
    <xf numFmtId="0" fontId="16" fillId="0" borderId="0"/>
    <xf numFmtId="0" fontId="69" fillId="0" borderId="0"/>
    <xf numFmtId="0" fontId="69" fillId="0" borderId="0"/>
    <xf numFmtId="360" fontId="16" fillId="0" borderId="75" applyFont="0" applyFill="0" applyBorder="0" applyProtection="0">
      <alignment horizontal="center"/>
      <protection locked="0"/>
    </xf>
    <xf numFmtId="360" fontId="16" fillId="0" borderId="75" applyFont="0" applyFill="0" applyBorder="0" applyProtection="0">
      <alignment horizontal="center"/>
      <protection locked="0"/>
    </xf>
    <xf numFmtId="0" fontId="69" fillId="0" borderId="0"/>
    <xf numFmtId="0" fontId="69" fillId="0" borderId="0"/>
    <xf numFmtId="0" fontId="16" fillId="0" borderId="0"/>
    <xf numFmtId="0" fontId="69" fillId="0" borderId="0"/>
    <xf numFmtId="0" fontId="69" fillId="0" borderId="0"/>
    <xf numFmtId="361" fontId="174" fillId="0" borderId="76" applyFont="0" applyFill="0" applyBorder="0" applyProtection="0">
      <alignment horizontal="center"/>
    </xf>
    <xf numFmtId="0" fontId="69" fillId="0" borderId="0"/>
    <xf numFmtId="0" fontId="69" fillId="0" borderId="0"/>
    <xf numFmtId="0" fontId="16" fillId="0" borderId="0"/>
    <xf numFmtId="0" fontId="69" fillId="0" borderId="0"/>
    <xf numFmtId="0" fontId="69" fillId="0" borderId="0"/>
    <xf numFmtId="38" fontId="16" fillId="0" borderId="29" applyFont="0" applyFill="0" applyBorder="0" applyAlignment="0" applyProtection="0">
      <protection locked="0"/>
    </xf>
    <xf numFmtId="38" fontId="16" fillId="0" borderId="29" applyFont="0" applyFill="0" applyBorder="0" applyAlignment="0" applyProtection="0">
      <protection locked="0"/>
    </xf>
    <xf numFmtId="0" fontId="69" fillId="0" borderId="0"/>
    <xf numFmtId="0" fontId="69" fillId="0" borderId="0"/>
    <xf numFmtId="0" fontId="16" fillId="0" borderId="0"/>
    <xf numFmtId="0" fontId="69" fillId="0" borderId="0"/>
    <xf numFmtId="0" fontId="69" fillId="0" borderId="0"/>
    <xf numFmtId="15" fontId="16" fillId="0" borderId="29" applyFont="0" applyFill="0" applyBorder="0" applyProtection="0">
      <alignment horizontal="center"/>
      <protection locked="0"/>
    </xf>
    <xf numFmtId="15" fontId="16" fillId="0" borderId="29" applyFont="0" applyFill="0" applyBorder="0" applyProtection="0">
      <alignment horizontal="center"/>
      <protection locked="0"/>
    </xf>
    <xf numFmtId="0" fontId="69" fillId="0" borderId="0"/>
    <xf numFmtId="0" fontId="69" fillId="0" borderId="0"/>
    <xf numFmtId="0" fontId="16" fillId="0" borderId="0"/>
    <xf numFmtId="0" fontId="69" fillId="0" borderId="0"/>
    <xf numFmtId="0" fontId="69" fillId="0" borderId="0"/>
    <xf numFmtId="10" fontId="16" fillId="0" borderId="29" applyFont="0" applyFill="0" applyBorder="0" applyProtection="0">
      <alignment horizontal="center"/>
      <protection locked="0"/>
    </xf>
    <xf numFmtId="10" fontId="16" fillId="0" borderId="29" applyFont="0" applyFill="0" applyBorder="0" applyProtection="0">
      <alignment horizontal="center"/>
      <protection locked="0"/>
    </xf>
    <xf numFmtId="0" fontId="69" fillId="0" borderId="0"/>
    <xf numFmtId="0" fontId="69" fillId="0" borderId="0"/>
    <xf numFmtId="0" fontId="16" fillId="0" borderId="0"/>
    <xf numFmtId="0" fontId="69" fillId="0" borderId="0"/>
    <xf numFmtId="0" fontId="69" fillId="0" borderId="0"/>
    <xf numFmtId="362" fontId="16" fillId="0" borderId="29" applyFont="0" applyFill="0" applyBorder="0" applyProtection="0">
      <alignment horizontal="center"/>
    </xf>
    <xf numFmtId="362" fontId="16" fillId="0" borderId="29" applyFont="0" applyFill="0" applyBorder="0" applyProtection="0">
      <alignment horizontal="center"/>
    </xf>
    <xf numFmtId="0" fontId="69" fillId="0" borderId="0"/>
    <xf numFmtId="0" fontId="69" fillId="0" borderId="0"/>
    <xf numFmtId="295" fontId="246" fillId="0" borderId="0" applyFont="0" applyFill="0" applyBorder="0" applyAlignment="0" applyProtection="0"/>
    <xf numFmtId="363" fontId="269" fillId="0" borderId="0" applyFont="0" applyFill="0" applyBorder="0" applyAlignment="0" applyProtection="0"/>
    <xf numFmtId="364" fontId="80" fillId="0" borderId="0" applyFont="0" applyFill="0" applyBorder="0" applyAlignment="0" applyProtection="0"/>
    <xf numFmtId="0" fontId="231" fillId="0" borderId="56">
      <alignment horizontal="center"/>
    </xf>
    <xf numFmtId="0" fontId="231" fillId="0" borderId="56">
      <alignment horizontal="center"/>
    </xf>
    <xf numFmtId="0" fontId="69" fillId="0" borderId="0"/>
    <xf numFmtId="0" fontId="69" fillId="0" borderId="0"/>
    <xf numFmtId="355" fontId="148" fillId="0" borderId="0"/>
    <xf numFmtId="0" fontId="69" fillId="0" borderId="0"/>
    <xf numFmtId="0" fontId="69" fillId="0" borderId="0"/>
    <xf numFmtId="355" fontId="97" fillId="0" borderId="0"/>
    <xf numFmtId="0" fontId="69" fillId="0" borderId="0"/>
    <xf numFmtId="0" fontId="69" fillId="0" borderId="0"/>
    <xf numFmtId="355" fontId="97" fillId="0" borderId="0"/>
    <xf numFmtId="365" fontId="148" fillId="0" borderId="29"/>
    <xf numFmtId="0" fontId="69" fillId="0" borderId="0"/>
    <xf numFmtId="0" fontId="69" fillId="0" borderId="0"/>
    <xf numFmtId="365" fontId="97" fillId="0" borderId="29"/>
    <xf numFmtId="0" fontId="69" fillId="0" borderId="0"/>
    <xf numFmtId="0" fontId="69" fillId="0" borderId="0"/>
    <xf numFmtId="365" fontId="97" fillId="0" borderId="29"/>
    <xf numFmtId="0" fontId="346" fillId="0" borderId="0"/>
    <xf numFmtId="0" fontId="347" fillId="0" borderId="0"/>
    <xf numFmtId="0" fontId="69" fillId="0" borderId="0"/>
    <xf numFmtId="0" fontId="347" fillId="0" borderId="0"/>
    <xf numFmtId="0" fontId="69" fillId="0" borderId="0"/>
    <xf numFmtId="3" fontId="97" fillId="0" borderId="0" applyNumberFormat="0" applyBorder="0" applyAlignment="0" applyProtection="0">
      <alignment horizontal="centerContinuous"/>
      <protection locked="0"/>
    </xf>
    <xf numFmtId="3" fontId="97" fillId="0" borderId="0" applyNumberFormat="0" applyBorder="0" applyAlignment="0" applyProtection="0">
      <alignment horizontal="centerContinuous"/>
      <protection locked="0"/>
    </xf>
    <xf numFmtId="0" fontId="69" fillId="0" borderId="0"/>
    <xf numFmtId="0" fontId="69" fillId="0" borderId="0"/>
    <xf numFmtId="3" fontId="105" fillId="0" borderId="0">
      <protection locked="0"/>
    </xf>
    <xf numFmtId="3" fontId="105" fillId="0" borderId="0">
      <protection locked="0"/>
    </xf>
    <xf numFmtId="0" fontId="69" fillId="0" borderId="0"/>
    <xf numFmtId="0" fontId="69" fillId="0" borderId="0"/>
    <xf numFmtId="0" fontId="346" fillId="0" borderId="0"/>
    <xf numFmtId="0" fontId="347" fillId="0" borderId="0"/>
    <xf numFmtId="0" fontId="69" fillId="0" borderId="0"/>
    <xf numFmtId="0" fontId="347" fillId="0" borderId="0"/>
    <xf numFmtId="0" fontId="69" fillId="0" borderId="0"/>
    <xf numFmtId="0" fontId="16" fillId="0" borderId="0"/>
    <xf numFmtId="164" fontId="348" fillId="70" borderId="69">
      <alignment vertical="top"/>
    </xf>
    <xf numFmtId="164" fontId="348" fillId="70" borderId="69">
      <alignment vertical="top"/>
    </xf>
    <xf numFmtId="0" fontId="69" fillId="0" borderId="0"/>
    <xf numFmtId="0" fontId="69" fillId="0" borderId="0"/>
    <xf numFmtId="0" fontId="332" fillId="71" borderId="29">
      <alignment horizontal="left" vertical="center"/>
    </xf>
    <xf numFmtId="0" fontId="332" fillId="71" borderId="29">
      <alignment horizontal="left" vertical="center"/>
    </xf>
    <xf numFmtId="0" fontId="69" fillId="0" borderId="0"/>
    <xf numFmtId="0" fontId="69" fillId="0" borderId="0"/>
    <xf numFmtId="165" fontId="349" fillId="49" borderId="69"/>
    <xf numFmtId="165" fontId="349" fillId="49" borderId="69"/>
    <xf numFmtId="0" fontId="69" fillId="0" borderId="0"/>
    <xf numFmtId="0" fontId="69" fillId="0" borderId="0"/>
    <xf numFmtId="164" fontId="244" fillId="0" borderId="69">
      <alignment horizontal="left" vertical="top"/>
    </xf>
    <xf numFmtId="164" fontId="244" fillId="0" borderId="69">
      <alignment horizontal="left" vertical="top"/>
    </xf>
    <xf numFmtId="0" fontId="69" fillId="0" borderId="0"/>
    <xf numFmtId="0" fontId="69" fillId="0" borderId="0"/>
    <xf numFmtId="0" fontId="350" fillId="72" borderId="0">
      <alignment horizontal="left" vertical="center"/>
    </xf>
    <xf numFmtId="0" fontId="350" fillId="72" borderId="0">
      <alignment horizontal="left" vertical="center"/>
    </xf>
    <xf numFmtId="0" fontId="69" fillId="0" borderId="0"/>
    <xf numFmtId="0" fontId="69" fillId="0" borderId="0"/>
    <xf numFmtId="164" fontId="77" fillId="0" borderId="51">
      <alignment horizontal="left" vertical="top"/>
    </xf>
    <xf numFmtId="164" fontId="77" fillId="0" borderId="51">
      <alignment horizontal="left" vertical="top"/>
    </xf>
    <xf numFmtId="0" fontId="69" fillId="0" borderId="0"/>
    <xf numFmtId="0" fontId="69" fillId="0" borderId="0"/>
    <xf numFmtId="0" fontId="351" fillId="0" borderId="51">
      <alignment horizontal="left" vertical="center"/>
    </xf>
    <xf numFmtId="0" fontId="351" fillId="0" borderId="51">
      <alignment horizontal="left" vertical="center"/>
    </xf>
    <xf numFmtId="0" fontId="69" fillId="0" borderId="0"/>
    <xf numFmtId="0" fontId="69" fillId="0" borderId="0"/>
    <xf numFmtId="0" fontId="16" fillId="0" borderId="0" applyFont="0" applyFill="0" applyBorder="0" applyAlignment="0" applyProtection="0"/>
    <xf numFmtId="0" fontId="16" fillId="0" borderId="0" applyFont="0" applyFill="0" applyBorder="0" applyAlignment="0" applyProtection="0"/>
    <xf numFmtId="0" fontId="16" fillId="0" borderId="0"/>
    <xf numFmtId="0" fontId="16" fillId="0" borderId="0"/>
    <xf numFmtId="167" fontId="199" fillId="0" borderId="0" applyFont="0" applyFill="0" applyBorder="0" applyAlignment="0" applyProtection="0"/>
    <xf numFmtId="169" fontId="199" fillId="0" borderId="0" applyFont="0" applyFill="0" applyBorder="0" applyAlignment="0" applyProtection="0"/>
    <xf numFmtId="0" fontId="352" fillId="0" borderId="0" applyNumberFormat="0" applyFill="0" applyBorder="0" applyAlignment="0" applyProtection="0"/>
    <xf numFmtId="0" fontId="69" fillId="0" borderId="0"/>
    <xf numFmtId="0" fontId="352" fillId="0" borderId="0" applyNumberFormat="0" applyFill="0" applyBorder="0" applyAlignment="0" applyProtection="0"/>
    <xf numFmtId="0" fontId="69" fillId="0" borderId="0"/>
    <xf numFmtId="0" fontId="352" fillId="0" borderId="0" applyNumberFormat="0" applyFill="0" applyBorder="0" applyAlignment="0" applyProtection="0"/>
    <xf numFmtId="0" fontId="353" fillId="0" borderId="0" applyNumberFormat="0" applyFill="0" applyBorder="0" applyAlignment="0" applyProtection="0"/>
    <xf numFmtId="0" fontId="354" fillId="0" borderId="0" applyNumberFormat="0" applyFont="0" applyFill="0" applyBorder="0" applyProtection="0">
      <alignment horizontal="center" vertical="center" wrapText="1"/>
    </xf>
    <xf numFmtId="0" fontId="354" fillId="0" borderId="0" applyNumberFormat="0" applyFont="0" applyFill="0" applyBorder="0" applyProtection="0">
      <alignment horizontal="center" vertical="center" wrapText="1"/>
    </xf>
    <xf numFmtId="0" fontId="69" fillId="0" borderId="0"/>
    <xf numFmtId="0" fontId="69" fillId="0" borderId="0"/>
    <xf numFmtId="0" fontId="16" fillId="0" borderId="0" applyFont="0" applyFill="0" applyBorder="0" applyAlignment="0" applyProtection="0"/>
    <xf numFmtId="0" fontId="16" fillId="0" borderId="0" applyFont="0" applyFill="0" applyBorder="0" applyAlignment="0" applyProtection="0"/>
    <xf numFmtId="0" fontId="16" fillId="0" borderId="0"/>
    <xf numFmtId="0" fontId="355" fillId="0" borderId="77" applyNumberFormat="0" applyFont="0" applyAlignment="0">
      <alignment horizontal="center"/>
    </xf>
    <xf numFmtId="0" fontId="69" fillId="0" borderId="0"/>
    <xf numFmtId="0" fontId="69" fillId="0" borderId="0"/>
    <xf numFmtId="0" fontId="356" fillId="0" borderId="0" applyNumberFormat="0" applyFill="0" applyBorder="0" applyAlignment="0" applyProtection="0"/>
    <xf numFmtId="0" fontId="356" fillId="0" borderId="0" applyNumberFormat="0" applyFill="0" applyBorder="0" applyAlignment="0" applyProtection="0"/>
    <xf numFmtId="0" fontId="69" fillId="0" borderId="0"/>
    <xf numFmtId="0" fontId="69" fillId="0" borderId="0"/>
    <xf numFmtId="0" fontId="356" fillId="0" borderId="0" applyNumberFormat="0" applyFill="0" applyBorder="0" applyAlignment="0" applyProtection="0"/>
    <xf numFmtId="0" fontId="130" fillId="0" borderId="78" applyFont="0" applyBorder="0" applyAlignment="0">
      <alignment horizontal="center"/>
    </xf>
    <xf numFmtId="0" fontId="130" fillId="0" borderId="78" applyFont="0" applyBorder="0" applyAlignment="0">
      <alignment horizontal="center"/>
    </xf>
    <xf numFmtId="0" fontId="69" fillId="0" borderId="0"/>
    <xf numFmtId="0" fontId="69" fillId="0" borderId="0"/>
    <xf numFmtId="171" fontId="68" fillId="0" borderId="0" applyFont="0" applyFill="0" applyBorder="0" applyAlignment="0" applyProtection="0"/>
    <xf numFmtId="0" fontId="16" fillId="0" borderId="0"/>
    <xf numFmtId="0" fontId="16" fillId="0" borderId="0"/>
    <xf numFmtId="0" fontId="357" fillId="0" borderId="0">
      <alignment vertical="center"/>
    </xf>
    <xf numFmtId="0" fontId="69" fillId="0" borderId="0"/>
    <xf numFmtId="0" fontId="69" fillId="0" borderId="0"/>
    <xf numFmtId="167" fontId="358" fillId="0" borderId="0" applyFont="0" applyFill="0" applyBorder="0" applyAlignment="0" applyProtection="0"/>
    <xf numFmtId="169" fontId="358" fillId="0" borderId="0" applyFont="0" applyFill="0" applyBorder="0" applyAlignment="0" applyProtection="0"/>
    <xf numFmtId="0" fontId="358" fillId="0" borderId="0"/>
    <xf numFmtId="0" fontId="359" fillId="0" borderId="0" applyFont="0" applyFill="0" applyBorder="0" applyAlignment="0" applyProtection="0"/>
    <xf numFmtId="0" fontId="359" fillId="0" borderId="0" applyFont="0" applyFill="0" applyBorder="0" applyAlignment="0" applyProtection="0"/>
    <xf numFmtId="0" fontId="14" fillId="0" borderId="0">
      <alignment vertical="center"/>
    </xf>
    <xf numFmtId="40" fontId="360" fillId="0" borderId="0" applyFont="0" applyFill="0" applyBorder="0" applyAlignment="0" applyProtection="0"/>
    <xf numFmtId="38" fontId="360" fillId="0" borderId="0" applyFont="0" applyFill="0" applyBorder="0" applyAlignment="0" applyProtection="0"/>
    <xf numFmtId="0" fontId="360" fillId="0" borderId="0" applyFont="0" applyFill="0" applyBorder="0" applyAlignment="0" applyProtection="0"/>
    <xf numFmtId="0" fontId="360" fillId="0" borderId="0" applyFont="0" applyFill="0" applyBorder="0" applyAlignment="0" applyProtection="0"/>
    <xf numFmtId="9" fontId="361" fillId="0" borderId="0" applyBorder="0" applyAlignment="0" applyProtection="0"/>
    <xf numFmtId="0" fontId="362" fillId="0" borderId="0"/>
    <xf numFmtId="0" fontId="16" fillId="0" borderId="0"/>
    <xf numFmtId="0" fontId="69" fillId="0" borderId="0"/>
    <xf numFmtId="0" fontId="363" fillId="0" borderId="79"/>
    <xf numFmtId="0" fontId="363" fillId="0" borderId="79"/>
    <xf numFmtId="0" fontId="69" fillId="0" borderId="0"/>
    <xf numFmtId="0" fontId="69" fillId="0" borderId="0"/>
    <xf numFmtId="0" fontId="18" fillId="0" borderId="0"/>
    <xf numFmtId="0" fontId="18" fillId="0" borderId="0"/>
    <xf numFmtId="0" fontId="69" fillId="0" borderId="0"/>
    <xf numFmtId="0" fontId="69" fillId="0" borderId="0"/>
    <xf numFmtId="0" fontId="18" fillId="0" borderId="0"/>
    <xf numFmtId="0" fontId="18" fillId="0" borderId="0"/>
    <xf numFmtId="0" fontId="69" fillId="0" borderId="0"/>
    <xf numFmtId="0" fontId="69" fillId="0" borderId="0"/>
    <xf numFmtId="0" fontId="18" fillId="0" borderId="0"/>
    <xf numFmtId="0" fontId="18" fillId="0" borderId="0"/>
    <xf numFmtId="0" fontId="69" fillId="0" borderId="0"/>
    <xf numFmtId="0" fontId="69" fillId="0" borderId="0"/>
    <xf numFmtId="0" fontId="18" fillId="0" borderId="0"/>
    <xf numFmtId="0" fontId="18" fillId="0" borderId="0"/>
    <xf numFmtId="0" fontId="69" fillId="0" borderId="0"/>
    <xf numFmtId="0" fontId="69" fillId="0" borderId="0"/>
    <xf numFmtId="0" fontId="18" fillId="0" borderId="0"/>
    <xf numFmtId="0" fontId="18" fillId="0" borderId="0"/>
    <xf numFmtId="0" fontId="69" fillId="0" borderId="0"/>
    <xf numFmtId="0" fontId="69" fillId="0" borderId="0"/>
    <xf numFmtId="0" fontId="18" fillId="0" borderId="0"/>
    <xf numFmtId="0" fontId="18" fillId="0" borderId="0"/>
    <xf numFmtId="0" fontId="69" fillId="0" borderId="0"/>
    <xf numFmtId="0" fontId="69" fillId="0" borderId="0"/>
    <xf numFmtId="0" fontId="18" fillId="0" borderId="0"/>
    <xf numFmtId="0" fontId="18" fillId="0" borderId="0"/>
    <xf numFmtId="0" fontId="69" fillId="0" borderId="0"/>
    <xf numFmtId="0" fontId="69" fillId="0" borderId="0"/>
    <xf numFmtId="0" fontId="18" fillId="0" borderId="0"/>
    <xf numFmtId="0" fontId="18" fillId="0" borderId="0"/>
    <xf numFmtId="0" fontId="69" fillId="0" borderId="0"/>
    <xf numFmtId="0" fontId="69" fillId="0" borderId="0"/>
    <xf numFmtId="0" fontId="277" fillId="0" borderId="0" applyFont="0" applyFill="0" applyBorder="0" applyAlignment="0" applyProtection="0"/>
    <xf numFmtId="0" fontId="277" fillId="0" borderId="0" applyFont="0" applyFill="0" applyBorder="0" applyAlignment="0" applyProtection="0"/>
    <xf numFmtId="191" fontId="16" fillId="0" borderId="0" applyFont="0" applyFill="0" applyBorder="0" applyAlignment="0" applyProtection="0"/>
    <xf numFmtId="240" fontId="16" fillId="0" borderId="0" applyFont="0" applyFill="0" applyBorder="0" applyAlignment="0" applyProtection="0"/>
    <xf numFmtId="0" fontId="277" fillId="0" borderId="0"/>
    <xf numFmtId="0" fontId="364" fillId="0" borderId="0"/>
    <xf numFmtId="0" fontId="258" fillId="0" borderId="0"/>
    <xf numFmtId="0" fontId="16" fillId="0" borderId="0"/>
    <xf numFmtId="0" fontId="16" fillId="0" borderId="0"/>
    <xf numFmtId="0" fontId="69" fillId="0" borderId="0"/>
    <xf numFmtId="171" fontId="279" fillId="0" borderId="0" applyFont="0" applyFill="0" applyBorder="0" applyAlignment="0" applyProtection="0"/>
    <xf numFmtId="172" fontId="279" fillId="0" borderId="0" applyFont="0" applyFill="0" applyBorder="0" applyAlignment="0" applyProtection="0"/>
    <xf numFmtId="0" fontId="16" fillId="0" borderId="0"/>
    <xf numFmtId="0" fontId="16" fillId="0" borderId="0"/>
    <xf numFmtId="0" fontId="365" fillId="0" borderId="0" applyNumberFormat="0" applyFill="0" applyBorder="0" applyAlignment="0" applyProtection="0">
      <alignment vertical="top"/>
      <protection locked="0"/>
    </xf>
    <xf numFmtId="0" fontId="69" fillId="0" borderId="0"/>
    <xf numFmtId="0" fontId="69" fillId="0" borderId="0"/>
    <xf numFmtId="0" fontId="16" fillId="0" borderId="0"/>
    <xf numFmtId="0" fontId="16" fillId="0" borderId="0"/>
    <xf numFmtId="0" fontId="16" fillId="0" borderId="0"/>
    <xf numFmtId="0" fontId="16" fillId="0" borderId="0"/>
    <xf numFmtId="0" fontId="16" fillId="0" borderId="0"/>
    <xf numFmtId="191" fontId="279" fillId="0" borderId="0" applyFont="0" applyFill="0" applyBorder="0" applyAlignment="0" applyProtection="0"/>
    <xf numFmtId="165" fontId="86" fillId="0" borderId="0" applyFont="0" applyFill="0" applyBorder="0" applyAlignment="0" applyProtection="0"/>
    <xf numFmtId="240" fontId="279" fillId="0" borderId="0" applyFont="0" applyFill="0" applyBorder="0" applyAlignment="0" applyProtection="0"/>
    <xf numFmtId="0" fontId="16" fillId="0" borderId="0"/>
    <xf numFmtId="0" fontId="16" fillId="0" borderId="0"/>
    <xf numFmtId="0" fontId="16" fillId="0" borderId="0"/>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69" fillId="0" borderId="0"/>
    <xf numFmtId="0" fontId="69" fillId="0" borderId="0"/>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69" fillId="0" borderId="0"/>
    <xf numFmtId="0" fontId="69" fillId="0" borderId="0"/>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366" fillId="0" borderId="0" applyNumberFormat="0" applyFill="0" applyBorder="0" applyAlignment="0" applyProtection="0">
      <alignment vertical="top"/>
      <protection locked="0"/>
    </xf>
    <xf numFmtId="0" fontId="367" fillId="0" borderId="0" applyNumberFormat="0" applyFill="0" applyBorder="0" applyAlignment="0" applyProtection="0">
      <alignment vertical="top"/>
      <protection locked="0"/>
    </xf>
    <xf numFmtId="0" fontId="16" fillId="0" borderId="0"/>
    <xf numFmtId="0" fontId="367" fillId="0" borderId="0" applyNumberFormat="0" applyFill="0" applyBorder="0" applyAlignment="0" applyProtection="0">
      <alignment vertical="top"/>
      <protection locked="0"/>
    </xf>
    <xf numFmtId="0" fontId="69" fillId="0" borderId="0"/>
    <xf numFmtId="0" fontId="69" fillId="0" borderId="0"/>
    <xf numFmtId="0" fontId="16" fillId="0" borderId="0"/>
    <xf numFmtId="0" fontId="367" fillId="0" borderId="0" applyNumberFormat="0" applyFill="0" applyBorder="0" applyAlignment="0" applyProtection="0">
      <alignment vertical="top"/>
      <protection locked="0"/>
    </xf>
    <xf numFmtId="0" fontId="69" fillId="0" borderId="0"/>
    <xf numFmtId="0" fontId="69" fillId="0" borderId="0"/>
    <xf numFmtId="0" fontId="16" fillId="0" borderId="0"/>
    <xf numFmtId="0" fontId="367" fillId="0" borderId="0" applyNumberFormat="0" applyFill="0" applyBorder="0" applyAlignment="0" applyProtection="0">
      <alignment vertical="top"/>
      <protection locked="0"/>
    </xf>
    <xf numFmtId="0" fontId="69" fillId="0" borderId="0"/>
    <xf numFmtId="0" fontId="69" fillId="0" borderId="0"/>
    <xf numFmtId="0" fontId="16" fillId="0" borderId="0"/>
    <xf numFmtId="0" fontId="367" fillId="0" borderId="0" applyNumberFormat="0" applyFill="0" applyBorder="0" applyAlignment="0" applyProtection="0">
      <alignment vertical="top"/>
      <protection locked="0"/>
    </xf>
    <xf numFmtId="0" fontId="69" fillId="0" borderId="0"/>
    <xf numFmtId="0" fontId="69" fillId="0" borderId="0"/>
    <xf numFmtId="0" fontId="16" fillId="0" borderId="0"/>
    <xf numFmtId="0" fontId="367" fillId="0" borderId="0" applyNumberFormat="0" applyFill="0" applyBorder="0" applyAlignment="0" applyProtection="0">
      <alignment vertical="top"/>
      <protection locked="0"/>
    </xf>
    <xf numFmtId="0" fontId="69" fillId="0" borderId="0"/>
    <xf numFmtId="0" fontId="69" fillId="0" borderId="0"/>
    <xf numFmtId="0" fontId="16" fillId="0" borderId="0"/>
    <xf numFmtId="0" fontId="367" fillId="0" borderId="0" applyNumberFormat="0" applyFill="0" applyBorder="0" applyAlignment="0" applyProtection="0">
      <alignment vertical="top"/>
      <protection locked="0"/>
    </xf>
    <xf numFmtId="0" fontId="69" fillId="0" borderId="0"/>
    <xf numFmtId="0" fontId="69" fillId="0" borderId="0"/>
    <xf numFmtId="0" fontId="16" fillId="0" borderId="0"/>
    <xf numFmtId="0" fontId="367" fillId="0" borderId="0" applyNumberFormat="0" applyFill="0" applyBorder="0" applyAlignment="0" applyProtection="0">
      <alignment vertical="top"/>
      <protection locked="0"/>
    </xf>
    <xf numFmtId="0" fontId="69" fillId="0" borderId="0"/>
    <xf numFmtId="0" fontId="69" fillId="0" borderId="0"/>
    <xf numFmtId="0" fontId="16" fillId="0" borderId="0"/>
    <xf numFmtId="0" fontId="16" fillId="0" borderId="0"/>
    <xf numFmtId="0" fontId="16" fillId="0" borderId="0"/>
    <xf numFmtId="0" fontId="368" fillId="0" borderId="0" applyNumberFormat="0" applyFill="0" applyBorder="0" applyAlignment="0" applyProtection="0">
      <alignment vertical="top"/>
      <protection locked="0"/>
    </xf>
    <xf numFmtId="0" fontId="69" fillId="0" borderId="0"/>
    <xf numFmtId="0" fontId="69" fillId="0" borderId="0"/>
    <xf numFmtId="0" fontId="16" fillId="0" borderId="0"/>
    <xf numFmtId="0" fontId="368" fillId="0" borderId="0" applyNumberFormat="0" applyFill="0" applyBorder="0" applyAlignment="0" applyProtection="0">
      <alignment vertical="top"/>
      <protection locked="0"/>
    </xf>
    <xf numFmtId="0" fontId="69" fillId="0" borderId="0"/>
    <xf numFmtId="0" fontId="69" fillId="0" borderId="0"/>
    <xf numFmtId="0" fontId="16" fillId="0" borderId="0"/>
    <xf numFmtId="0" fontId="368" fillId="0" borderId="0" applyNumberFormat="0" applyFill="0" applyBorder="0" applyAlignment="0" applyProtection="0">
      <alignment vertical="top"/>
      <protection locked="0"/>
    </xf>
    <xf numFmtId="0" fontId="69" fillId="0" borderId="0"/>
    <xf numFmtId="0" fontId="69" fillId="0" borderId="0"/>
    <xf numFmtId="0" fontId="16" fillId="0" borderId="0"/>
    <xf numFmtId="0" fontId="368" fillId="0" borderId="0" applyNumberFormat="0" applyFill="0" applyBorder="0" applyAlignment="0" applyProtection="0">
      <alignment vertical="top"/>
      <protection locked="0"/>
    </xf>
    <xf numFmtId="0" fontId="69" fillId="0" borderId="0"/>
    <xf numFmtId="0" fontId="69" fillId="0" borderId="0"/>
    <xf numFmtId="0" fontId="16" fillId="0" borderId="0"/>
    <xf numFmtId="0" fontId="368" fillId="0" borderId="0" applyNumberFormat="0" applyFill="0" applyBorder="0" applyAlignment="0" applyProtection="0">
      <alignment vertical="top"/>
      <protection locked="0"/>
    </xf>
    <xf numFmtId="0" fontId="69" fillId="0" borderId="0"/>
    <xf numFmtId="0" fontId="69" fillId="0" borderId="0"/>
    <xf numFmtId="0" fontId="16" fillId="0" borderId="0"/>
    <xf numFmtId="0" fontId="368" fillId="0" borderId="0" applyNumberFormat="0" applyFill="0" applyBorder="0" applyAlignment="0" applyProtection="0">
      <alignment vertical="top"/>
      <protection locked="0"/>
    </xf>
    <xf numFmtId="0" fontId="69" fillId="0" borderId="0"/>
    <xf numFmtId="0" fontId="69" fillId="0" borderId="0"/>
    <xf numFmtId="0" fontId="369" fillId="0" borderId="0"/>
    <xf numFmtId="170" fontId="1" fillId="0" borderId="0" applyFont="0" applyFill="0" applyBorder="0" applyAlignment="0" applyProtection="0"/>
    <xf numFmtId="0" fontId="16" fillId="0" borderId="0"/>
    <xf numFmtId="0" fontId="16" fillId="0" borderId="0"/>
    <xf numFmtId="0" fontId="14" fillId="0" borderId="0"/>
    <xf numFmtId="0" fontId="13" fillId="0" borderId="0"/>
    <xf numFmtId="43" fontId="1" fillId="0" borderId="0" applyFont="0" applyFill="0" applyBorder="0" applyAlignment="0" applyProtection="0"/>
    <xf numFmtId="0" fontId="1" fillId="0" borderId="0"/>
    <xf numFmtId="172" fontId="1" fillId="0" borderId="0" applyFont="0" applyFill="0" applyBorder="0" applyAlignment="0" applyProtection="0"/>
    <xf numFmtId="170" fontId="1" fillId="0" borderId="0" applyFont="0" applyFill="0" applyBorder="0" applyAlignment="0" applyProtection="0"/>
    <xf numFmtId="0" fontId="380" fillId="0" borderId="0"/>
    <xf numFmtId="350" fontId="13" fillId="0" borderId="0" applyFont="0" applyFill="0" applyBorder="0" applyAlignment="0" applyProtection="0"/>
  </cellStyleXfs>
  <cellXfs count="1965">
    <xf numFmtId="0" fontId="0" fillId="0" borderId="0" xfId="0"/>
    <xf numFmtId="0" fontId="2" fillId="0" borderId="0" xfId="0" applyFont="1" applyAlignment="1">
      <alignment vertical="center" wrapText="1"/>
    </xf>
    <xf numFmtId="0" fontId="2" fillId="0" borderId="0" xfId="0" applyFont="1" applyAlignment="1">
      <alignment wrapText="1"/>
    </xf>
    <xf numFmtId="2" fontId="2" fillId="0" borderId="4" xfId="0" applyNumberFormat="1" applyFont="1" applyBorder="1" applyAlignment="1">
      <alignment horizontal="left" vertical="center" wrapText="1"/>
    </xf>
    <xf numFmtId="49" fontId="2" fillId="0" borderId="2" xfId="0" quotePrefix="1" applyNumberFormat="1" applyFont="1" applyBorder="1" applyAlignment="1">
      <alignment horizontal="center" vertical="center" wrapText="1"/>
    </xf>
    <xf numFmtId="2" fontId="6" fillId="0" borderId="4" xfId="0" quotePrefix="1" applyNumberFormat="1" applyFont="1" applyBorder="1" applyAlignment="1">
      <alignment horizontal="center" vertical="center" wrapText="1"/>
    </xf>
    <xf numFmtId="3" fontId="6" fillId="0" borderId="4" xfId="0" quotePrefix="1" applyNumberFormat="1" applyFont="1" applyBorder="1" applyAlignment="1">
      <alignment horizontal="right" vertical="center" wrapText="1"/>
    </xf>
    <xf numFmtId="0" fontId="5" fillId="0" borderId="0" xfId="0" applyFont="1" applyAlignment="1">
      <alignment vertical="center" wrapText="1"/>
    </xf>
    <xf numFmtId="0" fontId="5" fillId="0" borderId="0" xfId="0" applyFont="1" applyAlignment="1">
      <alignment wrapText="1"/>
    </xf>
    <xf numFmtId="49" fontId="2" fillId="0" borderId="4" xfId="0" applyNumberFormat="1" applyFont="1" applyBorder="1" applyAlignment="1">
      <alignment horizontal="center" vertical="center" wrapText="1"/>
    </xf>
    <xf numFmtId="3" fontId="5" fillId="0" borderId="4" xfId="1" quotePrefix="1" applyNumberFormat="1" applyFont="1" applyFill="1" applyBorder="1" applyAlignment="1">
      <alignment horizontal="right" vertical="center" wrapText="1"/>
    </xf>
    <xf numFmtId="3" fontId="7" fillId="0" borderId="4" xfId="3" applyNumberFormat="1" applyFont="1" applyBorder="1" applyAlignment="1">
      <alignment horizontal="right" vertical="center" wrapText="1"/>
    </xf>
    <xf numFmtId="49" fontId="5" fillId="0" borderId="4" xfId="0" applyNumberFormat="1" applyFont="1" applyBorder="1" applyAlignment="1">
      <alignment horizontal="left" vertical="center" wrapText="1"/>
    </xf>
    <xf numFmtId="49" fontId="5" fillId="0" borderId="4" xfId="0" applyNumberFormat="1" applyFont="1" applyBorder="1" applyAlignment="1">
      <alignment horizontal="center" vertical="center" wrapText="1"/>
    </xf>
    <xf numFmtId="0" fontId="7" fillId="0" borderId="4" xfId="0" quotePrefix="1" applyFont="1" applyBorder="1" applyAlignment="1">
      <alignment horizontal="center" vertical="center" wrapText="1"/>
    </xf>
    <xf numFmtId="2" fontId="5" fillId="0" borderId="6" xfId="0" applyNumberFormat="1" applyFont="1" applyBorder="1" applyAlignment="1">
      <alignment horizontal="left" vertical="center" wrapText="1"/>
    </xf>
    <xf numFmtId="3" fontId="5" fillId="0" borderId="4" xfId="1" applyNumberFormat="1" applyFont="1" applyFill="1" applyBorder="1" applyAlignment="1">
      <alignment horizontal="right" vertical="center" wrapText="1"/>
    </xf>
    <xf numFmtId="3" fontId="5" fillId="0" borderId="4" xfId="1" applyNumberFormat="1" applyFont="1" applyFill="1" applyBorder="1" applyAlignment="1">
      <alignment horizontal="center" vertical="center" wrapText="1"/>
    </xf>
    <xf numFmtId="49" fontId="5" fillId="0" borderId="4" xfId="0" quotePrefix="1" applyNumberFormat="1" applyFont="1" applyBorder="1" applyAlignment="1">
      <alignment horizontal="center" vertical="center" wrapText="1"/>
    </xf>
    <xf numFmtId="2" fontId="5" fillId="0" borderId="4" xfId="0" applyNumberFormat="1" applyFont="1" applyBorder="1" applyAlignment="1">
      <alignment horizontal="left" vertical="center" wrapText="1"/>
    </xf>
    <xf numFmtId="3" fontId="5" fillId="0" borderId="4" xfId="0" applyNumberFormat="1" applyFont="1" applyBorder="1" applyAlignment="1">
      <alignment horizontal="right" vertical="center" wrapText="1"/>
    </xf>
    <xf numFmtId="3" fontId="7" fillId="0" borderId="4" xfId="0" applyNumberFormat="1" applyFont="1" applyBorder="1" applyAlignment="1">
      <alignment horizontal="right" vertical="center" wrapText="1"/>
    </xf>
    <xf numFmtId="49" fontId="5" fillId="0" borderId="2" xfId="0" quotePrefix="1" applyNumberFormat="1" applyFont="1" applyBorder="1" applyAlignment="1">
      <alignment horizontal="center" vertical="center" wrapText="1"/>
    </xf>
    <xf numFmtId="3" fontId="7" fillId="0" borderId="4" xfId="0" quotePrefix="1" applyNumberFormat="1" applyFont="1" applyBorder="1" applyAlignment="1">
      <alignment horizontal="right" vertical="center" wrapText="1"/>
    </xf>
    <xf numFmtId="3" fontId="7" fillId="0" borderId="4" xfId="0" applyNumberFormat="1" applyFont="1" applyBorder="1" applyAlignment="1">
      <alignment vertical="center" wrapText="1"/>
    </xf>
    <xf numFmtId="3" fontId="5" fillId="0" borderId="4" xfId="0" applyNumberFormat="1" applyFont="1" applyBorder="1" applyAlignment="1">
      <alignment vertical="center" wrapText="1"/>
    </xf>
    <xf numFmtId="49" fontId="7" fillId="0" borderId="4" xfId="0" applyNumberFormat="1" applyFont="1" applyBorder="1" applyAlignment="1">
      <alignment horizontal="center" vertical="center" wrapText="1"/>
    </xf>
    <xf numFmtId="2" fontId="7" fillId="0" borderId="4" xfId="0" applyNumberFormat="1" applyFont="1" applyBorder="1" applyAlignment="1">
      <alignment horizontal="left" vertical="center" wrapText="1"/>
    </xf>
    <xf numFmtId="1" fontId="5" fillId="0" borderId="4" xfId="0" applyNumberFormat="1" applyFont="1" applyBorder="1" applyAlignment="1">
      <alignment horizontal="center" vertical="center" wrapText="1"/>
    </xf>
    <xf numFmtId="2" fontId="7" fillId="0" borderId="4" xfId="0" quotePrefix="1" applyNumberFormat="1" applyFont="1" applyBorder="1" applyAlignment="1">
      <alignment horizontal="center" vertical="center" wrapText="1"/>
    </xf>
    <xf numFmtId="0" fontId="7" fillId="0" borderId="0" xfId="0" applyFont="1" applyAlignment="1">
      <alignment wrapText="1"/>
    </xf>
    <xf numFmtId="0" fontId="5" fillId="0" borderId="4" xfId="0" applyFont="1" applyBorder="1" applyAlignment="1">
      <alignment horizontal="left" vertical="center" wrapText="1"/>
    </xf>
    <xf numFmtId="0" fontId="5" fillId="0" borderId="4" xfId="0" applyFont="1" applyBorder="1" applyAlignment="1">
      <alignment horizontal="center" vertical="center" wrapText="1"/>
    </xf>
    <xf numFmtId="3" fontId="5" fillId="0" borderId="4" xfId="0" applyNumberFormat="1" applyFont="1" applyBorder="1" applyAlignment="1">
      <alignment horizontal="left" vertical="center" wrapText="1"/>
    </xf>
    <xf numFmtId="3" fontId="7" fillId="0" borderId="4" xfId="0" applyNumberFormat="1" applyFont="1" applyBorder="1" applyAlignment="1">
      <alignment horizontal="center" vertical="center" wrapText="1"/>
    </xf>
    <xf numFmtId="0" fontId="9" fillId="0" borderId="0" xfId="0" applyFont="1" applyAlignment="1">
      <alignment wrapText="1"/>
    </xf>
    <xf numFmtId="3" fontId="7" fillId="0" borderId="4" xfId="0" quotePrefix="1" applyNumberFormat="1" applyFont="1" applyBorder="1" applyAlignment="1">
      <alignment horizontal="center" vertical="center" wrapText="1"/>
    </xf>
    <xf numFmtId="173" fontId="5" fillId="0" borderId="4" xfId="0" applyNumberFormat="1" applyFont="1" applyBorder="1" applyAlignment="1">
      <alignment horizontal="center" vertical="center" wrapText="1"/>
    </xf>
    <xf numFmtId="0" fontId="10" fillId="0" borderId="0" xfId="0" applyFont="1" applyAlignment="1">
      <alignment horizontal="left" vertical="center" wrapText="1"/>
    </xf>
    <xf numFmtId="2" fontId="7" fillId="0" borderId="4" xfId="0" quotePrefix="1" applyNumberFormat="1" applyFont="1" applyBorder="1" applyAlignment="1">
      <alignment horizontal="left" vertical="center" wrapText="1"/>
    </xf>
    <xf numFmtId="49" fontId="7" fillId="0" borderId="4" xfId="0" quotePrefix="1" applyNumberFormat="1" applyFont="1" applyBorder="1" applyAlignment="1">
      <alignment horizontal="center" vertical="center" wrapText="1"/>
    </xf>
    <xf numFmtId="49" fontId="5" fillId="0" borderId="6" xfId="0" applyNumberFormat="1" applyFont="1" applyBorder="1" applyAlignment="1">
      <alignment horizontal="center" vertical="center" wrapText="1"/>
    </xf>
    <xf numFmtId="0" fontId="9" fillId="0" borderId="0" xfId="0" quotePrefix="1" applyFont="1" applyAlignment="1">
      <alignment vertical="center" wrapText="1"/>
    </xf>
    <xf numFmtId="0" fontId="9" fillId="0" borderId="0" xfId="0" applyFont="1" applyAlignment="1">
      <alignment vertical="center" wrapText="1"/>
    </xf>
    <xf numFmtId="3" fontId="5" fillId="0" borderId="4" xfId="0" quotePrefix="1" applyNumberFormat="1" applyFont="1" applyBorder="1" applyAlignment="1">
      <alignment horizontal="right" vertical="center" wrapText="1"/>
    </xf>
    <xf numFmtId="3" fontId="5" fillId="0" borderId="6" xfId="0" quotePrefix="1" applyNumberFormat="1" applyFont="1" applyBorder="1" applyAlignment="1">
      <alignment horizontal="right" vertical="center" wrapText="1"/>
    </xf>
    <xf numFmtId="0" fontId="7" fillId="0" borderId="4" xfId="0" applyFont="1" applyBorder="1" applyAlignment="1">
      <alignment horizontal="left" vertical="center" wrapText="1"/>
    </xf>
    <xf numFmtId="3" fontId="5" fillId="0" borderId="6" xfId="0" applyNumberFormat="1" applyFont="1" applyBorder="1" applyAlignment="1">
      <alignment vertical="center" wrapText="1"/>
    </xf>
    <xf numFmtId="0" fontId="4" fillId="0" borderId="0" xfId="0" applyFont="1" applyAlignment="1">
      <alignment horizontal="center" vertical="center" wrapText="1"/>
    </xf>
    <xf numFmtId="0" fontId="5" fillId="0" borderId="0" xfId="0" applyFont="1" applyAlignment="1">
      <alignment horizontal="center" wrapText="1"/>
    </xf>
    <xf numFmtId="0" fontId="5" fillId="0" borderId="0" xfId="0" applyFont="1" applyAlignment="1">
      <alignment horizontal="center" vertical="center" wrapText="1"/>
    </xf>
    <xf numFmtId="3" fontId="2" fillId="0" borderId="4" xfId="0" applyNumberFormat="1" applyFont="1" applyBorder="1" applyAlignment="1">
      <alignment vertical="center" wrapText="1"/>
    </xf>
    <xf numFmtId="0" fontId="5" fillId="0" borderId="4" xfId="0" quotePrefix="1" applyFont="1" applyBorder="1" applyAlignment="1">
      <alignment horizontal="center" vertical="center" wrapText="1"/>
    </xf>
    <xf numFmtId="173" fontId="5" fillId="0" borderId="4" xfId="0" quotePrefix="1" applyNumberFormat="1" applyFont="1" applyBorder="1" applyAlignment="1">
      <alignment horizontal="center" vertical="center" wrapText="1"/>
    </xf>
    <xf numFmtId="49" fontId="7" fillId="0" borderId="4" xfId="0" quotePrefix="1" applyNumberFormat="1" applyFont="1" applyBorder="1" applyAlignment="1">
      <alignment horizontal="left" vertical="center" wrapText="1"/>
    </xf>
    <xf numFmtId="49" fontId="7" fillId="0" borderId="4" xfId="0" applyNumberFormat="1" applyFont="1" applyBorder="1" applyAlignment="1">
      <alignment horizontal="left" vertical="center" wrapText="1"/>
    </xf>
    <xf numFmtId="3" fontId="5" fillId="0" borderId="4" xfId="0" quotePrefix="1" applyNumberFormat="1" applyFont="1" applyBorder="1" applyAlignment="1">
      <alignment horizontal="center" vertical="center" wrapText="1"/>
    </xf>
    <xf numFmtId="0" fontId="9" fillId="0" borderId="0" xfId="0" quotePrefix="1" applyFont="1" applyAlignment="1">
      <alignment horizontal="center" vertical="center" wrapText="1"/>
    </xf>
    <xf numFmtId="49" fontId="5" fillId="0" borderId="0" xfId="0" applyNumberFormat="1" applyFont="1" applyAlignment="1">
      <alignment wrapText="1"/>
    </xf>
    <xf numFmtId="49" fontId="5" fillId="0" borderId="0" xfId="0" applyNumberFormat="1" applyFont="1" applyAlignment="1">
      <alignment horizontal="center" wrapText="1"/>
    </xf>
    <xf numFmtId="3" fontId="5" fillId="0" borderId="6" xfId="0" quotePrefix="1" applyNumberFormat="1" applyFont="1" applyBorder="1" applyAlignment="1">
      <alignment horizontal="center" vertical="center" wrapText="1"/>
    </xf>
    <xf numFmtId="2" fontId="5" fillId="0" borderId="7" xfId="0" applyNumberFormat="1" applyFont="1" applyBorder="1" applyAlignment="1">
      <alignment horizontal="left" vertical="center" wrapText="1"/>
    </xf>
    <xf numFmtId="1" fontId="5" fillId="0" borderId="7" xfId="0" applyNumberFormat="1" applyFont="1" applyBorder="1" applyAlignment="1">
      <alignment horizontal="center" vertical="center" wrapText="1"/>
    </xf>
    <xf numFmtId="3" fontId="5" fillId="0" borderId="7" xfId="0" applyNumberFormat="1" applyFont="1" applyBorder="1" applyAlignment="1">
      <alignment horizontal="center" vertical="center" wrapText="1"/>
    </xf>
    <xf numFmtId="3" fontId="5" fillId="0" borderId="7" xfId="0" applyNumberFormat="1" applyFont="1" applyBorder="1" applyAlignment="1">
      <alignment horizontal="right" vertical="center" wrapTex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5" fillId="0" borderId="6" xfId="0" applyFont="1" applyBorder="1" applyAlignment="1">
      <alignment horizontal="left" vertical="center" wrapText="1"/>
    </xf>
    <xf numFmtId="3" fontId="2" fillId="0" borderId="0" xfId="0" applyNumberFormat="1" applyFont="1" applyAlignment="1">
      <alignment wrapText="1"/>
    </xf>
    <xf numFmtId="49" fontId="2" fillId="0" borderId="0" xfId="0" applyNumberFormat="1" applyFont="1" applyAlignment="1">
      <alignment horizontal="center" vertical="center" wrapText="1"/>
    </xf>
    <xf numFmtId="2" fontId="2" fillId="0" borderId="0" xfId="0" applyNumberFormat="1" applyFont="1" applyAlignment="1">
      <alignment horizontal="left" vertical="center" wrapText="1"/>
    </xf>
    <xf numFmtId="3" fontId="2" fillId="0" borderId="0" xfId="0" applyNumberFormat="1" applyFont="1" applyAlignment="1">
      <alignment vertical="center" wrapText="1"/>
    </xf>
    <xf numFmtId="49" fontId="6" fillId="0" borderId="0" xfId="0" applyNumberFormat="1" applyFont="1" applyAlignment="1">
      <alignment horizontal="left" vertical="center"/>
    </xf>
    <xf numFmtId="3" fontId="2" fillId="0" borderId="4" xfId="0" applyNumberFormat="1" applyFont="1" applyBorder="1" applyAlignment="1">
      <alignment horizontal="right" vertical="center" wrapText="1"/>
    </xf>
    <xf numFmtId="2" fontId="5" fillId="0" borderId="4" xfId="0" applyNumberFormat="1" applyFont="1" applyBorder="1" applyAlignment="1">
      <alignment horizontal="center" vertical="center" wrapText="1"/>
    </xf>
    <xf numFmtId="3" fontId="5" fillId="0" borderId="0" xfId="0" applyNumberFormat="1" applyFont="1" applyAlignment="1">
      <alignment wrapText="1"/>
    </xf>
    <xf numFmtId="173" fontId="7" fillId="0" borderId="4" xfId="0" quotePrefix="1" applyNumberFormat="1" applyFont="1" applyBorder="1" applyAlignment="1">
      <alignment horizontal="center" vertical="center" wrapText="1"/>
    </xf>
    <xf numFmtId="0" fontId="5" fillId="0" borderId="6" xfId="0" applyFont="1" applyBorder="1" applyAlignment="1">
      <alignment horizontal="center" vertical="center" wrapText="1"/>
    </xf>
    <xf numFmtId="3" fontId="5" fillId="0" borderId="4" xfId="9" quotePrefix="1" applyNumberFormat="1" applyFont="1" applyFill="1" applyBorder="1" applyAlignment="1">
      <alignment horizontal="right" vertical="center" wrapText="1"/>
    </xf>
    <xf numFmtId="3" fontId="7" fillId="0" borderId="0" xfId="0" applyNumberFormat="1" applyFont="1" applyAlignment="1">
      <alignment vertical="center" wrapText="1"/>
    </xf>
    <xf numFmtId="0" fontId="7" fillId="0" borderId="0" xfId="0" applyFont="1" applyAlignment="1">
      <alignment vertical="center"/>
    </xf>
    <xf numFmtId="3" fontId="7" fillId="0" borderId="0" xfId="0" applyNumberFormat="1" applyFont="1" applyAlignment="1">
      <alignment vertical="center"/>
    </xf>
    <xf numFmtId="3" fontId="9" fillId="0" borderId="0" xfId="0" applyNumberFormat="1" applyFont="1" applyAlignment="1">
      <alignment wrapText="1"/>
    </xf>
    <xf numFmtId="2" fontId="5" fillId="0" borderId="0" xfId="0" applyNumberFormat="1" applyFont="1" applyAlignment="1">
      <alignment wrapText="1"/>
    </xf>
    <xf numFmtId="0" fontId="15" fillId="0" borderId="0" xfId="0" applyFont="1" applyAlignment="1">
      <alignment horizontal="left" vertical="center" wrapText="1"/>
    </xf>
    <xf numFmtId="10" fontId="2" fillId="0" borderId="0" xfId="0" applyNumberFormat="1" applyFont="1" applyAlignment="1">
      <alignment wrapText="1"/>
    </xf>
    <xf numFmtId="0" fontId="9" fillId="0" borderId="0" xfId="0" applyFont="1" applyAlignment="1">
      <alignment horizontal="left" vertical="center" wrapText="1"/>
    </xf>
    <xf numFmtId="2" fontId="5" fillId="0" borderId="4" xfId="0" quotePrefix="1" applyNumberFormat="1" applyFont="1" applyBorder="1" applyAlignment="1">
      <alignment horizontal="center" vertical="center" wrapText="1"/>
    </xf>
    <xf numFmtId="2" fontId="5" fillId="0" borderId="10" xfId="0" applyNumberFormat="1" applyFont="1" applyBorder="1" applyAlignment="1">
      <alignment horizontal="center" vertical="center" wrapText="1"/>
    </xf>
    <xf numFmtId="3" fontId="5" fillId="0" borderId="4" xfId="13" applyNumberFormat="1" applyFont="1" applyFill="1" applyBorder="1" applyAlignment="1">
      <alignment horizontal="right" vertical="center" wrapText="1"/>
    </xf>
    <xf numFmtId="3" fontId="5" fillId="0" borderId="0" xfId="0" applyNumberFormat="1" applyFont="1" applyAlignment="1">
      <alignment vertical="center" wrapText="1"/>
    </xf>
    <xf numFmtId="0" fontId="7" fillId="0" borderId="0" xfId="0" applyFont="1" applyAlignment="1">
      <alignment vertical="center" wrapText="1"/>
    </xf>
    <xf numFmtId="3" fontId="7" fillId="0" borderId="6" xfId="0" applyNumberFormat="1" applyFont="1" applyBorder="1" applyAlignment="1">
      <alignment vertical="center" wrapText="1"/>
    </xf>
    <xf numFmtId="168" fontId="7" fillId="0" borderId="4" xfId="0" applyNumberFormat="1" applyFont="1" applyBorder="1" applyAlignment="1">
      <alignment horizontal="center" vertical="center" wrapText="1"/>
    </xf>
    <xf numFmtId="168" fontId="7" fillId="0" borderId="4" xfId="0" quotePrefix="1" applyNumberFormat="1" applyFont="1" applyBorder="1" applyAlignment="1">
      <alignment horizontal="left" vertical="center" wrapText="1"/>
    </xf>
    <xf numFmtId="168" fontId="5" fillId="0" borderId="4" xfId="0" applyNumberFormat="1" applyFont="1" applyBorder="1" applyAlignment="1">
      <alignment horizontal="center" vertical="center" wrapText="1"/>
    </xf>
    <xf numFmtId="168" fontId="5" fillId="0" borderId="4" xfId="0" applyNumberFormat="1" applyFont="1" applyBorder="1" applyAlignment="1">
      <alignment horizontal="left" vertical="center" wrapText="1"/>
    </xf>
    <xf numFmtId="49" fontId="5" fillId="3" borderId="2" xfId="0" quotePrefix="1" applyNumberFormat="1" applyFont="1" applyFill="1" applyBorder="1" applyAlignment="1">
      <alignment horizontal="center" vertical="center" wrapText="1"/>
    </xf>
    <xf numFmtId="3" fontId="7" fillId="3" borderId="4" xfId="0" quotePrefix="1" applyNumberFormat="1" applyFont="1" applyFill="1" applyBorder="1" applyAlignment="1">
      <alignment horizontal="right" vertical="center" wrapText="1"/>
    </xf>
    <xf numFmtId="0" fontId="5" fillId="3" borderId="0" xfId="0" applyFont="1" applyFill="1" applyAlignment="1">
      <alignment wrapText="1"/>
    </xf>
    <xf numFmtId="3" fontId="7" fillId="3" borderId="4" xfId="0" applyNumberFormat="1" applyFont="1" applyFill="1" applyBorder="1" applyAlignment="1">
      <alignment horizontal="right" vertical="center" wrapText="1"/>
    </xf>
    <xf numFmtId="49" fontId="24" fillId="0" borderId="0" xfId="0" applyNumberFormat="1" applyFont="1" applyAlignment="1">
      <alignment vertical="center" wrapText="1"/>
    </xf>
    <xf numFmtId="0" fontId="24" fillId="0" borderId="0" xfId="0" applyFont="1" applyAlignment="1">
      <alignment wrapText="1"/>
    </xf>
    <xf numFmtId="0" fontId="9" fillId="0" borderId="1" xfId="0" applyFont="1" applyBorder="1" applyAlignment="1">
      <alignment horizontal="right" vertical="center" wrapText="1"/>
    </xf>
    <xf numFmtId="0" fontId="7" fillId="3" borderId="1" xfId="0" applyFont="1" applyFill="1" applyBorder="1" applyAlignment="1">
      <alignment horizontal="center" vertical="center" wrapText="1"/>
    </xf>
    <xf numFmtId="168" fontId="5" fillId="0" borderId="0" xfId="0" applyNumberFormat="1" applyFont="1" applyAlignment="1">
      <alignment wrapText="1"/>
    </xf>
    <xf numFmtId="168" fontId="7" fillId="0" borderId="0" xfId="0" applyNumberFormat="1" applyFont="1" applyAlignment="1">
      <alignment wrapText="1"/>
    </xf>
    <xf numFmtId="3" fontId="5" fillId="2" borderId="0" xfId="0" applyNumberFormat="1" applyFont="1" applyFill="1" applyAlignment="1">
      <alignment wrapText="1"/>
    </xf>
    <xf numFmtId="49" fontId="7" fillId="4" borderId="4" xfId="0" applyNumberFormat="1" applyFont="1" applyFill="1" applyBorder="1" applyAlignment="1">
      <alignment horizontal="center" vertical="center" wrapText="1"/>
    </xf>
    <xf numFmtId="175" fontId="7" fillId="4" borderId="4" xfId="1" applyNumberFormat="1" applyFont="1" applyFill="1" applyBorder="1" applyAlignment="1">
      <alignment vertical="center" wrapText="1"/>
    </xf>
    <xf numFmtId="0" fontId="7" fillId="4" borderId="0" xfId="0" applyFont="1" applyFill="1" applyAlignment="1">
      <alignment wrapText="1"/>
    </xf>
    <xf numFmtId="0" fontId="5" fillId="4" borderId="0" xfId="0" applyFont="1" applyFill="1" applyAlignment="1">
      <alignment wrapText="1"/>
    </xf>
    <xf numFmtId="49" fontId="5" fillId="4" borderId="4" xfId="0" applyNumberFormat="1" applyFont="1" applyFill="1" applyBorder="1" applyAlignment="1">
      <alignment horizontal="center" vertical="center" wrapText="1"/>
    </xf>
    <xf numFmtId="2" fontId="5" fillId="4" borderId="4" xfId="0" applyNumberFormat="1" applyFont="1" applyFill="1" applyBorder="1" applyAlignment="1">
      <alignment horizontal="left" vertical="center" wrapText="1"/>
    </xf>
    <xf numFmtId="3" fontId="5" fillId="4" borderId="4" xfId="0" applyNumberFormat="1" applyFont="1" applyFill="1" applyBorder="1" applyAlignment="1">
      <alignment vertical="center" wrapText="1"/>
    </xf>
    <xf numFmtId="175" fontId="5" fillId="4" borderId="4" xfId="1" applyNumberFormat="1" applyFont="1" applyFill="1" applyBorder="1" applyAlignment="1">
      <alignment horizontal="center" vertical="center" wrapText="1"/>
    </xf>
    <xf numFmtId="175" fontId="5" fillId="4" borderId="4" xfId="1" applyNumberFormat="1" applyFont="1" applyFill="1" applyBorder="1" applyAlignment="1">
      <alignment vertical="center" wrapText="1"/>
    </xf>
    <xf numFmtId="175" fontId="5" fillId="4" borderId="0" xfId="1" applyNumberFormat="1" applyFont="1" applyFill="1" applyAlignment="1">
      <alignment wrapText="1"/>
    </xf>
    <xf numFmtId="2" fontId="9" fillId="4" borderId="4" xfId="0" applyNumberFormat="1" applyFont="1" applyFill="1" applyBorder="1" applyAlignment="1">
      <alignment horizontal="left" vertical="center" wrapText="1"/>
    </xf>
    <xf numFmtId="49" fontId="9" fillId="4" borderId="4" xfId="0" applyNumberFormat="1" applyFont="1" applyFill="1" applyBorder="1" applyAlignment="1">
      <alignment horizontal="center" vertical="center" wrapText="1"/>
    </xf>
    <xf numFmtId="3" fontId="29" fillId="4" borderId="4" xfId="0" applyNumberFormat="1" applyFont="1" applyFill="1" applyBorder="1" applyAlignment="1">
      <alignment horizontal="center" vertical="center" wrapText="1"/>
    </xf>
    <xf numFmtId="0" fontId="9" fillId="4" borderId="0" xfId="0" applyFont="1" applyFill="1" applyAlignment="1">
      <alignment wrapText="1"/>
    </xf>
    <xf numFmtId="49" fontId="5" fillId="4" borderId="4" xfId="0" quotePrefix="1" applyNumberFormat="1" applyFont="1" applyFill="1" applyBorder="1" applyAlignment="1">
      <alignment horizontal="center" vertical="center" wrapText="1"/>
    </xf>
    <xf numFmtId="170" fontId="5" fillId="4" borderId="4" xfId="1" applyFont="1" applyFill="1" applyBorder="1" applyAlignment="1">
      <alignment vertical="center" wrapText="1"/>
    </xf>
    <xf numFmtId="49" fontId="7" fillId="4" borderId="4" xfId="0" quotePrefix="1" applyNumberFormat="1" applyFont="1" applyFill="1" applyBorder="1" applyAlignment="1">
      <alignment horizontal="center" vertical="center" wrapText="1"/>
    </xf>
    <xf numFmtId="49" fontId="9" fillId="0" borderId="4" xfId="0" applyNumberFormat="1" applyFont="1" applyBorder="1" applyAlignment="1">
      <alignment horizontal="center" vertical="center" wrapText="1"/>
    </xf>
    <xf numFmtId="3" fontId="29" fillId="0" borderId="4" xfId="0" applyNumberFormat="1" applyFont="1" applyBorder="1" applyAlignment="1">
      <alignment horizontal="center" vertical="center" wrapText="1"/>
    </xf>
    <xf numFmtId="3" fontId="20" fillId="0" borderId="4" xfId="0" applyNumberFormat="1" applyFont="1" applyBorder="1" applyAlignment="1">
      <alignment horizontal="center" vertical="center" wrapText="1"/>
    </xf>
    <xf numFmtId="0" fontId="29" fillId="0" borderId="4" xfId="0" applyFont="1" applyBorder="1" applyAlignment="1">
      <alignment vertical="center" wrapText="1"/>
    </xf>
    <xf numFmtId="3" fontId="5" fillId="4" borderId="4" xfId="0" applyNumberFormat="1" applyFont="1" applyFill="1" applyBorder="1" applyAlignment="1">
      <alignment horizontal="center" vertical="center" wrapText="1"/>
    </xf>
    <xf numFmtId="3" fontId="9" fillId="4" borderId="4" xfId="0" applyNumberFormat="1" applyFont="1" applyFill="1" applyBorder="1" applyAlignment="1">
      <alignment vertical="center" wrapText="1"/>
    </xf>
    <xf numFmtId="3" fontId="20" fillId="4" borderId="4" xfId="0" applyNumberFormat="1" applyFont="1" applyFill="1" applyBorder="1" applyAlignment="1">
      <alignment horizontal="center" vertical="center" wrapText="1"/>
    </xf>
    <xf numFmtId="1" fontId="5" fillId="4" borderId="4" xfId="0" applyNumberFormat="1" applyFont="1" applyFill="1" applyBorder="1" applyAlignment="1">
      <alignment vertical="center" wrapText="1"/>
    </xf>
    <xf numFmtId="1" fontId="5" fillId="4" borderId="4" xfId="0" applyNumberFormat="1" applyFont="1" applyFill="1" applyBorder="1" applyAlignment="1">
      <alignment horizontal="right" vertical="center" wrapText="1"/>
    </xf>
    <xf numFmtId="3" fontId="9" fillId="4" borderId="4" xfId="0" applyNumberFormat="1" applyFont="1" applyFill="1" applyBorder="1" applyAlignment="1">
      <alignment horizontal="center" vertical="center" wrapText="1"/>
    </xf>
    <xf numFmtId="0" fontId="5" fillId="4" borderId="4" xfId="0" applyFont="1" applyFill="1" applyBorder="1" applyAlignment="1">
      <alignment horizontal="center" wrapText="1"/>
    </xf>
    <xf numFmtId="0" fontId="9" fillId="4" borderId="4" xfId="0" applyFont="1" applyFill="1" applyBorder="1" applyAlignment="1">
      <alignment horizontal="center" wrapText="1"/>
    </xf>
    <xf numFmtId="168" fontId="5" fillId="4" borderId="4" xfId="0" applyNumberFormat="1" applyFont="1" applyFill="1" applyBorder="1" applyAlignment="1">
      <alignment horizontal="right" vertical="center" wrapText="1"/>
    </xf>
    <xf numFmtId="175" fontId="5" fillId="0" borderId="4" xfId="1" applyNumberFormat="1" applyFont="1" applyFill="1" applyBorder="1" applyAlignment="1">
      <alignment horizontal="center" vertical="center" wrapText="1"/>
    </xf>
    <xf numFmtId="3" fontId="7" fillId="4" borderId="4" xfId="0" applyNumberFormat="1" applyFont="1" applyFill="1" applyBorder="1" applyAlignment="1">
      <alignment horizontal="right" vertical="center" wrapText="1"/>
    </xf>
    <xf numFmtId="168" fontId="5" fillId="2" borderId="0" xfId="0" applyNumberFormat="1" applyFont="1" applyFill="1" applyAlignment="1">
      <alignment wrapText="1"/>
    </xf>
    <xf numFmtId="168" fontId="5" fillId="4" borderId="0" xfId="0" applyNumberFormat="1" applyFont="1" applyFill="1" applyAlignment="1">
      <alignment wrapText="1"/>
    </xf>
    <xf numFmtId="168" fontId="7" fillId="4" borderId="0" xfId="0" applyNumberFormat="1" applyFont="1" applyFill="1" applyAlignment="1">
      <alignment wrapText="1"/>
    </xf>
    <xf numFmtId="168" fontId="9" fillId="4" borderId="0" xfId="0" applyNumberFormat="1" applyFont="1" applyFill="1" applyAlignment="1">
      <alignment wrapText="1"/>
    </xf>
    <xf numFmtId="181" fontId="5" fillId="0" borderId="4" xfId="0" applyNumberFormat="1" applyFont="1" applyBorder="1" applyAlignment="1">
      <alignment horizontal="right" vertical="center" wrapText="1"/>
    </xf>
    <xf numFmtId="181" fontId="34" fillId="0" borderId="4" xfId="0" applyNumberFormat="1" applyFont="1" applyBorder="1" applyAlignment="1">
      <alignment horizontal="right" vertical="center" wrapText="1"/>
    </xf>
    <xf numFmtId="2" fontId="5" fillId="4" borderId="4" xfId="0" quotePrefix="1" applyNumberFormat="1" applyFont="1" applyFill="1" applyBorder="1" applyAlignment="1">
      <alignment horizontal="left" vertical="center" wrapText="1"/>
    </xf>
    <xf numFmtId="168" fontId="5" fillId="4" borderId="4" xfId="0" applyNumberFormat="1" applyFont="1" applyFill="1" applyBorder="1" applyAlignment="1">
      <alignment horizontal="left" vertical="center" wrapText="1"/>
    </xf>
    <xf numFmtId="49" fontId="5" fillId="4" borderId="4" xfId="0" applyNumberFormat="1" applyFont="1" applyFill="1" applyBorder="1" applyAlignment="1">
      <alignment horizontal="left" vertical="center" wrapText="1"/>
    </xf>
    <xf numFmtId="168" fontId="5" fillId="4" borderId="4" xfId="0" quotePrefix="1" applyNumberFormat="1" applyFont="1" applyFill="1" applyBorder="1" applyAlignment="1">
      <alignment horizontal="right" vertical="center" wrapText="1"/>
    </xf>
    <xf numFmtId="0" fontId="27" fillId="4" borderId="0" xfId="0" applyFont="1" applyFill="1"/>
    <xf numFmtId="168" fontId="9" fillId="4" borderId="4" xfId="0" applyNumberFormat="1" applyFont="1" applyFill="1" applyBorder="1" applyAlignment="1">
      <alignment horizontal="right" vertical="center" wrapText="1"/>
    </xf>
    <xf numFmtId="49" fontId="5" fillId="4" borderId="4" xfId="3" applyNumberFormat="1" applyFont="1" applyFill="1" applyBorder="1" applyAlignment="1">
      <alignment horizontal="left" vertical="center" wrapText="1"/>
    </xf>
    <xf numFmtId="0" fontId="32" fillId="4" borderId="0" xfId="0" applyFont="1" applyFill="1"/>
    <xf numFmtId="49" fontId="5" fillId="4" borderId="4" xfId="0" quotePrefix="1" applyNumberFormat="1" applyFont="1" applyFill="1" applyBorder="1" applyAlignment="1">
      <alignment horizontal="left" vertical="center" wrapText="1"/>
    </xf>
    <xf numFmtId="3" fontId="5" fillId="4" borderId="4" xfId="0" applyNumberFormat="1" applyFont="1" applyFill="1" applyBorder="1" applyAlignment="1">
      <alignment horizontal="right" vertical="center" wrapText="1"/>
    </xf>
    <xf numFmtId="2" fontId="5" fillId="4" borderId="4" xfId="0" quotePrefix="1" applyNumberFormat="1" applyFont="1" applyFill="1" applyBorder="1" applyAlignment="1">
      <alignment horizontal="center" vertical="center" wrapText="1"/>
    </xf>
    <xf numFmtId="2" fontId="5" fillId="4" borderId="4" xfId="0" quotePrefix="1" applyNumberFormat="1" applyFont="1" applyFill="1" applyBorder="1" applyAlignment="1">
      <alignment horizontal="right" vertical="center" wrapText="1"/>
    </xf>
    <xf numFmtId="49" fontId="7" fillId="4" borderId="4" xfId="0" quotePrefix="1" applyNumberFormat="1" applyFont="1" applyFill="1" applyBorder="1" applyAlignment="1">
      <alignment horizontal="left" vertical="center" wrapText="1"/>
    </xf>
    <xf numFmtId="49" fontId="5" fillId="4" borderId="4" xfId="3" applyNumberFormat="1" applyFont="1" applyFill="1" applyBorder="1" applyAlignment="1">
      <alignment horizontal="center" vertical="center" wrapText="1"/>
    </xf>
    <xf numFmtId="174" fontId="5" fillId="4" borderId="4" xfId="0" applyNumberFormat="1" applyFont="1" applyFill="1" applyBorder="1" applyAlignment="1">
      <alignment horizontal="right" vertical="center" wrapText="1"/>
    </xf>
    <xf numFmtId="168" fontId="5" fillId="4" borderId="4" xfId="1" applyNumberFormat="1" applyFont="1" applyFill="1" applyBorder="1" applyAlignment="1">
      <alignment vertical="center" wrapText="1"/>
    </xf>
    <xf numFmtId="176" fontId="5" fillId="4" borderId="4" xfId="0" applyNumberFormat="1" applyFont="1" applyFill="1" applyBorder="1" applyAlignment="1">
      <alignment horizontal="right" vertical="center" wrapText="1"/>
    </xf>
    <xf numFmtId="1" fontId="5" fillId="4" borderId="4" xfId="0" applyNumberFormat="1" applyFont="1" applyFill="1" applyBorder="1" applyAlignment="1">
      <alignment horizontal="center" vertical="center" wrapText="1"/>
    </xf>
    <xf numFmtId="0" fontId="5" fillId="2" borderId="0" xfId="0" applyFont="1" applyFill="1" applyAlignment="1">
      <alignment wrapText="1"/>
    </xf>
    <xf numFmtId="2" fontId="5" fillId="0" borderId="4" xfId="0" applyNumberFormat="1" applyFont="1" applyBorder="1" applyAlignment="1">
      <alignment wrapText="1"/>
    </xf>
    <xf numFmtId="1" fontId="5" fillId="0" borderId="4" xfId="0" applyNumberFormat="1" applyFont="1" applyBorder="1" applyAlignment="1">
      <alignment horizontal="right" vertical="center" wrapText="1"/>
    </xf>
    <xf numFmtId="0" fontId="22" fillId="0" borderId="0" xfId="0" applyFont="1" applyAlignment="1">
      <alignment wrapText="1"/>
    </xf>
    <xf numFmtId="3" fontId="23" fillId="0" borderId="0" xfId="0" applyNumberFormat="1" applyFont="1" applyAlignment="1">
      <alignment horizontal="right" wrapText="1"/>
    </xf>
    <xf numFmtId="183" fontId="5" fillId="4" borderId="4" xfId="0" applyNumberFormat="1" applyFont="1" applyFill="1" applyBorder="1" applyAlignment="1">
      <alignment horizontal="right" vertical="center" wrapText="1"/>
    </xf>
    <xf numFmtId="177" fontId="5" fillId="4" borderId="4" xfId="0" applyNumberFormat="1" applyFont="1" applyFill="1" applyBorder="1" applyAlignment="1">
      <alignment horizontal="left" vertical="center" wrapText="1"/>
    </xf>
    <xf numFmtId="3" fontId="5" fillId="3" borderId="4" xfId="0" quotePrefix="1" applyNumberFormat="1" applyFont="1" applyFill="1" applyBorder="1" applyAlignment="1">
      <alignment horizontal="right" vertical="center" wrapText="1"/>
    </xf>
    <xf numFmtId="3" fontId="5" fillId="0" borderId="4" xfId="4" applyNumberFormat="1" applyFont="1" applyFill="1" applyBorder="1" applyAlignment="1">
      <alignment horizontal="center" vertical="center" wrapText="1"/>
    </xf>
    <xf numFmtId="0" fontId="24" fillId="0" borderId="4" xfId="0" applyFont="1" applyBorder="1" applyAlignment="1">
      <alignment horizontal="center" vertical="center" wrapText="1"/>
    </xf>
    <xf numFmtId="3" fontId="5" fillId="0" borderId="4" xfId="0" applyNumberFormat="1" applyFont="1" applyBorder="1" applyAlignment="1">
      <alignment horizontal="center" vertical="center" wrapText="1"/>
    </xf>
    <xf numFmtId="0" fontId="7" fillId="0" borderId="0" xfId="0" applyFont="1"/>
    <xf numFmtId="10" fontId="5" fillId="0" borderId="0" xfId="0" applyNumberFormat="1" applyFont="1" applyAlignment="1">
      <alignment wrapText="1"/>
    </xf>
    <xf numFmtId="3" fontId="25" fillId="0" borderId="4" xfId="0" applyNumberFormat="1" applyFont="1" applyBorder="1" applyAlignment="1">
      <alignment horizontal="right" vertical="center" wrapText="1"/>
    </xf>
    <xf numFmtId="184" fontId="5" fillId="0" borderId="4" xfId="0" applyNumberFormat="1" applyFont="1" applyBorder="1" applyAlignment="1">
      <alignment vertical="center" wrapText="1"/>
    </xf>
    <xf numFmtId="3" fontId="24" fillId="3" borderId="4" xfId="0" applyNumberFormat="1" applyFont="1" applyFill="1" applyBorder="1" applyAlignment="1">
      <alignment horizontal="right" vertical="center" wrapText="1"/>
    </xf>
    <xf numFmtId="1" fontId="24" fillId="0" borderId="4" xfId="0" applyNumberFormat="1" applyFont="1" applyBorder="1" applyAlignment="1">
      <alignment horizontal="center" vertical="center" wrapText="1"/>
    </xf>
    <xf numFmtId="3" fontId="7" fillId="0" borderId="0" xfId="0" applyNumberFormat="1" applyFont="1" applyAlignment="1">
      <alignment wrapText="1"/>
    </xf>
    <xf numFmtId="3" fontId="24" fillId="0" borderId="4" xfId="0" quotePrefix="1" applyNumberFormat="1" applyFont="1" applyBorder="1" applyAlignment="1">
      <alignment horizontal="center" vertical="center" wrapText="1"/>
    </xf>
    <xf numFmtId="168" fontId="2" fillId="2" borderId="0" xfId="0" applyNumberFormat="1" applyFont="1" applyFill="1" applyAlignment="1">
      <alignment wrapText="1"/>
    </xf>
    <xf numFmtId="49" fontId="24" fillId="0" borderId="4" xfId="0" applyNumberFormat="1" applyFont="1" applyBorder="1" applyAlignment="1">
      <alignment horizontal="center" vertical="center" wrapText="1"/>
    </xf>
    <xf numFmtId="49" fontId="24" fillId="0" borderId="4" xfId="0" applyNumberFormat="1" applyFont="1" applyBorder="1" applyAlignment="1">
      <alignment horizontal="left" vertical="center" wrapText="1"/>
    </xf>
    <xf numFmtId="168" fontId="24" fillId="0" borderId="4" xfId="0" applyNumberFormat="1" applyFont="1" applyBorder="1" applyAlignment="1">
      <alignment horizontal="center" vertical="center" wrapText="1"/>
    </xf>
    <xf numFmtId="168" fontId="24" fillId="0" borderId="4" xfId="0" applyNumberFormat="1" applyFont="1" applyBorder="1" applyAlignment="1">
      <alignment horizontal="left" vertical="center" wrapText="1"/>
    </xf>
    <xf numFmtId="168" fontId="25" fillId="0" borderId="4" xfId="0" applyNumberFormat="1" applyFont="1" applyBorder="1" applyAlignment="1">
      <alignment horizontal="right" vertical="center" wrapText="1"/>
    </xf>
    <xf numFmtId="49" fontId="24" fillId="0" borderId="6" xfId="0" applyNumberFormat="1" applyFont="1" applyBorder="1" applyAlignment="1">
      <alignment horizontal="left" vertical="center" wrapText="1"/>
    </xf>
    <xf numFmtId="3" fontId="5" fillId="4" borderId="4" xfId="0" quotePrefix="1" applyNumberFormat="1" applyFont="1" applyFill="1" applyBorder="1" applyAlignment="1">
      <alignment horizontal="right" vertical="center" wrapText="1"/>
    </xf>
    <xf numFmtId="173" fontId="5" fillId="4" borderId="4" xfId="0" quotePrefix="1" applyNumberFormat="1" applyFont="1" applyFill="1" applyBorder="1" applyAlignment="1">
      <alignment horizontal="right" vertical="center" wrapText="1"/>
    </xf>
    <xf numFmtId="3" fontId="26" fillId="0" borderId="4" xfId="0" quotePrefix="1" applyNumberFormat="1" applyFont="1" applyBorder="1" applyAlignment="1">
      <alignment horizontal="right" vertical="center" wrapText="1"/>
    </xf>
    <xf numFmtId="49" fontId="24" fillId="0" borderId="4" xfId="0" quotePrefix="1" applyNumberFormat="1" applyFont="1" applyBorder="1" applyAlignment="1">
      <alignment horizontal="center" vertical="center" wrapText="1"/>
    </xf>
    <xf numFmtId="49" fontId="24" fillId="0" borderId="4" xfId="0" quotePrefix="1" applyNumberFormat="1" applyFont="1" applyBorder="1" applyAlignment="1">
      <alignment horizontal="left" vertical="center" wrapText="1"/>
    </xf>
    <xf numFmtId="3" fontId="24" fillId="0" borderId="4" xfId="0" quotePrefix="1" applyNumberFormat="1" applyFont="1" applyBorder="1" applyAlignment="1">
      <alignment horizontal="right" vertical="center" wrapText="1"/>
    </xf>
    <xf numFmtId="49" fontId="24" fillId="4" borderId="4" xfId="0" quotePrefix="1" applyNumberFormat="1" applyFont="1" applyFill="1" applyBorder="1" applyAlignment="1">
      <alignment horizontal="center" vertical="center" wrapText="1"/>
    </xf>
    <xf numFmtId="3" fontId="24" fillId="4" borderId="4" xfId="0" quotePrefix="1" applyNumberFormat="1" applyFont="1" applyFill="1" applyBorder="1" applyAlignment="1">
      <alignment horizontal="right" vertical="center" wrapText="1"/>
    </xf>
    <xf numFmtId="49" fontId="24" fillId="4" borderId="4" xfId="0" applyNumberFormat="1" applyFont="1" applyFill="1" applyBorder="1" applyAlignment="1">
      <alignment horizontal="center" vertical="center" wrapText="1"/>
    </xf>
    <xf numFmtId="173" fontId="24" fillId="0" borderId="4" xfId="0" applyNumberFormat="1" applyFont="1" applyBorder="1" applyAlignment="1">
      <alignment horizontal="right" vertical="center" wrapText="1"/>
    </xf>
    <xf numFmtId="49" fontId="5" fillId="2" borderId="4" xfId="0" applyNumberFormat="1" applyFont="1" applyFill="1" applyBorder="1" applyAlignment="1">
      <alignment horizontal="center" vertical="center" wrapText="1"/>
    </xf>
    <xf numFmtId="3" fontId="24" fillId="0" borderId="4" xfId="0" applyNumberFormat="1" applyFont="1" applyBorder="1" applyAlignment="1">
      <alignment horizontal="right" vertical="center" wrapText="1"/>
    </xf>
    <xf numFmtId="168" fontId="5" fillId="2" borderId="4" xfId="0" applyNumberFormat="1" applyFont="1" applyFill="1" applyBorder="1" applyAlignment="1">
      <alignment horizontal="left" vertical="center" wrapText="1"/>
    </xf>
    <xf numFmtId="3" fontId="25" fillId="0" borderId="4" xfId="0" quotePrefix="1" applyNumberFormat="1" applyFont="1" applyBorder="1" applyAlignment="1">
      <alignment horizontal="right" vertical="center" wrapText="1"/>
    </xf>
    <xf numFmtId="49" fontId="26" fillId="0" borderId="4" xfId="0" applyNumberFormat="1" applyFont="1" applyBorder="1" applyAlignment="1">
      <alignment horizontal="center" vertical="center" wrapText="1"/>
    </xf>
    <xf numFmtId="49" fontId="26" fillId="0" borderId="4" xfId="0" applyNumberFormat="1" applyFont="1" applyBorder="1" applyAlignment="1">
      <alignment horizontal="left" vertical="center" wrapText="1"/>
    </xf>
    <xf numFmtId="3" fontId="26" fillId="0" borderId="4" xfId="0" applyNumberFormat="1" applyFont="1" applyBorder="1" applyAlignment="1">
      <alignment horizontal="right" vertical="center" wrapText="1"/>
    </xf>
    <xf numFmtId="49" fontId="24" fillId="0" borderId="6" xfId="0" applyNumberFormat="1" applyFont="1" applyBorder="1" applyAlignment="1">
      <alignment horizontal="center" vertical="center" wrapText="1"/>
    </xf>
    <xf numFmtId="0" fontId="24" fillId="0" borderId="0" xfId="0" applyFont="1" applyAlignment="1">
      <alignment vertical="center" wrapText="1"/>
    </xf>
    <xf numFmtId="3" fontId="9" fillId="4" borderId="4" xfId="0" applyNumberFormat="1" applyFont="1" applyFill="1" applyBorder="1" applyAlignment="1">
      <alignment horizontal="right" vertical="center" wrapText="1"/>
    </xf>
    <xf numFmtId="49" fontId="5" fillId="2" borderId="4" xfId="0" applyNumberFormat="1" applyFont="1" applyFill="1" applyBorder="1" applyAlignment="1">
      <alignment horizontal="left" vertical="center" wrapText="1"/>
    </xf>
    <xf numFmtId="3" fontId="9" fillId="2" borderId="4" xfId="0" applyNumberFormat="1" applyFont="1" applyFill="1" applyBorder="1" applyAlignment="1">
      <alignment horizontal="right" vertical="center" wrapText="1"/>
    </xf>
    <xf numFmtId="3" fontId="5" fillId="2" borderId="4" xfId="0" applyNumberFormat="1" applyFont="1" applyFill="1" applyBorder="1" applyAlignment="1">
      <alignment horizontal="right" vertical="center" wrapText="1"/>
    </xf>
    <xf numFmtId="168" fontId="5" fillId="2" borderId="4" xfId="1" applyNumberFormat="1" applyFont="1" applyFill="1" applyBorder="1" applyAlignment="1">
      <alignment vertical="center" wrapText="1"/>
    </xf>
    <xf numFmtId="49" fontId="5" fillId="2" borderId="6" xfId="0" applyNumberFormat="1" applyFont="1" applyFill="1" applyBorder="1" applyAlignment="1">
      <alignment horizontal="center" vertical="center" wrapText="1"/>
    </xf>
    <xf numFmtId="49" fontId="5" fillId="2" borderId="6" xfId="0" applyNumberFormat="1" applyFont="1" applyFill="1" applyBorder="1" applyAlignment="1">
      <alignment horizontal="left" vertical="center" wrapText="1"/>
    </xf>
    <xf numFmtId="3" fontId="9" fillId="2" borderId="6" xfId="0" applyNumberFormat="1" applyFont="1" applyFill="1" applyBorder="1" applyAlignment="1">
      <alignment horizontal="right" vertical="center" wrapText="1"/>
    </xf>
    <xf numFmtId="3" fontId="5" fillId="2" borderId="6" xfId="0" applyNumberFormat="1" applyFont="1" applyFill="1" applyBorder="1" applyAlignment="1">
      <alignment horizontal="right" vertical="center" wrapText="1"/>
    </xf>
    <xf numFmtId="168" fontId="5" fillId="2" borderId="6" xfId="1" applyNumberFormat="1" applyFont="1" applyFill="1" applyBorder="1" applyAlignment="1">
      <alignment vertical="center" wrapText="1"/>
    </xf>
    <xf numFmtId="168" fontId="7" fillId="2" borderId="10" xfId="0" applyNumberFormat="1" applyFont="1" applyFill="1" applyBorder="1" applyAlignment="1">
      <alignment horizontal="left" vertical="center" wrapText="1"/>
    </xf>
    <xf numFmtId="168" fontId="7" fillId="2" borderId="4" xfId="0" applyNumberFormat="1" applyFont="1" applyFill="1" applyBorder="1" applyAlignment="1">
      <alignment horizontal="left" vertical="center" wrapText="1"/>
    </xf>
    <xf numFmtId="49" fontId="5" fillId="4" borderId="4" xfId="0" applyNumberFormat="1" applyFont="1" applyFill="1" applyBorder="1" applyAlignment="1">
      <alignment vertical="center" wrapText="1"/>
    </xf>
    <xf numFmtId="49" fontId="9" fillId="4" borderId="4" xfId="0" applyNumberFormat="1" applyFont="1" applyFill="1" applyBorder="1" applyAlignment="1">
      <alignment horizontal="left" vertical="center" wrapText="1"/>
    </xf>
    <xf numFmtId="0" fontId="25" fillId="0" borderId="0" xfId="0" applyFont="1" applyAlignment="1">
      <alignment wrapText="1"/>
    </xf>
    <xf numFmtId="49" fontId="24" fillId="0" borderId="4" xfId="0" applyNumberFormat="1" applyFont="1" applyBorder="1" applyAlignment="1">
      <alignment horizontal="right" vertical="center" wrapText="1"/>
    </xf>
    <xf numFmtId="4" fontId="24" fillId="0" borderId="4" xfId="0" applyNumberFormat="1" applyFont="1" applyBorder="1" applyAlignment="1">
      <alignment horizontal="right" vertical="center" wrapText="1"/>
    </xf>
    <xf numFmtId="1" fontId="24" fillId="0" borderId="8" xfId="0" applyNumberFormat="1" applyFont="1" applyBorder="1" applyAlignment="1">
      <alignment horizontal="center" vertical="center" wrapText="1"/>
    </xf>
    <xf numFmtId="1" fontId="24" fillId="0" borderId="8" xfId="0" applyNumberFormat="1" applyFont="1" applyBorder="1" applyAlignment="1">
      <alignment horizontal="right" vertical="center" wrapText="1"/>
    </xf>
    <xf numFmtId="3" fontId="24" fillId="0" borderId="8" xfId="0" applyNumberFormat="1" applyFont="1" applyBorder="1" applyAlignment="1">
      <alignment horizontal="right" vertical="center" wrapText="1"/>
    </xf>
    <xf numFmtId="3" fontId="24" fillId="0" borderId="8" xfId="0" quotePrefix="1" applyNumberFormat="1" applyFont="1" applyBorder="1" applyAlignment="1">
      <alignment horizontal="right" vertical="center" wrapText="1"/>
    </xf>
    <xf numFmtId="3" fontId="26" fillId="0" borderId="8" xfId="0" applyNumberFormat="1" applyFont="1" applyBorder="1" applyAlignment="1">
      <alignment horizontal="right" vertical="center" wrapText="1"/>
    </xf>
    <xf numFmtId="49" fontId="24" fillId="0" borderId="8" xfId="0" applyNumberFormat="1" applyFont="1" applyBorder="1" applyAlignment="1">
      <alignment horizontal="center" vertical="center" wrapText="1"/>
    </xf>
    <xf numFmtId="49" fontId="24" fillId="0" borderId="8" xfId="0" applyNumberFormat="1" applyFont="1" applyBorder="1" applyAlignment="1">
      <alignment horizontal="left" vertical="center" wrapText="1"/>
    </xf>
    <xf numFmtId="174" fontId="24" fillId="0" borderId="8" xfId="0" applyNumberFormat="1" applyFont="1" applyBorder="1" applyAlignment="1">
      <alignment horizontal="right" vertical="center" wrapText="1"/>
    </xf>
    <xf numFmtId="2" fontId="24" fillId="0" borderId="8" xfId="0" applyNumberFormat="1" applyFont="1" applyBorder="1" applyAlignment="1">
      <alignment horizontal="right" vertical="center" wrapText="1"/>
    </xf>
    <xf numFmtId="1" fontId="24" fillId="0" borderId="6" xfId="0" applyNumberFormat="1" applyFont="1" applyBorder="1" applyAlignment="1">
      <alignment horizontal="center" vertical="center" wrapText="1"/>
    </xf>
    <xf numFmtId="1" fontId="24" fillId="0" borderId="6" xfId="0" applyNumberFormat="1" applyFont="1" applyBorder="1" applyAlignment="1">
      <alignment horizontal="right" vertical="center" wrapText="1"/>
    </xf>
    <xf numFmtId="2" fontId="24" fillId="0" borderId="6" xfId="0" applyNumberFormat="1" applyFont="1" applyBorder="1" applyAlignment="1">
      <alignment horizontal="right" vertical="center" wrapText="1"/>
    </xf>
    <xf numFmtId="4" fontId="24" fillId="0" borderId="6" xfId="0" applyNumberFormat="1" applyFont="1" applyBorder="1" applyAlignment="1">
      <alignment horizontal="right" vertical="center" wrapText="1"/>
    </xf>
    <xf numFmtId="4" fontId="24" fillId="0" borderId="6" xfId="0" quotePrefix="1" applyNumberFormat="1" applyFont="1" applyBorder="1" applyAlignment="1">
      <alignment horizontal="right" vertical="center" wrapText="1"/>
    </xf>
    <xf numFmtId="178" fontId="24" fillId="0" borderId="6" xfId="0" applyNumberFormat="1" applyFont="1" applyBorder="1" applyAlignment="1">
      <alignment horizontal="right" vertical="center" wrapText="1"/>
    </xf>
    <xf numFmtId="177" fontId="5" fillId="4" borderId="4" xfId="0" applyNumberFormat="1" applyFont="1" applyFill="1" applyBorder="1" applyAlignment="1">
      <alignment wrapText="1"/>
    </xf>
    <xf numFmtId="49" fontId="39" fillId="4" borderId="4" xfId="0" applyNumberFormat="1" applyFont="1" applyFill="1" applyBorder="1" applyAlignment="1">
      <alignment horizontal="center" vertical="center" wrapText="1"/>
    </xf>
    <xf numFmtId="0" fontId="39" fillId="4" borderId="0" xfId="0" applyFont="1" applyFill="1" applyAlignment="1">
      <alignment wrapText="1"/>
    </xf>
    <xf numFmtId="180" fontId="5" fillId="4" borderId="4" xfId="0" applyNumberFormat="1" applyFont="1" applyFill="1" applyBorder="1" applyAlignment="1">
      <alignment horizontal="left" vertical="center" wrapText="1"/>
    </xf>
    <xf numFmtId="3" fontId="25" fillId="3" borderId="4" xfId="0" quotePrefix="1" applyNumberFormat="1" applyFont="1" applyFill="1" applyBorder="1" applyAlignment="1">
      <alignment horizontal="right" vertical="center" wrapText="1"/>
    </xf>
    <xf numFmtId="3" fontId="26" fillId="3" borderId="4" xfId="0" quotePrefix="1" applyNumberFormat="1" applyFont="1" applyFill="1" applyBorder="1" applyAlignment="1">
      <alignment horizontal="right" vertical="center" wrapText="1"/>
    </xf>
    <xf numFmtId="3" fontId="24" fillId="3" borderId="4" xfId="0" quotePrefix="1" applyNumberFormat="1" applyFont="1" applyFill="1" applyBorder="1" applyAlignment="1">
      <alignment horizontal="right" vertical="center" wrapText="1"/>
    </xf>
    <xf numFmtId="168" fontId="24" fillId="3" borderId="0" xfId="0" applyNumberFormat="1" applyFont="1" applyFill="1" applyAlignment="1">
      <alignment wrapText="1"/>
    </xf>
    <xf numFmtId="0" fontId="40" fillId="0" borderId="4" xfId="0" applyFont="1" applyBorder="1" applyAlignment="1">
      <alignment horizontal="center" vertical="center"/>
    </xf>
    <xf numFmtId="174" fontId="5" fillId="4" borderId="4" xfId="0" applyNumberFormat="1" applyFont="1" applyFill="1" applyBorder="1" applyAlignment="1">
      <alignment horizontal="center" vertical="center" wrapText="1"/>
    </xf>
    <xf numFmtId="0" fontId="40" fillId="0" borderId="6" xfId="0" applyFont="1" applyBorder="1" applyAlignment="1">
      <alignment horizontal="center" vertical="center"/>
    </xf>
    <xf numFmtId="1" fontId="5" fillId="4" borderId="6" xfId="0" applyNumberFormat="1" applyFont="1" applyFill="1" applyBorder="1" applyAlignment="1">
      <alignment horizontal="center" vertical="center" wrapText="1"/>
    </xf>
    <xf numFmtId="174" fontId="5" fillId="4" borderId="6" xfId="0" applyNumberFormat="1" applyFont="1" applyFill="1" applyBorder="1" applyAlignment="1">
      <alignment horizontal="center" vertical="center" wrapText="1"/>
    </xf>
    <xf numFmtId="49" fontId="40" fillId="0" borderId="4" xfId="0" applyNumberFormat="1" applyFont="1" applyBorder="1" applyAlignment="1">
      <alignment horizontal="justify" vertical="center"/>
    </xf>
    <xf numFmtId="49" fontId="5" fillId="5" borderId="4" xfId="0" applyNumberFormat="1" applyFont="1" applyFill="1" applyBorder="1" applyAlignment="1">
      <alignment horizontal="left" vertical="center" wrapText="1"/>
    </xf>
    <xf numFmtId="49" fontId="5" fillId="5" borderId="4" xfId="0" applyNumberFormat="1" applyFont="1" applyFill="1" applyBorder="1" applyAlignment="1">
      <alignment horizontal="center" vertical="center" wrapText="1"/>
    </xf>
    <xf numFmtId="49" fontId="40" fillId="0" borderId="6" xfId="0" applyNumberFormat="1" applyFont="1" applyBorder="1" applyAlignment="1">
      <alignment vertical="center"/>
    </xf>
    <xf numFmtId="49" fontId="5" fillId="4" borderId="6" xfId="0" applyNumberFormat="1" applyFont="1" applyFill="1" applyBorder="1" applyAlignment="1">
      <alignment horizontal="center" vertical="center" wrapText="1"/>
    </xf>
    <xf numFmtId="168" fontId="2" fillId="5" borderId="0" xfId="0" applyNumberFormat="1" applyFont="1" applyFill="1" applyAlignment="1">
      <alignment vertical="center" wrapText="1"/>
    </xf>
    <xf numFmtId="168" fontId="6" fillId="5" borderId="1" xfId="0" applyNumberFormat="1" applyFont="1" applyFill="1" applyBorder="1" applyAlignment="1">
      <alignment horizontal="center" vertical="center" wrapText="1"/>
    </xf>
    <xf numFmtId="168" fontId="5" fillId="5" borderId="4" xfId="0" quotePrefix="1" applyNumberFormat="1" applyFont="1" applyFill="1" applyBorder="1" applyAlignment="1">
      <alignment horizontal="right" vertical="center" wrapText="1"/>
    </xf>
    <xf numFmtId="168" fontId="5" fillId="5" borderId="4" xfId="0" applyNumberFormat="1" applyFont="1" applyFill="1" applyBorder="1" applyAlignment="1">
      <alignment horizontal="right" vertical="center" wrapText="1"/>
    </xf>
    <xf numFmtId="168" fontId="2" fillId="5" borderId="0" xfId="0" applyNumberFormat="1" applyFont="1" applyFill="1" applyAlignment="1">
      <alignment wrapText="1"/>
    </xf>
    <xf numFmtId="3" fontId="7" fillId="5" borderId="4" xfId="0" applyNumberFormat="1" applyFont="1" applyFill="1" applyBorder="1" applyAlignment="1">
      <alignment horizontal="right" vertical="center" wrapText="1"/>
    </xf>
    <xf numFmtId="3" fontId="5" fillId="5" borderId="4" xfId="0" quotePrefix="1" applyNumberFormat="1" applyFont="1" applyFill="1" applyBorder="1" applyAlignment="1">
      <alignment horizontal="right" vertical="center" wrapText="1"/>
    </xf>
    <xf numFmtId="3" fontId="5" fillId="5" borderId="4" xfId="0" applyNumberFormat="1" applyFont="1" applyFill="1" applyBorder="1" applyAlignment="1">
      <alignment horizontal="right" vertical="center" wrapText="1"/>
    </xf>
    <xf numFmtId="3" fontId="5" fillId="4" borderId="6" xfId="0" applyNumberFormat="1" applyFont="1" applyFill="1" applyBorder="1" applyAlignment="1">
      <alignment horizontal="right" vertical="center" wrapText="1"/>
    </xf>
    <xf numFmtId="3" fontId="5" fillId="5" borderId="6" xfId="0" applyNumberFormat="1" applyFont="1" applyFill="1" applyBorder="1" applyAlignment="1">
      <alignment horizontal="right" vertical="center" wrapText="1"/>
    </xf>
    <xf numFmtId="168" fontId="7" fillId="5" borderId="4" xfId="0" quotePrefix="1" applyNumberFormat="1" applyFont="1" applyFill="1" applyBorder="1" applyAlignment="1">
      <alignment horizontal="left" vertical="center" wrapText="1"/>
    </xf>
    <xf numFmtId="168" fontId="5" fillId="5" borderId="4" xfId="1" applyNumberFormat="1" applyFont="1" applyFill="1" applyBorder="1" applyAlignment="1">
      <alignment vertical="center" wrapText="1"/>
    </xf>
    <xf numFmtId="168" fontId="5" fillId="5" borderId="4" xfId="0" applyNumberFormat="1" applyFont="1" applyFill="1" applyBorder="1" applyAlignment="1">
      <alignment horizontal="left" vertical="center" wrapText="1"/>
    </xf>
    <xf numFmtId="168" fontId="7" fillId="5" borderId="4" xfId="0" applyNumberFormat="1" applyFont="1" applyFill="1" applyBorder="1" applyAlignment="1">
      <alignment horizontal="left" vertical="center" wrapText="1"/>
    </xf>
    <xf numFmtId="177" fontId="5" fillId="5" borderId="4" xfId="0" applyNumberFormat="1" applyFont="1" applyFill="1" applyBorder="1" applyAlignment="1">
      <alignment horizontal="left" vertical="center" wrapText="1"/>
    </xf>
    <xf numFmtId="177" fontId="7" fillId="5" borderId="4" xfId="0" applyNumberFormat="1" applyFont="1" applyFill="1" applyBorder="1" applyAlignment="1">
      <alignment horizontal="left" vertical="center" wrapText="1"/>
    </xf>
    <xf numFmtId="168" fontId="23" fillId="5" borderId="6" xfId="0" applyNumberFormat="1" applyFont="1" applyFill="1" applyBorder="1" applyAlignment="1">
      <alignment horizontal="left" vertical="center" wrapText="1"/>
    </xf>
    <xf numFmtId="168" fontId="5" fillId="5" borderId="0" xfId="0" applyNumberFormat="1" applyFont="1" applyFill="1" applyAlignment="1">
      <alignment wrapText="1"/>
    </xf>
    <xf numFmtId="168" fontId="27" fillId="5" borderId="0" xfId="0" applyNumberFormat="1" applyFont="1" applyFill="1" applyAlignment="1">
      <alignment horizontal="right" vertical="center" wrapText="1"/>
    </xf>
    <xf numFmtId="2" fontId="5" fillId="5" borderId="4" xfId="0" applyNumberFormat="1" applyFont="1" applyFill="1" applyBorder="1" applyAlignment="1">
      <alignment horizontal="left" vertical="center" wrapText="1"/>
    </xf>
    <xf numFmtId="1" fontId="5" fillId="5" borderId="4" xfId="0" applyNumberFormat="1" applyFont="1" applyFill="1" applyBorder="1" applyAlignment="1">
      <alignment horizontal="right" vertical="center" wrapText="1"/>
    </xf>
    <xf numFmtId="177" fontId="5" fillId="5" borderId="4" xfId="0" applyNumberFormat="1" applyFont="1" applyFill="1" applyBorder="1" applyAlignment="1">
      <alignment wrapText="1"/>
    </xf>
    <xf numFmtId="49" fontId="5" fillId="5" borderId="4" xfId="0" quotePrefix="1" applyNumberFormat="1" applyFont="1" applyFill="1" applyBorder="1" applyAlignment="1">
      <alignment horizontal="center" vertical="center" wrapText="1"/>
    </xf>
    <xf numFmtId="174" fontId="5" fillId="5" borderId="4" xfId="0" applyNumberFormat="1" applyFont="1" applyFill="1" applyBorder="1" applyAlignment="1">
      <alignment horizontal="right" vertical="center" wrapText="1"/>
    </xf>
    <xf numFmtId="176" fontId="5" fillId="5" borderId="4" xfId="0" applyNumberFormat="1" applyFont="1" applyFill="1" applyBorder="1" applyAlignment="1">
      <alignment horizontal="right" vertical="center" wrapText="1"/>
    </xf>
    <xf numFmtId="49" fontId="5" fillId="5" borderId="4" xfId="0" quotePrefix="1" applyNumberFormat="1" applyFont="1" applyFill="1" applyBorder="1" applyAlignment="1">
      <alignment horizontal="left" vertical="center" wrapText="1"/>
    </xf>
    <xf numFmtId="2" fontId="5" fillId="5" borderId="4" xfId="0" quotePrefix="1" applyNumberFormat="1" applyFont="1" applyFill="1" applyBorder="1" applyAlignment="1">
      <alignment horizontal="left" vertical="center" wrapText="1"/>
    </xf>
    <xf numFmtId="49" fontId="9" fillId="5" borderId="4" xfId="0" applyNumberFormat="1" applyFont="1" applyFill="1" applyBorder="1" applyAlignment="1">
      <alignment horizontal="center" vertical="center" wrapText="1"/>
    </xf>
    <xf numFmtId="49" fontId="9" fillId="5" borderId="4" xfId="0" applyNumberFormat="1" applyFont="1" applyFill="1" applyBorder="1" applyAlignment="1">
      <alignment horizontal="left" vertical="center" wrapText="1"/>
    </xf>
    <xf numFmtId="168" fontId="9" fillId="5" borderId="4" xfId="0" applyNumberFormat="1" applyFont="1" applyFill="1" applyBorder="1" applyAlignment="1">
      <alignment horizontal="right" vertical="center" wrapText="1"/>
    </xf>
    <xf numFmtId="2" fontId="9" fillId="5" borderId="4" xfId="0" applyNumberFormat="1" applyFont="1" applyFill="1" applyBorder="1" applyAlignment="1">
      <alignment horizontal="left" vertical="center" wrapText="1"/>
    </xf>
    <xf numFmtId="168" fontId="9" fillId="5" borderId="0" xfId="0" applyNumberFormat="1" applyFont="1" applyFill="1" applyAlignment="1">
      <alignment wrapText="1"/>
    </xf>
    <xf numFmtId="3" fontId="5" fillId="4" borderId="4" xfId="1" applyNumberFormat="1" applyFont="1" applyFill="1" applyBorder="1" applyAlignment="1">
      <alignment horizontal="right" vertical="center" wrapText="1"/>
    </xf>
    <xf numFmtId="3" fontId="5" fillId="4" borderId="4" xfId="1" applyNumberFormat="1" applyFont="1" applyFill="1" applyBorder="1" applyAlignment="1">
      <alignment horizontal="center" vertical="center" wrapText="1"/>
    </xf>
    <xf numFmtId="175" fontId="5" fillId="2" borderId="4" xfId="1" applyNumberFormat="1" applyFont="1" applyFill="1" applyBorder="1" applyAlignment="1">
      <alignment vertical="center" wrapText="1"/>
    </xf>
    <xf numFmtId="168" fontId="25" fillId="4" borderId="4" xfId="0" quotePrefix="1" applyNumberFormat="1" applyFont="1" applyFill="1" applyBorder="1" applyAlignment="1">
      <alignment horizontal="right" vertical="center" wrapText="1"/>
    </xf>
    <xf numFmtId="49" fontId="26" fillId="4" borderId="4" xfId="0" applyNumberFormat="1" applyFont="1" applyFill="1" applyBorder="1" applyAlignment="1">
      <alignment horizontal="center" vertical="center" wrapText="1"/>
    </xf>
    <xf numFmtId="49" fontId="26" fillId="4" borderId="4" xfId="0" applyNumberFormat="1" applyFont="1" applyFill="1" applyBorder="1" applyAlignment="1">
      <alignment horizontal="left" vertical="center" wrapText="1"/>
    </xf>
    <xf numFmtId="3" fontId="26" fillId="4" borderId="4" xfId="0" applyNumberFormat="1" applyFont="1" applyFill="1" applyBorder="1" applyAlignment="1">
      <alignment horizontal="right" vertical="center" wrapText="1"/>
    </xf>
    <xf numFmtId="49" fontId="24" fillId="4" borderId="4" xfId="0" applyNumberFormat="1" applyFont="1" applyFill="1" applyBorder="1" applyAlignment="1">
      <alignment horizontal="left" vertical="center" wrapText="1"/>
    </xf>
    <xf numFmtId="3" fontId="24" fillId="4" borderId="4" xfId="0" applyNumberFormat="1" applyFont="1" applyFill="1" applyBorder="1" applyAlignment="1">
      <alignment horizontal="right" vertical="center" wrapText="1"/>
    </xf>
    <xf numFmtId="49" fontId="24" fillId="4" borderId="4" xfId="0" applyNumberFormat="1" applyFont="1" applyFill="1" applyBorder="1" applyAlignment="1">
      <alignment vertical="center" wrapText="1"/>
    </xf>
    <xf numFmtId="168" fontId="24" fillId="4" borderId="0" xfId="0" applyNumberFormat="1" applyFont="1" applyFill="1" applyAlignment="1">
      <alignment wrapText="1"/>
    </xf>
    <xf numFmtId="175" fontId="24" fillId="4" borderId="4" xfId="1" applyNumberFormat="1" applyFont="1" applyFill="1" applyBorder="1" applyAlignment="1">
      <alignment vertical="center" wrapText="1"/>
    </xf>
    <xf numFmtId="3" fontId="24" fillId="0" borderId="4" xfId="0" applyNumberFormat="1" applyFont="1" applyBorder="1" applyAlignment="1">
      <alignment horizontal="center" vertical="center" wrapText="1"/>
    </xf>
    <xf numFmtId="168" fontId="24" fillId="4" borderId="4" xfId="0" applyNumberFormat="1" applyFont="1" applyFill="1" applyBorder="1" applyAlignment="1">
      <alignment wrapText="1"/>
    </xf>
    <xf numFmtId="49" fontId="24" fillId="4" borderId="6" xfId="0" applyNumberFormat="1" applyFont="1" applyFill="1" applyBorder="1" applyAlignment="1">
      <alignment horizontal="center" vertical="center" wrapText="1"/>
    </xf>
    <xf numFmtId="49" fontId="24" fillId="4" borderId="6" xfId="0" applyNumberFormat="1" applyFont="1" applyFill="1" applyBorder="1" applyAlignment="1">
      <alignment horizontal="left" vertical="center" wrapText="1"/>
    </xf>
    <xf numFmtId="168" fontId="24" fillId="4" borderId="0" xfId="0" applyNumberFormat="1" applyFont="1" applyFill="1" applyAlignment="1">
      <alignment horizontal="center" wrapText="1"/>
    </xf>
    <xf numFmtId="168" fontId="24" fillId="4" borderId="0" xfId="0" applyNumberFormat="1" applyFont="1" applyFill="1" applyAlignment="1">
      <alignment horizontal="right" wrapText="1"/>
    </xf>
    <xf numFmtId="168" fontId="25" fillId="3" borderId="1" xfId="0" applyNumberFormat="1" applyFont="1" applyFill="1" applyBorder="1" applyAlignment="1">
      <alignment horizontal="center" vertical="center" wrapText="1"/>
    </xf>
    <xf numFmtId="168" fontId="7" fillId="3" borderId="1" xfId="0" applyNumberFormat="1" applyFont="1" applyFill="1" applyBorder="1" applyAlignment="1">
      <alignment vertical="center" wrapText="1"/>
    </xf>
    <xf numFmtId="168" fontId="7" fillId="3" borderId="1" xfId="0" applyNumberFormat="1" applyFont="1" applyFill="1" applyBorder="1" applyAlignment="1">
      <alignment horizontal="center" vertical="center" wrapText="1"/>
    </xf>
    <xf numFmtId="49" fontId="9" fillId="3" borderId="2" xfId="0" applyNumberFormat="1" applyFont="1" applyFill="1" applyBorder="1" applyAlignment="1">
      <alignment horizontal="center" vertical="center" wrapText="1"/>
    </xf>
    <xf numFmtId="168" fontId="5" fillId="3" borderId="0" xfId="0" applyNumberFormat="1" applyFont="1" applyFill="1" applyAlignment="1">
      <alignment horizontal="right" vertical="center" wrapText="1"/>
    </xf>
    <xf numFmtId="168" fontId="5" fillId="3" borderId="0" xfId="0" applyNumberFormat="1" applyFont="1" applyFill="1" applyAlignment="1">
      <alignment horizontal="right" wrapText="1"/>
    </xf>
    <xf numFmtId="168" fontId="24" fillId="4" borderId="4" xfId="0" quotePrefix="1" applyNumberFormat="1" applyFont="1" applyFill="1" applyBorder="1" applyAlignment="1">
      <alignment horizontal="center" vertical="center" wrapText="1"/>
    </xf>
    <xf numFmtId="173" fontId="24" fillId="4" borderId="4" xfId="0" quotePrefix="1" applyNumberFormat="1" applyFont="1" applyFill="1" applyBorder="1" applyAlignment="1">
      <alignment horizontal="center" vertical="center" wrapText="1"/>
    </xf>
    <xf numFmtId="168" fontId="25" fillId="4" borderId="0" xfId="0" applyNumberFormat="1" applyFont="1" applyFill="1" applyAlignment="1">
      <alignment wrapText="1"/>
    </xf>
    <xf numFmtId="168" fontId="38" fillId="4" borderId="0" xfId="0" applyNumberFormat="1" applyFont="1" applyFill="1" applyAlignment="1">
      <alignment wrapText="1"/>
    </xf>
    <xf numFmtId="168" fontId="26" fillId="4" borderId="0" xfId="0" applyNumberFormat="1" applyFont="1" applyFill="1" applyAlignment="1">
      <alignment wrapText="1"/>
    </xf>
    <xf numFmtId="49" fontId="24" fillId="4" borderId="4" xfId="0" applyNumberFormat="1" applyFont="1" applyFill="1" applyBorder="1" applyAlignment="1">
      <alignment horizontal="center" vertical="center"/>
    </xf>
    <xf numFmtId="173" fontId="24" fillId="4" borderId="4" xfId="0" applyNumberFormat="1" applyFont="1" applyFill="1" applyBorder="1" applyAlignment="1">
      <alignment horizontal="center" vertical="center" wrapText="1"/>
    </xf>
    <xf numFmtId="181" fontId="24" fillId="4" borderId="4" xfId="0" applyNumberFormat="1" applyFont="1" applyFill="1" applyBorder="1" applyAlignment="1">
      <alignment horizontal="right" vertical="center" wrapText="1"/>
    </xf>
    <xf numFmtId="0" fontId="24" fillId="4" borderId="0" xfId="0" applyFont="1" applyFill="1" applyAlignment="1">
      <alignment wrapText="1"/>
    </xf>
    <xf numFmtId="173" fontId="26" fillId="4" borderId="4" xfId="0" applyNumberFormat="1" applyFont="1" applyFill="1" applyBorder="1" applyAlignment="1">
      <alignment horizontal="center" vertical="center" wrapText="1"/>
    </xf>
    <xf numFmtId="168" fontId="26" fillId="4" borderId="4" xfId="0" applyNumberFormat="1" applyFont="1" applyFill="1" applyBorder="1" applyAlignment="1">
      <alignment horizontal="right" vertical="center" wrapText="1"/>
    </xf>
    <xf numFmtId="168" fontId="26" fillId="4" borderId="4" xfId="0" quotePrefix="1" applyNumberFormat="1" applyFont="1" applyFill="1" applyBorder="1" applyAlignment="1">
      <alignment horizontal="right" vertical="center" wrapText="1"/>
    </xf>
    <xf numFmtId="0" fontId="25" fillId="4" borderId="0" xfId="0" applyFont="1" applyFill="1" applyAlignment="1">
      <alignment wrapText="1"/>
    </xf>
    <xf numFmtId="175" fontId="24" fillId="4" borderId="4" xfId="1" applyNumberFormat="1" applyFont="1" applyFill="1" applyBorder="1" applyAlignment="1">
      <alignment horizontal="center" vertical="center" wrapText="1"/>
    </xf>
    <xf numFmtId="0" fontId="42" fillId="4" borderId="0" xfId="0" applyFont="1" applyFill="1"/>
    <xf numFmtId="0" fontId="43" fillId="4" borderId="0" xfId="0" applyFont="1" applyFill="1" applyAlignment="1">
      <alignment vertical="center"/>
    </xf>
    <xf numFmtId="168" fontId="24" fillId="0" borderId="0" xfId="0" applyNumberFormat="1" applyFont="1" applyAlignment="1">
      <alignment wrapText="1"/>
    </xf>
    <xf numFmtId="0" fontId="41" fillId="0" borderId="0" xfId="0" applyFont="1"/>
    <xf numFmtId="168" fontId="26" fillId="0" borderId="0" xfId="0" applyNumberFormat="1" applyFont="1" applyAlignment="1">
      <alignment wrapText="1"/>
    </xf>
    <xf numFmtId="168" fontId="25" fillId="0" borderId="0" xfId="0" applyNumberFormat="1" applyFont="1" applyAlignment="1">
      <alignment wrapText="1"/>
    </xf>
    <xf numFmtId="0" fontId="44" fillId="0" borderId="0" xfId="0" applyFont="1" applyAlignment="1">
      <alignment horizontal="justify" vertical="center"/>
    </xf>
    <xf numFmtId="4" fontId="5" fillId="0" borderId="4" xfId="0" applyNumberFormat="1" applyFont="1" applyBorder="1" applyAlignment="1">
      <alignment horizontal="center" vertical="center" wrapText="1"/>
    </xf>
    <xf numFmtId="181" fontId="7" fillId="3" borderId="1" xfId="0" applyNumberFormat="1" applyFont="1" applyFill="1" applyBorder="1" applyAlignment="1">
      <alignment vertical="center" wrapText="1"/>
    </xf>
    <xf numFmtId="181" fontId="33" fillId="3" borderId="4" xfId="0" quotePrefix="1" applyNumberFormat="1" applyFont="1" applyFill="1" applyBorder="1" applyAlignment="1">
      <alignment horizontal="right" vertical="center" wrapText="1"/>
    </xf>
    <xf numFmtId="181" fontId="5" fillId="3" borderId="4" xfId="0" applyNumberFormat="1" applyFont="1" applyFill="1" applyBorder="1" applyAlignment="1">
      <alignment horizontal="right" vertical="center" wrapText="1"/>
    </xf>
    <xf numFmtId="181" fontId="5" fillId="3" borderId="0" xfId="0" applyNumberFormat="1" applyFont="1" applyFill="1" applyAlignment="1">
      <alignment horizontal="center" wrapText="1"/>
    </xf>
    <xf numFmtId="181" fontId="7" fillId="3" borderId="1" xfId="0" applyNumberFormat="1" applyFont="1" applyFill="1" applyBorder="1" applyAlignment="1">
      <alignment horizontal="center" vertical="center" wrapText="1"/>
    </xf>
    <xf numFmtId="181" fontId="9" fillId="3" borderId="12" xfId="0" applyNumberFormat="1" applyFont="1" applyFill="1" applyBorder="1" applyAlignment="1">
      <alignment horizontal="center" vertical="center" wrapText="1"/>
    </xf>
    <xf numFmtId="4" fontId="24" fillId="0" borderId="4" xfId="0" applyNumberFormat="1" applyFont="1" applyBorder="1" applyAlignment="1">
      <alignment horizontal="center" vertical="center" wrapText="1"/>
    </xf>
    <xf numFmtId="181" fontId="24" fillId="0" borderId="4" xfId="0" applyNumberFormat="1" applyFont="1" applyBorder="1" applyAlignment="1">
      <alignment horizontal="right" vertical="center" wrapText="1"/>
    </xf>
    <xf numFmtId="181" fontId="45" fillId="0" borderId="4" xfId="0" applyNumberFormat="1" applyFont="1" applyBorder="1" applyAlignment="1">
      <alignment horizontal="right" vertical="center" wrapText="1"/>
    </xf>
    <xf numFmtId="1" fontId="26" fillId="0" borderId="4" xfId="0" applyNumberFormat="1" applyFont="1" applyBorder="1" applyAlignment="1">
      <alignment horizontal="center" vertical="center" wrapText="1"/>
    </xf>
    <xf numFmtId="4" fontId="26" fillId="0" borderId="4" xfId="0" applyNumberFormat="1" applyFont="1" applyBorder="1" applyAlignment="1">
      <alignment horizontal="center" vertical="center" wrapText="1"/>
    </xf>
    <xf numFmtId="181" fontId="26" fillId="0" borderId="4" xfId="0" applyNumberFormat="1" applyFont="1" applyBorder="1" applyAlignment="1">
      <alignment horizontal="right" vertical="center" wrapText="1"/>
    </xf>
    <xf numFmtId="1" fontId="26" fillId="0" borderId="4" xfId="0" applyNumberFormat="1" applyFont="1" applyBorder="1" applyAlignment="1">
      <alignment vertical="center" wrapText="1"/>
    </xf>
    <xf numFmtId="4" fontId="26" fillId="0" borderId="4" xfId="0" applyNumberFormat="1" applyFont="1" applyBorder="1" applyAlignment="1">
      <alignment horizontal="right" vertical="center" wrapText="1"/>
    </xf>
    <xf numFmtId="181" fontId="24" fillId="0" borderId="0" xfId="0" applyNumberFormat="1" applyFont="1" applyAlignment="1">
      <alignment horizontal="center" wrapText="1"/>
    </xf>
    <xf numFmtId="181" fontId="45" fillId="0" borderId="0" xfId="0" applyNumberFormat="1" applyFont="1" applyAlignment="1">
      <alignment horizontal="center" wrapText="1"/>
    </xf>
    <xf numFmtId="0" fontId="36" fillId="4" borderId="0" xfId="0" applyFont="1" applyFill="1" applyAlignment="1">
      <alignment vertical="center" wrapText="1"/>
    </xf>
    <xf numFmtId="1" fontId="24" fillId="0" borderId="0" xfId="0" applyNumberFormat="1" applyFont="1" applyAlignment="1">
      <alignment wrapText="1"/>
    </xf>
    <xf numFmtId="168" fontId="24" fillId="3" borderId="0" xfId="0" applyNumberFormat="1" applyFont="1" applyFill="1" applyAlignment="1">
      <alignment horizontal="right" vertical="center" wrapText="1"/>
    </xf>
    <xf numFmtId="168" fontId="25" fillId="3" borderId="1" xfId="0" applyNumberFormat="1" applyFont="1" applyFill="1" applyBorder="1" applyAlignment="1">
      <alignment vertical="center" wrapText="1"/>
    </xf>
    <xf numFmtId="3" fontId="25" fillId="3" borderId="4" xfId="0" applyNumberFormat="1" applyFont="1" applyFill="1" applyBorder="1" applyAlignment="1">
      <alignment horizontal="right" vertical="center" wrapText="1"/>
    </xf>
    <xf numFmtId="49" fontId="26" fillId="4" borderId="4" xfId="0" applyNumberFormat="1" applyFont="1" applyFill="1" applyBorder="1" applyAlignment="1">
      <alignment horizontal="center" wrapText="1"/>
    </xf>
    <xf numFmtId="3" fontId="26" fillId="3" borderId="4" xfId="0" applyNumberFormat="1" applyFont="1" applyFill="1" applyBorder="1" applyAlignment="1">
      <alignment horizontal="right" vertical="center" wrapText="1"/>
    </xf>
    <xf numFmtId="49" fontId="24" fillId="4" borderId="4" xfId="0" applyNumberFormat="1" applyFont="1" applyFill="1" applyBorder="1" applyAlignment="1">
      <alignment horizontal="center" wrapText="1"/>
    </xf>
    <xf numFmtId="49" fontId="24" fillId="4" borderId="4" xfId="0" applyNumberFormat="1" applyFont="1" applyFill="1" applyBorder="1" applyAlignment="1">
      <alignment horizontal="justify" vertical="center"/>
    </xf>
    <xf numFmtId="49" fontId="24" fillId="4" borderId="4" xfId="0" applyNumberFormat="1" applyFont="1" applyFill="1" applyBorder="1" applyAlignment="1">
      <alignment vertical="center"/>
    </xf>
    <xf numFmtId="3" fontId="24" fillId="4" borderId="4" xfId="14" applyNumberFormat="1" applyFont="1" applyFill="1" applyBorder="1" applyAlignment="1">
      <alignment horizontal="right" vertical="center" wrapText="1"/>
    </xf>
    <xf numFmtId="173" fontId="24" fillId="4" borderId="6" xfId="0" applyNumberFormat="1" applyFont="1" applyFill="1" applyBorder="1" applyAlignment="1">
      <alignment horizontal="center" vertical="center" wrapText="1"/>
    </xf>
    <xf numFmtId="3" fontId="24" fillId="4" borderId="6" xfId="0" applyNumberFormat="1" applyFont="1" applyFill="1" applyBorder="1" applyAlignment="1">
      <alignment horizontal="right" vertical="center" wrapText="1"/>
    </xf>
    <xf numFmtId="3" fontId="24" fillId="3" borderId="6" xfId="0" applyNumberFormat="1" applyFont="1" applyFill="1" applyBorder="1" applyAlignment="1">
      <alignment horizontal="right" vertical="center" wrapText="1"/>
    </xf>
    <xf numFmtId="168" fontId="24" fillId="4" borderId="6" xfId="0" applyNumberFormat="1" applyFont="1" applyFill="1" applyBorder="1" applyAlignment="1">
      <alignment wrapText="1"/>
    </xf>
    <xf numFmtId="168" fontId="24" fillId="3" borderId="0" xfId="0" applyNumberFormat="1" applyFont="1" applyFill="1" applyAlignment="1">
      <alignment horizontal="center" wrapText="1"/>
    </xf>
    <xf numFmtId="0" fontId="25" fillId="4" borderId="0" xfId="0" applyFont="1" applyFill="1" applyAlignment="1">
      <alignment vertical="center"/>
    </xf>
    <xf numFmtId="0" fontId="25" fillId="3" borderId="1" xfId="0" applyFont="1" applyFill="1" applyBorder="1" applyAlignment="1">
      <alignment vertical="center"/>
    </xf>
    <xf numFmtId="3" fontId="25" fillId="3" borderId="1" xfId="0" applyNumberFormat="1" applyFont="1" applyFill="1" applyBorder="1" applyAlignment="1">
      <alignment horizontal="center" vertical="center" wrapText="1"/>
    </xf>
    <xf numFmtId="3" fontId="26" fillId="3" borderId="2" xfId="0" applyNumberFormat="1" applyFont="1" applyFill="1" applyBorder="1" applyAlignment="1">
      <alignment horizontal="center" vertical="center" wrapText="1"/>
    </xf>
    <xf numFmtId="49" fontId="25" fillId="0" borderId="4" xfId="0" applyNumberFormat="1" applyFont="1" applyBorder="1" applyAlignment="1">
      <alignment horizontal="center" vertical="center"/>
    </xf>
    <xf numFmtId="0" fontId="25" fillId="0" borderId="0" xfId="0" applyFont="1" applyAlignment="1">
      <alignment vertical="center"/>
    </xf>
    <xf numFmtId="49" fontId="24" fillId="0" borderId="4" xfId="0" applyNumberFormat="1" applyFont="1" applyBorder="1" applyAlignment="1">
      <alignment horizontal="center" vertical="center"/>
    </xf>
    <xf numFmtId="3" fontId="24" fillId="3" borderId="0" xfId="0" applyNumberFormat="1" applyFont="1" applyFill="1" applyAlignment="1">
      <alignment vertical="center"/>
    </xf>
    <xf numFmtId="0" fontId="46" fillId="0" borderId="0" xfId="0" applyFont="1"/>
    <xf numFmtId="49" fontId="24" fillId="0" borderId="4" xfId="0" applyNumberFormat="1" applyFont="1" applyBorder="1" applyAlignment="1">
      <alignment vertical="center" wrapText="1"/>
    </xf>
    <xf numFmtId="0" fontId="36" fillId="4" borderId="0" xfId="0" applyFont="1" applyFill="1"/>
    <xf numFmtId="0" fontId="24" fillId="4" borderId="0" xfId="0" applyFont="1" applyFill="1"/>
    <xf numFmtId="0" fontId="24" fillId="2" borderId="0" xfId="0" applyFont="1" applyFill="1"/>
    <xf numFmtId="49" fontId="26" fillId="3" borderId="2" xfId="0" applyNumberFormat="1" applyFont="1" applyFill="1" applyBorder="1" applyAlignment="1">
      <alignment horizontal="center" vertical="center" wrapText="1"/>
    </xf>
    <xf numFmtId="178" fontId="24" fillId="0" borderId="4" xfId="0" applyNumberFormat="1" applyFont="1" applyBorder="1" applyAlignment="1">
      <alignment horizontal="right" vertical="center" wrapText="1"/>
    </xf>
    <xf numFmtId="178" fontId="24" fillId="0" borderId="4" xfId="0" quotePrefix="1" applyNumberFormat="1" applyFont="1" applyBorder="1" applyAlignment="1">
      <alignment horizontal="right" vertical="center" wrapText="1"/>
    </xf>
    <xf numFmtId="186" fontId="24" fillId="0" borderId="4" xfId="0" applyNumberFormat="1" applyFont="1" applyBorder="1" applyAlignment="1">
      <alignment horizontal="right" vertical="center" wrapText="1"/>
    </xf>
    <xf numFmtId="186" fontId="24" fillId="0" borderId="4" xfId="0" quotePrefix="1" applyNumberFormat="1" applyFont="1" applyBorder="1" applyAlignment="1">
      <alignment horizontal="right" vertical="center" wrapText="1"/>
    </xf>
    <xf numFmtId="3" fontId="9" fillId="0" borderId="12" xfId="0" applyNumberFormat="1" applyFont="1" applyBorder="1" applyAlignment="1">
      <alignment horizontal="center" vertical="center" wrapText="1"/>
    </xf>
    <xf numFmtId="0" fontId="41" fillId="2" borderId="0" xfId="0" applyFont="1" applyFill="1"/>
    <xf numFmtId="0" fontId="36" fillId="0" borderId="0" xfId="0" applyFont="1"/>
    <xf numFmtId="0" fontId="47" fillId="0" borderId="0" xfId="0" applyFont="1"/>
    <xf numFmtId="3" fontId="9" fillId="0" borderId="4" xfId="0" applyNumberFormat="1" applyFont="1" applyBorder="1" applyAlignment="1">
      <alignment horizontal="right" vertical="center" wrapText="1"/>
    </xf>
    <xf numFmtId="3" fontId="4" fillId="0" borderId="4" xfId="0" applyNumberFormat="1" applyFont="1" applyBorder="1" applyAlignment="1">
      <alignment horizontal="right" vertical="center" wrapText="1"/>
    </xf>
    <xf numFmtId="3" fontId="9" fillId="0" borderId="4" xfId="0" applyNumberFormat="1" applyFont="1" applyBorder="1" applyAlignment="1">
      <alignment horizontal="center" vertical="center" wrapText="1"/>
    </xf>
    <xf numFmtId="49" fontId="9" fillId="0" borderId="4" xfId="0" applyNumberFormat="1" applyFont="1" applyBorder="1" applyAlignment="1">
      <alignment horizontal="left" vertical="center" wrapText="1"/>
    </xf>
    <xf numFmtId="168" fontId="24" fillId="0" borderId="0" xfId="0" applyNumberFormat="1" applyFont="1" applyAlignment="1">
      <alignment horizontal="center" wrapText="1"/>
    </xf>
    <xf numFmtId="0" fontId="25" fillId="0" borderId="0" xfId="0" applyFont="1" applyAlignment="1">
      <alignment vertical="center" wrapText="1"/>
    </xf>
    <xf numFmtId="0" fontId="38" fillId="0" borderId="0" xfId="0" applyFont="1" applyAlignment="1">
      <alignment vertical="center" wrapText="1"/>
    </xf>
    <xf numFmtId="0" fontId="48" fillId="0" borderId="0" xfId="0" applyFont="1" applyAlignment="1">
      <alignment vertical="center"/>
    </xf>
    <xf numFmtId="0" fontId="48" fillId="0" borderId="0" xfId="0" applyFont="1" applyAlignment="1">
      <alignment vertical="center" wrapText="1"/>
    </xf>
    <xf numFmtId="0" fontId="49" fillId="0" borderId="0" xfId="0" applyFont="1" applyAlignment="1">
      <alignment vertical="center"/>
    </xf>
    <xf numFmtId="0" fontId="48" fillId="0" borderId="0" xfId="0" applyFont="1" applyAlignment="1">
      <alignment horizontal="left" vertical="center" wrapText="1"/>
    </xf>
    <xf numFmtId="168" fontId="24" fillId="0" borderId="0" xfId="0" applyNumberFormat="1" applyFont="1" applyAlignment="1" applyProtection="1">
      <alignment vertical="center" wrapText="1"/>
      <protection locked="0"/>
    </xf>
    <xf numFmtId="168" fontId="24" fillId="0" borderId="0" xfId="0" applyNumberFormat="1" applyFont="1" applyAlignment="1" applyProtection="1">
      <alignment horizontal="center" vertical="center" wrapText="1"/>
      <protection locked="0"/>
    </xf>
    <xf numFmtId="3" fontId="7" fillId="2" borderId="4" xfId="0" applyNumberFormat="1" applyFont="1" applyFill="1" applyBorder="1" applyAlignment="1">
      <alignment vertical="center" wrapText="1"/>
    </xf>
    <xf numFmtId="175" fontId="7" fillId="2" borderId="4" xfId="1" applyNumberFormat="1" applyFont="1" applyFill="1" applyBorder="1" applyAlignment="1">
      <alignment vertical="center" wrapText="1"/>
    </xf>
    <xf numFmtId="3" fontId="5" fillId="2" borderId="4" xfId="0" applyNumberFormat="1" applyFont="1" applyFill="1" applyBorder="1" applyAlignment="1">
      <alignment vertical="center" wrapText="1"/>
    </xf>
    <xf numFmtId="3" fontId="29" fillId="2" borderId="4" xfId="0" applyNumberFormat="1" applyFont="1" applyFill="1" applyBorder="1" applyAlignment="1">
      <alignment horizontal="center" vertical="center" wrapText="1"/>
    </xf>
    <xf numFmtId="170" fontId="5" fillId="2" borderId="4" xfId="1" applyFont="1" applyFill="1" applyBorder="1" applyAlignment="1">
      <alignment vertical="center" wrapText="1"/>
    </xf>
    <xf numFmtId="3" fontId="30" fillId="2" borderId="4" xfId="0" applyNumberFormat="1" applyFont="1" applyFill="1" applyBorder="1" applyAlignment="1">
      <alignment horizontal="center" vertical="center" wrapText="1"/>
    </xf>
    <xf numFmtId="3" fontId="28" fillId="2" borderId="4" xfId="0" applyNumberFormat="1" applyFont="1" applyFill="1" applyBorder="1" applyAlignment="1">
      <alignment horizontal="center" vertical="center" wrapText="1"/>
    </xf>
    <xf numFmtId="3" fontId="7" fillId="2" borderId="4" xfId="0" applyNumberFormat="1" applyFont="1" applyFill="1" applyBorder="1" applyAlignment="1">
      <alignment horizontal="right" vertical="center" wrapText="1"/>
    </xf>
    <xf numFmtId="177" fontId="27" fillId="2" borderId="0" xfId="0" applyNumberFormat="1" applyFont="1" applyFill="1" applyAlignment="1">
      <alignment horizontal="right" vertical="center" wrapText="1"/>
    </xf>
    <xf numFmtId="168" fontId="27" fillId="2" borderId="0" xfId="0" applyNumberFormat="1" applyFont="1" applyFill="1" applyAlignment="1">
      <alignment horizontal="right" vertical="center" wrapText="1"/>
    </xf>
    <xf numFmtId="0" fontId="27" fillId="2" borderId="0" xfId="0" applyFont="1" applyFill="1" applyAlignment="1">
      <alignment vertical="center"/>
    </xf>
    <xf numFmtId="49" fontId="5" fillId="2" borderId="2" xfId="0" quotePrefix="1" applyNumberFormat="1" applyFont="1" applyFill="1" applyBorder="1" applyAlignment="1">
      <alignment horizontal="center" vertical="center" wrapText="1"/>
    </xf>
    <xf numFmtId="0" fontId="5" fillId="4" borderId="4" xfId="0" applyFont="1" applyFill="1" applyBorder="1" applyAlignment="1">
      <alignment horizontal="left" vertical="center" wrapText="1"/>
    </xf>
    <xf numFmtId="3" fontId="7" fillId="2" borderId="1" xfId="0" applyNumberFormat="1" applyFont="1" applyFill="1" applyBorder="1" applyAlignment="1">
      <alignment vertical="center" wrapText="1"/>
    </xf>
    <xf numFmtId="168" fontId="7" fillId="2" borderId="4" xfId="0" quotePrefix="1" applyNumberFormat="1" applyFont="1" applyFill="1" applyBorder="1" applyAlignment="1">
      <alignment horizontal="center" vertical="center" wrapText="1"/>
    </xf>
    <xf numFmtId="177" fontId="7" fillId="2" borderId="4" xfId="0" quotePrefix="1" applyNumberFormat="1" applyFont="1" applyFill="1" applyBorder="1" applyAlignment="1">
      <alignment horizontal="center" vertical="center" wrapText="1"/>
    </xf>
    <xf numFmtId="3" fontId="7" fillId="4" borderId="4" xfId="1" applyNumberFormat="1" applyFont="1" applyFill="1" applyBorder="1" applyAlignment="1">
      <alignment horizontal="right" vertical="center" wrapText="1"/>
    </xf>
    <xf numFmtId="3" fontId="24" fillId="4" borderId="4" xfId="1" applyNumberFormat="1" applyFont="1" applyFill="1" applyBorder="1" applyAlignment="1">
      <alignment horizontal="right" vertical="center" wrapText="1"/>
    </xf>
    <xf numFmtId="0" fontId="26" fillId="4" borderId="0" xfId="0" applyFont="1" applyFill="1" applyAlignment="1">
      <alignment wrapText="1"/>
    </xf>
    <xf numFmtId="175" fontId="24" fillId="0" borderId="4" xfId="1" applyNumberFormat="1" applyFont="1" applyFill="1" applyBorder="1" applyAlignment="1">
      <alignment horizontal="center" vertical="center" wrapText="1"/>
    </xf>
    <xf numFmtId="49" fontId="4" fillId="0" borderId="4" xfId="0" applyNumberFormat="1" applyFont="1" applyBorder="1" applyAlignment="1">
      <alignment horizontal="center" vertical="center" wrapText="1"/>
    </xf>
    <xf numFmtId="2" fontId="4" fillId="0" borderId="4" xfId="0" applyNumberFormat="1" applyFont="1" applyBorder="1" applyAlignment="1">
      <alignment horizontal="left" vertical="center" wrapText="1"/>
    </xf>
    <xf numFmtId="2" fontId="4" fillId="0" borderId="4" xfId="0" applyNumberFormat="1" applyFont="1" applyBorder="1" applyAlignment="1">
      <alignment horizontal="center" vertical="center" wrapText="1"/>
    </xf>
    <xf numFmtId="1" fontId="4" fillId="0" borderId="4" xfId="0" applyNumberFormat="1" applyFont="1" applyBorder="1" applyAlignment="1">
      <alignment horizontal="center" vertical="center" wrapText="1"/>
    </xf>
    <xf numFmtId="3" fontId="4" fillId="0" borderId="4" xfId="0" applyNumberFormat="1" applyFont="1" applyBorder="1" applyAlignment="1">
      <alignment vertical="center" wrapText="1"/>
    </xf>
    <xf numFmtId="4" fontId="5" fillId="0" borderId="4" xfId="0" applyNumberFormat="1" applyFont="1" applyBorder="1" applyAlignment="1">
      <alignment vertical="center" wrapText="1"/>
    </xf>
    <xf numFmtId="4" fontId="5" fillId="0" borderId="4" xfId="0" applyNumberFormat="1" applyFont="1" applyBorder="1" applyAlignment="1">
      <alignment horizontal="right" vertical="center" wrapText="1"/>
    </xf>
    <xf numFmtId="179" fontId="5" fillId="0" borderId="4" xfId="0" applyNumberFormat="1" applyFont="1" applyBorder="1" applyAlignment="1">
      <alignment horizontal="right" vertical="center" wrapText="1"/>
    </xf>
    <xf numFmtId="1" fontId="4" fillId="0" borderId="4" xfId="0" applyNumberFormat="1" applyFont="1" applyBorder="1" applyAlignment="1">
      <alignment horizontal="right" vertical="center" wrapText="1"/>
    </xf>
    <xf numFmtId="168" fontId="5" fillId="0" borderId="0" xfId="0" applyNumberFormat="1" applyFont="1" applyAlignment="1">
      <alignment vertical="center" wrapText="1"/>
    </xf>
    <xf numFmtId="0" fontId="32" fillId="0" borderId="0" xfId="0" applyFont="1"/>
    <xf numFmtId="0" fontId="50" fillId="0" borderId="0" xfId="0" applyFont="1"/>
    <xf numFmtId="168" fontId="7" fillId="0" borderId="4" xfId="0" applyNumberFormat="1" applyFont="1" applyBorder="1" applyAlignment="1">
      <alignment vertical="center" wrapText="1"/>
    </xf>
    <xf numFmtId="168" fontId="4" fillId="0" borderId="4" xfId="0" applyNumberFormat="1" applyFont="1" applyBorder="1" applyAlignment="1">
      <alignment vertical="center" wrapText="1"/>
    </xf>
    <xf numFmtId="0" fontId="10" fillId="0" borderId="0" xfId="0" applyFont="1"/>
    <xf numFmtId="0" fontId="11" fillId="0" borderId="0" xfId="0" applyFont="1"/>
    <xf numFmtId="4" fontId="7" fillId="0" borderId="4" xfId="0" applyNumberFormat="1" applyFont="1" applyBorder="1" applyAlignment="1">
      <alignment horizontal="center" vertical="center" wrapText="1"/>
    </xf>
    <xf numFmtId="49" fontId="7" fillId="0" borderId="4" xfId="0" applyNumberFormat="1" applyFont="1" applyBorder="1" applyAlignment="1">
      <alignment vertical="center" wrapText="1"/>
    </xf>
    <xf numFmtId="168" fontId="9" fillId="0" borderId="4" xfId="0" applyNumberFormat="1" applyFont="1" applyBorder="1" applyAlignment="1">
      <alignment horizontal="center" vertical="center" wrapText="1"/>
    </xf>
    <xf numFmtId="168" fontId="9" fillId="0" borderId="4" xfId="0" applyNumberFormat="1" applyFont="1" applyBorder="1" applyAlignment="1">
      <alignment wrapText="1"/>
    </xf>
    <xf numFmtId="168" fontId="9" fillId="0" borderId="0" xfId="0" applyNumberFormat="1" applyFont="1" applyAlignment="1">
      <alignment wrapText="1"/>
    </xf>
    <xf numFmtId="168" fontId="7" fillId="0" borderId="4" xfId="0" applyNumberFormat="1" applyFont="1" applyBorder="1" applyAlignment="1">
      <alignment wrapText="1"/>
    </xf>
    <xf numFmtId="49" fontId="7" fillId="0" borderId="6" xfId="0" applyNumberFormat="1" applyFont="1" applyBorder="1" applyAlignment="1">
      <alignment horizontal="center" vertical="center" wrapText="1"/>
    </xf>
    <xf numFmtId="49" fontId="7" fillId="0" borderId="6" xfId="0" applyNumberFormat="1" applyFont="1" applyBorder="1" applyAlignment="1">
      <alignment horizontal="left" vertical="center" wrapText="1"/>
    </xf>
    <xf numFmtId="49" fontId="7" fillId="0" borderId="6" xfId="0" applyNumberFormat="1" applyFont="1" applyBorder="1" applyAlignment="1">
      <alignment vertical="center" wrapText="1"/>
    </xf>
    <xf numFmtId="3" fontId="7" fillId="0" borderId="6" xfId="0" applyNumberFormat="1" applyFont="1" applyBorder="1" applyAlignment="1">
      <alignment horizontal="center" vertical="center" wrapText="1"/>
    </xf>
    <xf numFmtId="168" fontId="7" fillId="0" borderId="6" xfId="0" applyNumberFormat="1" applyFont="1" applyBorder="1" applyAlignment="1">
      <alignment vertical="center" wrapText="1"/>
    </xf>
    <xf numFmtId="168" fontId="7" fillId="0" borderId="6" xfId="0" applyNumberFormat="1" applyFont="1" applyBorder="1" applyAlignment="1">
      <alignment wrapText="1"/>
    </xf>
    <xf numFmtId="168" fontId="32" fillId="0" borderId="0" xfId="0" applyNumberFormat="1" applyFont="1"/>
    <xf numFmtId="0" fontId="31" fillId="0" borderId="0" xfId="0" applyFont="1" applyAlignment="1">
      <alignment vertical="center"/>
    </xf>
    <xf numFmtId="0" fontId="37" fillId="0" borderId="0" xfId="0" applyFont="1"/>
    <xf numFmtId="0" fontId="41" fillId="3" borderId="0" xfId="0" applyFont="1" applyFill="1"/>
    <xf numFmtId="49" fontId="24" fillId="2" borderId="4" xfId="0" applyNumberFormat="1" applyFont="1" applyFill="1" applyBorder="1" applyAlignment="1">
      <alignment horizontal="center" vertical="center" wrapText="1"/>
    </xf>
    <xf numFmtId="3" fontId="24" fillId="2" borderId="4" xfId="0" applyNumberFormat="1" applyFont="1" applyFill="1" applyBorder="1" applyAlignment="1">
      <alignment vertical="center" wrapText="1"/>
    </xf>
    <xf numFmtId="3" fontId="24" fillId="2" borderId="4" xfId="0" applyNumberFormat="1" applyFont="1" applyFill="1" applyBorder="1" applyAlignment="1">
      <alignment horizontal="right" vertical="center" wrapText="1"/>
    </xf>
    <xf numFmtId="1" fontId="5" fillId="4" borderId="4" xfId="0" quotePrefix="1" applyNumberFormat="1" applyFont="1" applyFill="1" applyBorder="1" applyAlignment="1">
      <alignment horizontal="center" vertical="center" wrapText="1"/>
    </xf>
    <xf numFmtId="0" fontId="26" fillId="0" borderId="0" xfId="0" applyFont="1" applyAlignment="1">
      <alignment wrapText="1"/>
    </xf>
    <xf numFmtId="175" fontId="5" fillId="4" borderId="4" xfId="1" applyNumberFormat="1" applyFont="1" applyFill="1" applyBorder="1" applyAlignment="1">
      <alignment horizontal="left" vertical="center" wrapText="1"/>
    </xf>
    <xf numFmtId="49" fontId="9" fillId="0" borderId="2" xfId="0" applyNumberFormat="1" applyFont="1" applyBorder="1" applyAlignment="1">
      <alignment horizontal="center" vertical="center" wrapText="1"/>
    </xf>
    <xf numFmtId="3" fontId="7" fillId="5" borderId="10" xfId="0" quotePrefix="1" applyNumberFormat="1" applyFont="1" applyFill="1" applyBorder="1" applyAlignment="1">
      <alignment horizontal="right" vertical="center" wrapText="1"/>
    </xf>
    <xf numFmtId="49" fontId="8" fillId="5" borderId="2" xfId="0" applyNumberFormat="1" applyFont="1" applyFill="1" applyBorder="1" applyAlignment="1">
      <alignment horizontal="center" vertical="center" wrapText="1"/>
    </xf>
    <xf numFmtId="168" fontId="7" fillId="5" borderId="4" xfId="0" quotePrefix="1" applyNumberFormat="1" applyFont="1" applyFill="1" applyBorder="1" applyAlignment="1">
      <alignment horizontal="right" vertical="center" wrapText="1"/>
    </xf>
    <xf numFmtId="177" fontId="5" fillId="4" borderId="4" xfId="0" applyNumberFormat="1" applyFont="1" applyFill="1" applyBorder="1" applyAlignment="1">
      <alignment horizontal="center" vertical="center" wrapText="1"/>
    </xf>
    <xf numFmtId="168" fontId="4" fillId="5" borderId="4" xfId="0" applyNumberFormat="1" applyFont="1" applyFill="1" applyBorder="1" applyAlignment="1">
      <alignment horizontal="left" vertical="center" wrapText="1"/>
    </xf>
    <xf numFmtId="2" fontId="5" fillId="0" borderId="6" xfId="0" applyNumberFormat="1" applyFont="1" applyBorder="1" applyAlignment="1">
      <alignment wrapText="1"/>
    </xf>
    <xf numFmtId="168" fontId="5" fillId="4" borderId="6" xfId="1" applyNumberFormat="1" applyFont="1" applyFill="1" applyBorder="1" applyAlignment="1">
      <alignment vertical="center" wrapText="1"/>
    </xf>
    <xf numFmtId="2" fontId="5" fillId="4" borderId="6" xfId="0" applyNumberFormat="1" applyFont="1" applyFill="1" applyBorder="1" applyAlignment="1">
      <alignment horizontal="left" vertical="center" wrapText="1"/>
    </xf>
    <xf numFmtId="168" fontId="9" fillId="4" borderId="6" xfId="0" applyNumberFormat="1" applyFont="1" applyFill="1" applyBorder="1" applyAlignment="1">
      <alignment horizontal="right" vertical="center" wrapText="1"/>
    </xf>
    <xf numFmtId="49" fontId="26" fillId="4" borderId="0" xfId="0" applyNumberFormat="1" applyFont="1" applyFill="1" applyAlignment="1">
      <alignment wrapText="1"/>
    </xf>
    <xf numFmtId="0" fontId="24" fillId="0" borderId="4" xfId="0" applyFont="1" applyBorder="1" applyAlignment="1">
      <alignment horizontal="center" vertical="center"/>
    </xf>
    <xf numFmtId="168" fontId="4" fillId="0" borderId="4" xfId="0" applyNumberFormat="1" applyFont="1" applyBorder="1" applyAlignment="1">
      <alignment horizontal="center" vertical="center" wrapText="1"/>
    </xf>
    <xf numFmtId="49" fontId="5" fillId="2" borderId="2" xfId="0" applyNumberFormat="1" applyFont="1" applyFill="1" applyBorder="1" applyAlignment="1">
      <alignment horizontal="center" vertical="center" wrapText="1"/>
    </xf>
    <xf numFmtId="168" fontId="7" fillId="2" borderId="0" xfId="0" applyNumberFormat="1" applyFont="1" applyFill="1" applyAlignment="1">
      <alignment wrapText="1"/>
    </xf>
    <xf numFmtId="175" fontId="24" fillId="4" borderId="6" xfId="1" applyNumberFormat="1" applyFont="1" applyFill="1" applyBorder="1" applyAlignment="1">
      <alignment horizontal="center" vertical="center" wrapText="1"/>
    </xf>
    <xf numFmtId="49" fontId="26" fillId="0" borderId="2" xfId="0" applyNumberFormat="1" applyFont="1" applyBorder="1" applyAlignment="1">
      <alignment horizontal="center" vertical="center" wrapText="1"/>
    </xf>
    <xf numFmtId="175" fontId="24" fillId="0" borderId="4" xfId="1" applyNumberFormat="1" applyFont="1" applyFill="1" applyBorder="1" applyAlignment="1">
      <alignment vertical="center" wrapText="1"/>
    </xf>
    <xf numFmtId="168" fontId="24" fillId="0" borderId="0" xfId="0" applyNumberFormat="1" applyFont="1" applyAlignment="1">
      <alignment horizontal="right" wrapText="1"/>
    </xf>
    <xf numFmtId="49" fontId="25" fillId="0" borderId="0" xfId="0" quotePrefix="1" applyNumberFormat="1" applyFont="1" applyAlignment="1">
      <alignment horizontal="left" vertical="center" wrapText="1"/>
    </xf>
    <xf numFmtId="49" fontId="9" fillId="0" borderId="4" xfId="0" quotePrefix="1" applyNumberFormat="1" applyFont="1" applyBorder="1" applyAlignment="1">
      <alignment horizontal="center" vertical="center" wrapText="1"/>
    </xf>
    <xf numFmtId="49" fontId="51" fillId="0" borderId="0" xfId="0" applyNumberFormat="1" applyFont="1"/>
    <xf numFmtId="49" fontId="9" fillId="0" borderId="2" xfId="0" quotePrefix="1" applyNumberFormat="1" applyFont="1" applyBorder="1" applyAlignment="1">
      <alignment horizontal="center" vertical="center" wrapText="1"/>
    </xf>
    <xf numFmtId="49" fontId="9" fillId="0" borderId="0" xfId="0" applyNumberFormat="1" applyFont="1" applyAlignment="1">
      <alignment wrapText="1"/>
    </xf>
    <xf numFmtId="49" fontId="24" fillId="0" borderId="0" xfId="0" applyNumberFormat="1" applyFont="1" applyAlignment="1">
      <alignment wrapText="1"/>
    </xf>
    <xf numFmtId="49" fontId="26" fillId="0" borderId="0" xfId="0" applyNumberFormat="1" applyFont="1" applyAlignment="1">
      <alignment wrapText="1"/>
    </xf>
    <xf numFmtId="3" fontId="24" fillId="2" borderId="4" xfId="1" applyNumberFormat="1" applyFont="1" applyFill="1" applyBorder="1" applyAlignment="1">
      <alignment horizontal="right" vertical="center" wrapText="1"/>
    </xf>
    <xf numFmtId="49" fontId="32" fillId="0" borderId="0" xfId="0" applyNumberFormat="1" applyFont="1"/>
    <xf numFmtId="49" fontId="9" fillId="0" borderId="10" xfId="0" quotePrefix="1" applyNumberFormat="1" applyFont="1" applyBorder="1" applyAlignment="1">
      <alignment horizontal="center" vertical="center" wrapText="1"/>
    </xf>
    <xf numFmtId="168" fontId="7" fillId="5" borderId="1" xfId="0" applyNumberFormat="1" applyFont="1" applyFill="1" applyBorder="1" applyAlignment="1">
      <alignment vertical="center" wrapText="1"/>
    </xf>
    <xf numFmtId="168" fontId="7" fillId="5" borderId="1" xfId="0" applyNumberFormat="1" applyFont="1" applyFill="1" applyBorder="1" applyAlignment="1">
      <alignment horizontal="center" vertical="center" wrapText="1"/>
    </xf>
    <xf numFmtId="49" fontId="9" fillId="5" borderId="2" xfId="0" applyNumberFormat="1" applyFont="1" applyFill="1" applyBorder="1" applyAlignment="1">
      <alignment horizontal="center" vertical="center" wrapText="1"/>
    </xf>
    <xf numFmtId="49" fontId="7" fillId="2" borderId="0" xfId="0" applyNumberFormat="1" applyFont="1" applyFill="1" applyAlignment="1">
      <alignment horizontal="center" wrapText="1"/>
    </xf>
    <xf numFmtId="0" fontId="38" fillId="0" borderId="0" xfId="0" applyFont="1" applyAlignment="1">
      <alignment horizontal="left" vertical="center" wrapText="1"/>
    </xf>
    <xf numFmtId="0" fontId="25" fillId="0" borderId="1" xfId="0" applyFont="1" applyBorder="1" applyAlignment="1">
      <alignment horizontal="center" vertical="center" wrapText="1"/>
    </xf>
    <xf numFmtId="49" fontId="24" fillId="2" borderId="4" xfId="0" applyNumberFormat="1" applyFont="1" applyFill="1" applyBorder="1" applyAlignment="1">
      <alignment horizontal="left" vertical="center" wrapText="1"/>
    </xf>
    <xf numFmtId="1" fontId="24" fillId="2" borderId="4" xfId="0" applyNumberFormat="1" applyFont="1" applyFill="1" applyBorder="1" applyAlignment="1">
      <alignment horizontal="center" vertical="center" wrapText="1"/>
    </xf>
    <xf numFmtId="1" fontId="24" fillId="2" borderId="4" xfId="0" applyNumberFormat="1" applyFont="1" applyFill="1" applyBorder="1" applyAlignment="1">
      <alignment horizontal="right" vertical="center" wrapText="1"/>
    </xf>
    <xf numFmtId="3" fontId="24" fillId="2" borderId="4" xfId="0" quotePrefix="1" applyNumberFormat="1" applyFont="1" applyFill="1" applyBorder="1" applyAlignment="1">
      <alignment horizontal="right" vertical="center" wrapText="1"/>
    </xf>
    <xf numFmtId="2" fontId="24" fillId="2" borderId="4" xfId="0" applyNumberFormat="1" applyFont="1" applyFill="1" applyBorder="1" applyAlignment="1">
      <alignment wrapText="1"/>
    </xf>
    <xf numFmtId="0" fontId="25" fillId="2" borderId="0" xfId="0" applyFont="1" applyFill="1" applyAlignment="1">
      <alignment wrapText="1"/>
    </xf>
    <xf numFmtId="2" fontId="25" fillId="2" borderId="8" xfId="0" applyNumberFormat="1" applyFont="1" applyFill="1" applyBorder="1" applyAlignment="1">
      <alignment wrapText="1"/>
    </xf>
    <xf numFmtId="168" fontId="2" fillId="2" borderId="0" xfId="0" applyNumberFormat="1" applyFont="1" applyFill="1" applyAlignment="1">
      <alignment vertical="center" wrapText="1"/>
    </xf>
    <xf numFmtId="168" fontId="6" fillId="2" borderId="1" xfId="0" applyNumberFormat="1" applyFont="1" applyFill="1" applyBorder="1" applyAlignment="1">
      <alignment vertical="center" wrapText="1"/>
    </xf>
    <xf numFmtId="168" fontId="6" fillId="2" borderId="1"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3" fontId="7" fillId="2" borderId="10" xfId="0" quotePrefix="1" applyNumberFormat="1" applyFont="1" applyFill="1" applyBorder="1" applyAlignment="1">
      <alignment horizontal="right" vertical="center" wrapText="1"/>
    </xf>
    <xf numFmtId="49" fontId="31" fillId="0" borderId="0" xfId="0" applyNumberFormat="1" applyFont="1" applyAlignment="1">
      <alignment vertical="center"/>
    </xf>
    <xf numFmtId="49" fontId="27" fillId="0" borderId="0" xfId="0" applyNumberFormat="1" applyFont="1" applyAlignment="1">
      <alignment horizontal="right" vertical="center" wrapText="1"/>
    </xf>
    <xf numFmtId="0" fontId="24" fillId="0" borderId="0" xfId="0" applyFont="1"/>
    <xf numFmtId="184" fontId="25" fillId="0" borderId="4" xfId="0" applyNumberFormat="1" applyFont="1" applyBorder="1" applyAlignment="1">
      <alignment horizontal="right" vertical="center" wrapText="1"/>
    </xf>
    <xf numFmtId="3" fontId="25" fillId="0" borderId="10" xfId="0" applyNumberFormat="1" applyFont="1" applyBorder="1" applyAlignment="1">
      <alignment horizontal="right" vertical="center" wrapText="1"/>
    </xf>
    <xf numFmtId="184" fontId="25" fillId="0" borderId="10" xfId="0" applyNumberFormat="1" applyFont="1" applyBorder="1" applyAlignment="1">
      <alignment horizontal="right" vertical="center" wrapText="1"/>
    </xf>
    <xf numFmtId="9" fontId="25" fillId="0" borderId="10" xfId="0" applyNumberFormat="1" applyFont="1" applyBorder="1" applyAlignment="1">
      <alignment horizontal="right" vertical="center" wrapText="1"/>
    </xf>
    <xf numFmtId="49" fontId="25" fillId="0" borderId="4" xfId="0" applyNumberFormat="1" applyFont="1" applyBorder="1" applyAlignment="1">
      <alignment vertical="center" wrapText="1"/>
    </xf>
    <xf numFmtId="187" fontId="25" fillId="0" borderId="4" xfId="0" applyNumberFormat="1" applyFont="1" applyBorder="1" applyAlignment="1">
      <alignment horizontal="right" vertical="center" wrapText="1"/>
    </xf>
    <xf numFmtId="184" fontId="24" fillId="0" borderId="4" xfId="0" applyNumberFormat="1" applyFont="1" applyBorder="1" applyAlignment="1">
      <alignment horizontal="right" vertical="center" wrapText="1"/>
    </xf>
    <xf numFmtId="187" fontId="24" fillId="0" borderId="4" xfId="0" applyNumberFormat="1" applyFont="1" applyBorder="1" applyAlignment="1">
      <alignment horizontal="right" vertical="center" wrapText="1"/>
    </xf>
    <xf numFmtId="9" fontId="25" fillId="0" borderId="4" xfId="0" applyNumberFormat="1" applyFont="1" applyBorder="1" applyAlignment="1">
      <alignment horizontal="right" vertical="center" wrapText="1"/>
    </xf>
    <xf numFmtId="3" fontId="24" fillId="0" borderId="4" xfId="0" applyNumberFormat="1" applyFont="1" applyBorder="1" applyAlignment="1">
      <alignment horizontal="right" vertical="center"/>
    </xf>
    <xf numFmtId="187" fontId="24" fillId="0" borderId="4" xfId="0" applyNumberFormat="1" applyFont="1" applyBorder="1" applyAlignment="1">
      <alignment horizontal="right" vertical="center"/>
    </xf>
    <xf numFmtId="3" fontId="38" fillId="0" borderId="4" xfId="0" applyNumberFormat="1" applyFont="1" applyBorder="1" applyAlignment="1">
      <alignment horizontal="right" vertical="center" wrapText="1"/>
    </xf>
    <xf numFmtId="187" fontId="38" fillId="0" borderId="4" xfId="0" applyNumberFormat="1" applyFont="1" applyBorder="1" applyAlignment="1">
      <alignment horizontal="right" vertical="center" wrapText="1"/>
    </xf>
    <xf numFmtId="9" fontId="38" fillId="0" borderId="4" xfId="0" applyNumberFormat="1" applyFont="1" applyBorder="1" applyAlignment="1">
      <alignment horizontal="right" vertical="center" wrapText="1"/>
    </xf>
    <xf numFmtId="3" fontId="25" fillId="0" borderId="4" xfId="0" applyNumberFormat="1" applyFont="1" applyBorder="1" applyAlignment="1">
      <alignment horizontal="right" vertical="center"/>
    </xf>
    <xf numFmtId="3" fontId="25" fillId="2" borderId="4" xfId="0" applyNumberFormat="1" applyFont="1" applyFill="1" applyBorder="1" applyAlignment="1">
      <alignment horizontal="right" vertical="center"/>
    </xf>
    <xf numFmtId="187" fontId="25" fillId="0" borderId="4" xfId="0" applyNumberFormat="1" applyFont="1" applyBorder="1" applyAlignment="1">
      <alignment horizontal="right" vertical="center"/>
    </xf>
    <xf numFmtId="184" fontId="38" fillId="0" borderId="4" xfId="0" applyNumberFormat="1" applyFont="1" applyBorder="1" applyAlignment="1">
      <alignment horizontal="right" vertical="center" wrapText="1"/>
    </xf>
    <xf numFmtId="187" fontId="26" fillId="0" borderId="4" xfId="0" applyNumberFormat="1" applyFont="1" applyBorder="1" applyAlignment="1">
      <alignment horizontal="right" vertical="center" wrapText="1"/>
    </xf>
    <xf numFmtId="9" fontId="26" fillId="0" borderId="4" xfId="0" applyNumberFormat="1" applyFont="1" applyBorder="1" applyAlignment="1">
      <alignment horizontal="right" vertical="center" wrapText="1"/>
    </xf>
    <xf numFmtId="9" fontId="24" fillId="0" borderId="4" xfId="0" applyNumberFormat="1" applyFont="1" applyBorder="1" applyAlignment="1">
      <alignment horizontal="right" vertical="center" wrapText="1"/>
    </xf>
    <xf numFmtId="184" fontId="26" fillId="0" borderId="4" xfId="0" applyNumberFormat="1" applyFont="1" applyBorder="1" applyAlignment="1">
      <alignment horizontal="right" vertical="center" wrapText="1"/>
    </xf>
    <xf numFmtId="9" fontId="24" fillId="0" borderId="4" xfId="0" applyNumberFormat="1" applyFont="1" applyBorder="1" applyAlignment="1">
      <alignment horizontal="right" vertical="center"/>
    </xf>
    <xf numFmtId="9" fontId="25" fillId="0" borderId="4" xfId="0" applyNumberFormat="1" applyFont="1" applyBorder="1" applyAlignment="1">
      <alignment horizontal="right" vertical="center"/>
    </xf>
    <xf numFmtId="184" fontId="24" fillId="0" borderId="4" xfId="0" applyNumberFormat="1" applyFont="1" applyBorder="1" applyAlignment="1">
      <alignment horizontal="right" vertical="center"/>
    </xf>
    <xf numFmtId="3" fontId="24" fillId="0" borderId="6" xfId="0" applyNumberFormat="1" applyFont="1" applyBorder="1" applyAlignment="1">
      <alignment horizontal="right" vertical="center"/>
    </xf>
    <xf numFmtId="187" fontId="24" fillId="0" borderId="6" xfId="0" applyNumberFormat="1" applyFont="1" applyBorder="1" applyAlignment="1">
      <alignment horizontal="right" vertical="center"/>
    </xf>
    <xf numFmtId="184" fontId="24" fillId="0" borderId="6" xfId="0" applyNumberFormat="1" applyFont="1" applyBorder="1" applyAlignment="1">
      <alignment horizontal="right" vertical="center"/>
    </xf>
    <xf numFmtId="0" fontId="26" fillId="0" borderId="0" xfId="0" quotePrefix="1" applyFont="1" applyAlignment="1">
      <alignment horizontal="left" vertical="center" wrapText="1"/>
    </xf>
    <xf numFmtId="0" fontId="26" fillId="0" borderId="0" xfId="0" applyFont="1" applyAlignment="1">
      <alignment horizontal="left" vertical="center" wrapText="1"/>
    </xf>
    <xf numFmtId="3" fontId="25" fillId="2" borderId="4" xfId="1" applyNumberFormat="1" applyFont="1" applyFill="1" applyBorder="1" applyAlignment="1">
      <alignment horizontal="right" vertical="center" wrapText="1"/>
    </xf>
    <xf numFmtId="175" fontId="25" fillId="2" borderId="4" xfId="1" applyNumberFormat="1" applyFont="1" applyFill="1" applyBorder="1" applyAlignment="1">
      <alignment vertical="center" wrapText="1"/>
    </xf>
    <xf numFmtId="175" fontId="24" fillId="2" borderId="4" xfId="1" applyNumberFormat="1" applyFont="1" applyFill="1" applyBorder="1" applyAlignment="1">
      <alignment vertical="center" wrapText="1"/>
    </xf>
    <xf numFmtId="0" fontId="52" fillId="4" borderId="0" xfId="0" applyFont="1" applyFill="1" applyAlignment="1">
      <alignment wrapText="1"/>
    </xf>
    <xf numFmtId="175" fontId="9" fillId="4" borderId="4" xfId="1" applyNumberFormat="1" applyFont="1" applyFill="1" applyBorder="1" applyAlignment="1">
      <alignment horizontal="center" vertical="center" wrapText="1"/>
    </xf>
    <xf numFmtId="175" fontId="9" fillId="4" borderId="4" xfId="1" applyNumberFormat="1" applyFont="1" applyFill="1" applyBorder="1" applyAlignment="1">
      <alignment vertical="center" wrapText="1"/>
    </xf>
    <xf numFmtId="0" fontId="9" fillId="4" borderId="4" xfId="0" applyFont="1" applyFill="1" applyBorder="1" applyAlignment="1">
      <alignment vertical="center" wrapText="1"/>
    </xf>
    <xf numFmtId="175" fontId="5" fillId="4" borderId="4" xfId="1" applyNumberFormat="1" applyFont="1" applyFill="1" applyBorder="1" applyAlignment="1">
      <alignment wrapText="1"/>
    </xf>
    <xf numFmtId="175" fontId="5" fillId="4" borderId="4" xfId="1" applyNumberFormat="1" applyFont="1" applyFill="1" applyBorder="1" applyAlignment="1">
      <alignment horizontal="right" vertical="center" wrapText="1"/>
    </xf>
    <xf numFmtId="49" fontId="9" fillId="4" borderId="4" xfId="0" quotePrefix="1" applyNumberFormat="1" applyFont="1" applyFill="1" applyBorder="1" applyAlignment="1">
      <alignment horizontal="center" vertical="center" wrapText="1"/>
    </xf>
    <xf numFmtId="175" fontId="5" fillId="0" borderId="4" xfId="1" applyNumberFormat="1" applyFont="1" applyFill="1" applyBorder="1" applyAlignment="1">
      <alignment horizontal="right" vertical="center" wrapText="1"/>
    </xf>
    <xf numFmtId="175" fontId="5" fillId="0" borderId="4" xfId="1" applyNumberFormat="1" applyFont="1" applyFill="1" applyBorder="1" applyAlignment="1">
      <alignment vertical="center" wrapText="1"/>
    </xf>
    <xf numFmtId="175" fontId="27" fillId="4" borderId="4" xfId="1" applyNumberFormat="1" applyFont="1" applyFill="1" applyBorder="1"/>
    <xf numFmtId="175" fontId="5" fillId="0" borderId="4" xfId="1" applyNumberFormat="1" applyFont="1" applyBorder="1" applyAlignment="1">
      <alignment horizontal="right" vertical="center" wrapText="1"/>
    </xf>
    <xf numFmtId="3" fontId="7" fillId="4" borderId="4" xfId="0" applyNumberFormat="1" applyFont="1" applyFill="1" applyBorder="1" applyAlignment="1">
      <alignment horizontal="right" wrapText="1"/>
    </xf>
    <xf numFmtId="175" fontId="5" fillId="4" borderId="6" xfId="1" applyNumberFormat="1" applyFont="1" applyFill="1" applyBorder="1" applyAlignment="1">
      <alignment horizontal="left" vertical="center" wrapText="1"/>
    </xf>
    <xf numFmtId="3" fontId="5" fillId="4" borderId="6" xfId="0" applyNumberFormat="1" applyFont="1" applyFill="1" applyBorder="1" applyAlignment="1">
      <alignment vertical="center" wrapText="1"/>
    </xf>
    <xf numFmtId="3" fontId="29" fillId="4" borderId="6" xfId="0" applyNumberFormat="1" applyFont="1" applyFill="1" applyBorder="1" applyAlignment="1">
      <alignment horizontal="center" vertical="center" wrapText="1"/>
    </xf>
    <xf numFmtId="49" fontId="25" fillId="2" borderId="4" xfId="0" applyNumberFormat="1" applyFont="1" applyFill="1" applyBorder="1" applyAlignment="1">
      <alignment horizontal="center" vertical="center"/>
    </xf>
    <xf numFmtId="49" fontId="25" fillId="2" borderId="4" xfId="0" applyNumberFormat="1" applyFont="1" applyFill="1" applyBorder="1" applyAlignment="1">
      <alignment vertical="center"/>
    </xf>
    <xf numFmtId="187" fontId="25" fillId="2" borderId="4" xfId="0" applyNumberFormat="1" applyFont="1" applyFill="1" applyBorder="1" applyAlignment="1">
      <alignment horizontal="right" vertical="center"/>
    </xf>
    <xf numFmtId="168" fontId="25" fillId="2" borderId="4" xfId="0" applyNumberFormat="1" applyFont="1" applyFill="1" applyBorder="1" applyAlignment="1">
      <alignment horizontal="center" vertical="center" wrapText="1"/>
    </xf>
    <xf numFmtId="0" fontId="25" fillId="2" borderId="0" xfId="0" applyFont="1" applyFill="1"/>
    <xf numFmtId="49" fontId="24" fillId="2" borderId="4" xfId="0" applyNumberFormat="1" applyFont="1" applyFill="1" applyBorder="1" applyAlignment="1">
      <alignment horizontal="center" vertical="center"/>
    </xf>
    <xf numFmtId="49" fontId="24" fillId="2" borderId="4" xfId="0" applyNumberFormat="1" applyFont="1" applyFill="1" applyBorder="1" applyAlignment="1">
      <alignment vertical="center" wrapText="1"/>
    </xf>
    <xf numFmtId="187" fontId="24" fillId="2" borderId="4" xfId="0" applyNumberFormat="1" applyFont="1" applyFill="1" applyBorder="1" applyAlignment="1">
      <alignment horizontal="right" vertical="center" wrapText="1"/>
    </xf>
    <xf numFmtId="3" fontId="24" fillId="4" borderId="4" xfId="0" applyNumberFormat="1" applyFont="1" applyFill="1" applyBorder="1" applyAlignment="1">
      <alignment wrapText="1"/>
    </xf>
    <xf numFmtId="3" fontId="25" fillId="4" borderId="0" xfId="0" applyNumberFormat="1" applyFont="1" applyFill="1" applyAlignment="1">
      <alignment wrapText="1"/>
    </xf>
    <xf numFmtId="3" fontId="7" fillId="4" borderId="4" xfId="0" applyNumberFormat="1" applyFont="1" applyFill="1" applyBorder="1" applyAlignment="1">
      <alignment horizontal="center" vertical="center" wrapText="1"/>
    </xf>
    <xf numFmtId="49" fontId="9" fillId="4" borderId="4" xfId="0" quotePrefix="1" applyNumberFormat="1" applyFont="1" applyFill="1" applyBorder="1" applyAlignment="1">
      <alignment vertical="center" wrapText="1"/>
    </xf>
    <xf numFmtId="49" fontId="5" fillId="0" borderId="4" xfId="0" applyNumberFormat="1" applyFont="1" applyBorder="1" applyAlignment="1">
      <alignment horizontal="justify" vertical="center"/>
    </xf>
    <xf numFmtId="3" fontId="9" fillId="4" borderId="4" xfId="1" applyNumberFormat="1" applyFont="1" applyFill="1" applyBorder="1" applyAlignment="1">
      <alignment horizontal="center" vertical="center" wrapText="1"/>
    </xf>
    <xf numFmtId="3" fontId="9" fillId="4" borderId="4" xfId="1" applyNumberFormat="1" applyFont="1" applyFill="1" applyBorder="1" applyAlignment="1">
      <alignment horizontal="right" vertical="center" wrapText="1"/>
    </xf>
    <xf numFmtId="3" fontId="14" fillId="4" borderId="4" xfId="0" applyNumberFormat="1" applyFont="1" applyFill="1" applyBorder="1" applyAlignment="1">
      <alignment horizontal="center" vertical="center"/>
    </xf>
    <xf numFmtId="173" fontId="5" fillId="4" borderId="4" xfId="1" applyNumberFormat="1" applyFont="1" applyFill="1" applyBorder="1" applyAlignment="1">
      <alignment horizontal="center" vertical="center" wrapText="1"/>
    </xf>
    <xf numFmtId="173" fontId="5" fillId="4" borderId="4" xfId="0" applyNumberFormat="1" applyFont="1" applyFill="1" applyBorder="1" applyAlignment="1">
      <alignment horizontal="center" vertical="center" wrapText="1"/>
    </xf>
    <xf numFmtId="173" fontId="7" fillId="4" borderId="4" xfId="0" applyNumberFormat="1" applyFont="1" applyFill="1" applyBorder="1" applyAlignment="1">
      <alignment horizontal="center" vertical="center" wrapText="1"/>
    </xf>
    <xf numFmtId="173" fontId="9" fillId="4" borderId="4" xfId="0" applyNumberFormat="1" applyFont="1" applyFill="1" applyBorder="1" applyAlignment="1">
      <alignment horizontal="center" vertical="center" wrapText="1"/>
    </xf>
    <xf numFmtId="173" fontId="9" fillId="4" borderId="4" xfId="1" applyNumberFormat="1" applyFont="1" applyFill="1" applyBorder="1" applyAlignment="1">
      <alignment horizontal="center" vertical="center" wrapText="1"/>
    </xf>
    <xf numFmtId="173" fontId="5" fillId="4" borderId="4" xfId="1" quotePrefix="1" applyNumberFormat="1" applyFont="1" applyFill="1" applyBorder="1" applyAlignment="1">
      <alignment horizontal="center" vertical="center" wrapText="1"/>
    </xf>
    <xf numFmtId="0" fontId="25" fillId="5" borderId="0" xfId="0" applyFont="1" applyFill="1" applyAlignment="1">
      <alignment horizontal="center" vertical="center"/>
    </xf>
    <xf numFmtId="49" fontId="26" fillId="5" borderId="2" xfId="0" applyNumberFormat="1" applyFont="1" applyFill="1" applyBorder="1" applyAlignment="1">
      <alignment horizontal="center" vertical="center" wrapText="1"/>
    </xf>
    <xf numFmtId="3" fontId="7" fillId="5" borderId="4" xfId="1" applyNumberFormat="1" applyFont="1" applyFill="1" applyBorder="1" applyAlignment="1">
      <alignment horizontal="right" vertical="center" wrapText="1"/>
    </xf>
    <xf numFmtId="3" fontId="5" fillId="5" borderId="4" xfId="1" applyNumberFormat="1" applyFont="1" applyFill="1" applyBorder="1" applyAlignment="1">
      <alignment horizontal="right" vertical="center" wrapText="1"/>
    </xf>
    <xf numFmtId="3" fontId="9" fillId="5" borderId="4" xfId="1" applyNumberFormat="1" applyFont="1" applyFill="1" applyBorder="1" applyAlignment="1">
      <alignment horizontal="right" vertical="center" wrapText="1"/>
    </xf>
    <xf numFmtId="3" fontId="25" fillId="5" borderId="6" xfId="0" applyNumberFormat="1" applyFont="1" applyFill="1" applyBorder="1" applyAlignment="1">
      <alignment horizontal="right" vertical="center"/>
    </xf>
    <xf numFmtId="0" fontId="36" fillId="5" borderId="0" xfId="0" applyFont="1" applyFill="1"/>
    <xf numFmtId="0" fontId="53" fillId="0" borderId="0" xfId="0" applyFont="1" applyAlignment="1">
      <alignment vertical="center"/>
    </xf>
    <xf numFmtId="170" fontId="24" fillId="0" borderId="0" xfId="0" applyNumberFormat="1" applyFont="1" applyAlignment="1">
      <alignment wrapText="1"/>
    </xf>
    <xf numFmtId="168" fontId="24" fillId="4" borderId="0" xfId="0" applyNumberFormat="1" applyFont="1" applyFill="1" applyAlignment="1">
      <alignment horizontal="left" wrapText="1"/>
    </xf>
    <xf numFmtId="0" fontId="25" fillId="5" borderId="1" xfId="0" applyFont="1" applyFill="1" applyBorder="1" applyAlignment="1">
      <alignment vertical="center" wrapText="1"/>
    </xf>
    <xf numFmtId="0" fontId="25" fillId="5" borderId="2" xfId="0" applyFont="1" applyFill="1" applyBorder="1" applyAlignment="1">
      <alignment horizontal="center" vertical="center" wrapText="1"/>
    </xf>
    <xf numFmtId="3" fontId="25" fillId="5" borderId="4" xfId="0" applyNumberFormat="1" applyFont="1" applyFill="1" applyBorder="1" applyAlignment="1">
      <alignment horizontal="right" vertical="center" wrapText="1"/>
    </xf>
    <xf numFmtId="49" fontId="24" fillId="0" borderId="4" xfId="0" applyNumberFormat="1" applyFont="1" applyBorder="1" applyAlignment="1">
      <alignment horizontal="justify" vertical="center" wrapText="1"/>
    </xf>
    <xf numFmtId="3" fontId="24" fillId="5" borderId="4" xfId="0" applyNumberFormat="1" applyFont="1" applyFill="1" applyBorder="1" applyAlignment="1">
      <alignment horizontal="right" vertical="center" wrapText="1"/>
    </xf>
    <xf numFmtId="3" fontId="24" fillId="5" borderId="6" xfId="0" applyNumberFormat="1" applyFont="1" applyFill="1" applyBorder="1" applyAlignment="1">
      <alignment horizontal="right" vertical="center" wrapText="1"/>
    </xf>
    <xf numFmtId="0" fontId="24" fillId="5" borderId="0" xfId="0" applyFont="1" applyFill="1" applyAlignment="1">
      <alignment horizontal="right" vertical="center" wrapText="1"/>
    </xf>
    <xf numFmtId="0" fontId="25" fillId="5" borderId="5" xfId="0" applyFont="1" applyFill="1" applyBorder="1" applyAlignment="1">
      <alignment horizontal="center" vertical="center" wrapText="1"/>
    </xf>
    <xf numFmtId="49" fontId="5" fillId="0" borderId="0" xfId="0" applyNumberFormat="1" applyFont="1" applyAlignment="1">
      <alignment horizontal="center" vertical="center" wrapText="1"/>
    </xf>
    <xf numFmtId="2" fontId="5" fillId="0" borderId="0" xfId="0" applyNumberFormat="1" applyFont="1" applyAlignment="1">
      <alignment horizontal="left" vertical="center" wrapText="1"/>
    </xf>
    <xf numFmtId="1" fontId="5" fillId="0" borderId="0" xfId="0" applyNumberFormat="1" applyFont="1" applyAlignment="1">
      <alignment horizontal="center" vertical="center" wrapText="1"/>
    </xf>
    <xf numFmtId="3" fontId="7" fillId="0" borderId="11" xfId="0" quotePrefix="1" applyNumberFormat="1" applyFont="1" applyBorder="1" applyAlignment="1">
      <alignment horizontal="right" vertical="center" wrapText="1"/>
    </xf>
    <xf numFmtId="3" fontId="5" fillId="4" borderId="4" xfId="0" quotePrefix="1" applyNumberFormat="1" applyFont="1" applyFill="1" applyBorder="1" applyAlignment="1">
      <alignment horizontal="center" vertical="center" wrapText="1"/>
    </xf>
    <xf numFmtId="173" fontId="5" fillId="4" borderId="4" xfId="0" quotePrefix="1" applyNumberFormat="1" applyFont="1" applyFill="1" applyBorder="1" applyAlignment="1">
      <alignment horizontal="center" vertical="center" wrapText="1"/>
    </xf>
    <xf numFmtId="0" fontId="26" fillId="5" borderId="2" xfId="0" applyFont="1" applyFill="1" applyBorder="1" applyAlignment="1">
      <alignment horizontal="center" vertical="center" wrapText="1"/>
    </xf>
    <xf numFmtId="3" fontId="25" fillId="5" borderId="4" xfId="0" quotePrefix="1" applyNumberFormat="1" applyFont="1" applyFill="1" applyBorder="1" applyAlignment="1">
      <alignment horizontal="right" vertical="center" wrapText="1"/>
    </xf>
    <xf numFmtId="3" fontId="7" fillId="5" borderId="4" xfId="0" quotePrefix="1" applyNumberFormat="1" applyFont="1" applyFill="1" applyBorder="1" applyAlignment="1">
      <alignment horizontal="right" vertical="center" wrapText="1"/>
    </xf>
    <xf numFmtId="3" fontId="23" fillId="5" borderId="4" xfId="0" quotePrefix="1" applyNumberFormat="1" applyFont="1" applyFill="1" applyBorder="1" applyAlignment="1">
      <alignment horizontal="right" vertical="center" wrapText="1"/>
    </xf>
    <xf numFmtId="3" fontId="23" fillId="5" borderId="4" xfId="0" applyNumberFormat="1" applyFont="1" applyFill="1" applyBorder="1" applyAlignment="1">
      <alignment horizontal="right" vertical="center" wrapText="1"/>
    </xf>
    <xf numFmtId="3" fontId="5" fillId="5" borderId="6" xfId="0" quotePrefix="1" applyNumberFormat="1" applyFont="1" applyFill="1" applyBorder="1" applyAlignment="1">
      <alignment horizontal="right" vertical="center" wrapText="1"/>
    </xf>
    <xf numFmtId="0" fontId="24" fillId="5" borderId="0" xfId="0" applyFont="1" applyFill="1" applyAlignment="1">
      <alignment wrapText="1"/>
    </xf>
    <xf numFmtId="49" fontId="5" fillId="4" borderId="4" xfId="1" quotePrefix="1" applyNumberFormat="1" applyFont="1" applyFill="1" applyBorder="1" applyAlignment="1">
      <alignment horizontal="center" vertical="center" wrapText="1"/>
    </xf>
    <xf numFmtId="49" fontId="5" fillId="4" borderId="4" xfId="0" applyNumberFormat="1" applyFont="1" applyFill="1" applyBorder="1" applyAlignment="1">
      <alignment horizontal="center" vertical="center"/>
    </xf>
    <xf numFmtId="168" fontId="26" fillId="0" borderId="4" xfId="0" applyNumberFormat="1" applyFont="1" applyBorder="1" applyAlignment="1">
      <alignment horizontal="right" vertical="center" wrapText="1"/>
    </xf>
    <xf numFmtId="3" fontId="5" fillId="2" borderId="4" xfId="0" applyNumberFormat="1" applyFont="1" applyFill="1" applyBorder="1" applyAlignment="1">
      <alignment horizontal="center" vertical="center" wrapText="1"/>
    </xf>
    <xf numFmtId="49" fontId="31" fillId="4" borderId="4" xfId="0" applyNumberFormat="1" applyFont="1" applyFill="1" applyBorder="1"/>
    <xf numFmtId="49" fontId="5" fillId="4" borderId="4" xfId="0" applyNumberFormat="1" applyFont="1" applyFill="1" applyBorder="1" applyAlignment="1">
      <alignment wrapText="1"/>
    </xf>
    <xf numFmtId="49" fontId="7" fillId="4" borderId="4" xfId="0" applyNumberFormat="1" applyFont="1" applyFill="1" applyBorder="1" applyAlignment="1">
      <alignment horizontal="center" vertical="center"/>
    </xf>
    <xf numFmtId="3" fontId="5" fillId="2" borderId="4" xfId="0" quotePrefix="1" applyNumberFormat="1" applyFont="1" applyFill="1" applyBorder="1" applyAlignment="1">
      <alignment horizontal="center" vertical="center" wrapText="1"/>
    </xf>
    <xf numFmtId="49" fontId="31" fillId="4" borderId="4" xfId="0" applyNumberFormat="1" applyFont="1" applyFill="1" applyBorder="1" applyAlignment="1">
      <alignment horizontal="center" vertical="center" wrapText="1"/>
    </xf>
    <xf numFmtId="3" fontId="5" fillId="4" borderId="4" xfId="3" applyNumberFormat="1" applyFont="1" applyFill="1" applyBorder="1" applyAlignment="1">
      <alignment horizontal="center" vertical="center" wrapText="1"/>
    </xf>
    <xf numFmtId="49" fontId="5" fillId="4" borderId="4" xfId="1" applyNumberFormat="1" applyFont="1" applyFill="1" applyBorder="1" applyAlignment="1">
      <alignment horizontal="center" vertical="center" wrapText="1"/>
    </xf>
    <xf numFmtId="49" fontId="5" fillId="4" borderId="4" xfId="1" applyNumberFormat="1" applyFont="1" applyFill="1" applyBorder="1" applyAlignment="1">
      <alignment horizontal="left" vertical="center" wrapText="1"/>
    </xf>
    <xf numFmtId="49" fontId="5" fillId="4" borderId="6" xfId="0" applyNumberFormat="1" applyFont="1" applyFill="1" applyBorder="1" applyAlignment="1">
      <alignment horizontal="left" vertical="center" wrapText="1"/>
    </xf>
    <xf numFmtId="3" fontId="5" fillId="4" borderId="6" xfId="0" applyNumberFormat="1" applyFont="1" applyFill="1" applyBorder="1" applyAlignment="1">
      <alignment horizontal="center" vertical="center" wrapText="1"/>
    </xf>
    <xf numFmtId="3" fontId="5" fillId="4" borderId="6" xfId="0" quotePrefix="1" applyNumberFormat="1" applyFont="1" applyFill="1" applyBorder="1" applyAlignment="1">
      <alignment horizontal="right" vertical="center" wrapText="1"/>
    </xf>
    <xf numFmtId="168" fontId="25" fillId="3" borderId="4" xfId="0" quotePrefix="1" applyNumberFormat="1" applyFont="1" applyFill="1" applyBorder="1" applyAlignment="1">
      <alignment horizontal="right" vertical="center" wrapText="1"/>
    </xf>
    <xf numFmtId="3" fontId="5" fillId="3" borderId="6" xfId="0" quotePrefix="1" applyNumberFormat="1" applyFont="1" applyFill="1" applyBorder="1" applyAlignment="1">
      <alignment horizontal="right" vertical="center" wrapText="1"/>
    </xf>
    <xf numFmtId="0" fontId="24" fillId="3" borderId="0" xfId="0" applyFont="1" applyFill="1"/>
    <xf numFmtId="3" fontId="24" fillId="3" borderId="4" xfId="0" applyNumberFormat="1" applyFont="1" applyFill="1" applyBorder="1" applyAlignment="1">
      <alignment horizontal="right" vertical="center"/>
    </xf>
    <xf numFmtId="0" fontId="38" fillId="3" borderId="0" xfId="0" applyFont="1" applyFill="1" applyAlignment="1">
      <alignment horizontal="left" vertical="center" wrapText="1"/>
    </xf>
    <xf numFmtId="0" fontId="26" fillId="3" borderId="0" xfId="0" quotePrefix="1" applyFont="1" applyFill="1" applyAlignment="1">
      <alignment horizontal="left" vertical="center" wrapText="1"/>
    </xf>
    <xf numFmtId="3" fontId="25" fillId="3" borderId="10" xfId="0" applyNumberFormat="1" applyFont="1" applyFill="1" applyBorder="1" applyAlignment="1">
      <alignment horizontal="right" vertical="center" wrapText="1"/>
    </xf>
    <xf numFmtId="3" fontId="38" fillId="3" borderId="4" xfId="0" applyNumberFormat="1" applyFont="1" applyFill="1" applyBorder="1" applyAlignment="1">
      <alignment horizontal="right" vertical="center" wrapText="1"/>
    </xf>
    <xf numFmtId="3" fontId="25" fillId="3" borderId="4" xfId="0" applyNumberFormat="1" applyFont="1" applyFill="1" applyBorder="1" applyAlignment="1">
      <alignment horizontal="right" vertical="center"/>
    </xf>
    <xf numFmtId="3" fontId="24" fillId="3" borderId="6" xfId="0" applyNumberFormat="1" applyFont="1" applyFill="1" applyBorder="1" applyAlignment="1">
      <alignment horizontal="right" vertical="center"/>
    </xf>
    <xf numFmtId="49" fontId="5" fillId="0" borderId="4" xfId="0" quotePrefix="1" applyNumberFormat="1" applyFont="1" applyBorder="1" applyAlignment="1">
      <alignment horizontal="left" vertical="center" wrapText="1"/>
    </xf>
    <xf numFmtId="0" fontId="5" fillId="0" borderId="0" xfId="0" applyFont="1"/>
    <xf numFmtId="3" fontId="7" fillId="0" borderId="10" xfId="0" applyNumberFormat="1" applyFont="1" applyBorder="1" applyAlignment="1">
      <alignment horizontal="right" vertical="center" wrapText="1"/>
    </xf>
    <xf numFmtId="3" fontId="5" fillId="0" borderId="4" xfId="0" applyNumberFormat="1" applyFont="1" applyBorder="1" applyAlignment="1">
      <alignment horizontal="right" vertical="center"/>
    </xf>
    <xf numFmtId="3" fontId="7" fillId="0" borderId="4" xfId="0" applyNumberFormat="1" applyFont="1" applyBorder="1" applyAlignment="1">
      <alignment horizontal="right" vertical="center"/>
    </xf>
    <xf numFmtId="3" fontId="7" fillId="2" borderId="4" xfId="0" applyNumberFormat="1" applyFont="1" applyFill="1" applyBorder="1" applyAlignment="1">
      <alignment horizontal="right" vertical="center"/>
    </xf>
    <xf numFmtId="3" fontId="22" fillId="0" borderId="4" xfId="0" applyNumberFormat="1" applyFont="1" applyBorder="1" applyAlignment="1">
      <alignment horizontal="right" vertical="center" wrapText="1"/>
    </xf>
    <xf numFmtId="0" fontId="5" fillId="0" borderId="0" xfId="0" applyFont="1" applyAlignment="1">
      <alignment horizontal="right" vertical="center" wrapText="1"/>
    </xf>
    <xf numFmtId="3" fontId="5" fillId="0" borderId="0" xfId="0" applyNumberFormat="1" applyFont="1" applyAlignment="1">
      <alignment horizontal="right" vertical="center" wrapText="1"/>
    </xf>
    <xf numFmtId="3" fontId="5" fillId="0" borderId="0" xfId="0" applyNumberFormat="1" applyFont="1" applyAlignment="1">
      <alignment horizontal="right" wrapText="1"/>
    </xf>
    <xf numFmtId="0" fontId="5" fillId="0" borderId="0" xfId="0" applyFont="1" applyAlignment="1">
      <alignment horizontal="right" wrapText="1"/>
    </xf>
    <xf numFmtId="168" fontId="9" fillId="4" borderId="4" xfId="0" applyNumberFormat="1" applyFont="1" applyFill="1" applyBorder="1" applyAlignment="1">
      <alignment horizontal="center" vertical="center" wrapText="1"/>
    </xf>
    <xf numFmtId="168" fontId="5" fillId="4" borderId="4" xfId="0" applyNumberFormat="1" applyFont="1" applyFill="1" applyBorder="1" applyAlignment="1">
      <alignment horizontal="center" vertical="center" wrapText="1"/>
    </xf>
    <xf numFmtId="2" fontId="5" fillId="4" borderId="4" xfId="0" applyNumberFormat="1" applyFont="1" applyFill="1" applyBorder="1" applyAlignment="1">
      <alignment horizontal="center" vertical="center" wrapText="1"/>
    </xf>
    <xf numFmtId="3" fontId="7" fillId="4" borderId="4" xfId="0" quotePrefix="1" applyNumberFormat="1" applyFont="1" applyFill="1" applyBorder="1" applyAlignment="1">
      <alignment horizontal="right" vertical="center" wrapText="1"/>
    </xf>
    <xf numFmtId="0" fontId="9" fillId="0" borderId="0" xfId="0" quotePrefix="1" applyFont="1" applyAlignment="1">
      <alignment horizontal="left" vertical="center" wrapText="1"/>
    </xf>
    <xf numFmtId="0" fontId="4" fillId="0" borderId="0" xfId="0" applyFont="1" applyAlignment="1">
      <alignment horizontal="left" vertical="center" wrapText="1"/>
    </xf>
    <xf numFmtId="0" fontId="5" fillId="3" borderId="0" xfId="0" applyFont="1" applyFill="1"/>
    <xf numFmtId="0" fontId="5" fillId="0" borderId="0" xfId="0" applyFont="1" applyAlignment="1">
      <alignment vertical="center"/>
    </xf>
    <xf numFmtId="0" fontId="7" fillId="0" borderId="15" xfId="0" applyFont="1" applyBorder="1" applyAlignment="1">
      <alignment vertical="center" wrapText="1"/>
    </xf>
    <xf numFmtId="0" fontId="7" fillId="0" borderId="16" xfId="0" applyFont="1" applyBorder="1" applyAlignment="1">
      <alignment vertical="center" wrapText="1"/>
    </xf>
    <xf numFmtId="49" fontId="9" fillId="0" borderId="0" xfId="0" applyNumberFormat="1" applyFont="1" applyAlignment="1">
      <alignment horizontal="center" vertical="center" wrapText="1"/>
    </xf>
    <xf numFmtId="49" fontId="9" fillId="0" borderId="0" xfId="0" applyNumberFormat="1" applyFont="1"/>
    <xf numFmtId="184" fontId="7" fillId="0" borderId="4" xfId="0" applyNumberFormat="1" applyFont="1" applyBorder="1" applyAlignment="1">
      <alignment horizontal="right" vertical="center" wrapText="1"/>
    </xf>
    <xf numFmtId="3" fontId="5" fillId="0" borderId="0" xfId="0" applyNumberFormat="1" applyFont="1" applyAlignment="1">
      <alignment horizontal="center" vertical="center" wrapText="1"/>
    </xf>
    <xf numFmtId="3" fontId="5" fillId="0" borderId="0" xfId="0" applyNumberFormat="1" applyFont="1"/>
    <xf numFmtId="49" fontId="7" fillId="0" borderId="4" xfId="0" applyNumberFormat="1" applyFont="1" applyBorder="1" applyAlignment="1">
      <alignment horizontal="center" vertical="center"/>
    </xf>
    <xf numFmtId="49" fontId="7" fillId="3" borderId="4" xfId="0" applyNumberFormat="1" applyFont="1" applyFill="1" applyBorder="1" applyAlignment="1">
      <alignment vertical="center" wrapText="1"/>
    </xf>
    <xf numFmtId="10" fontId="7" fillId="0" borderId="4" xfId="0" applyNumberFormat="1" applyFont="1" applyBorder="1" applyAlignment="1">
      <alignment horizontal="right" vertical="center" wrapText="1"/>
    </xf>
    <xf numFmtId="168" fontId="5" fillId="0" borderId="0" xfId="0" applyNumberFormat="1" applyFont="1"/>
    <xf numFmtId="1" fontId="5" fillId="0" borderId="4" xfId="0" applyNumberFormat="1" applyFont="1" applyBorder="1" applyAlignment="1">
      <alignment horizontal="center" vertical="center"/>
    </xf>
    <xf numFmtId="49" fontId="5" fillId="0" borderId="4" xfId="0" applyNumberFormat="1" applyFont="1" applyBorder="1" applyAlignment="1">
      <alignment vertical="center" wrapText="1"/>
    </xf>
    <xf numFmtId="49" fontId="5" fillId="3" borderId="4" xfId="0" applyNumberFormat="1" applyFont="1" applyFill="1" applyBorder="1" applyAlignment="1">
      <alignment vertical="center" wrapText="1"/>
    </xf>
    <xf numFmtId="10" fontId="5" fillId="0" borderId="4" xfId="0" applyNumberFormat="1" applyFont="1" applyBorder="1" applyAlignment="1">
      <alignment horizontal="right" vertical="center" wrapText="1"/>
    </xf>
    <xf numFmtId="187" fontId="7" fillId="0" borderId="4" xfId="0" applyNumberFormat="1" applyFont="1" applyBorder="1" applyAlignment="1">
      <alignment horizontal="right" vertical="center" wrapText="1"/>
    </xf>
    <xf numFmtId="49" fontId="5" fillId="0" borderId="4" xfId="0" applyNumberFormat="1" applyFont="1" applyBorder="1" applyAlignment="1">
      <alignment vertical="center"/>
    </xf>
    <xf numFmtId="49" fontId="5" fillId="3" borderId="4" xfId="0" applyNumberFormat="1" applyFont="1" applyFill="1" applyBorder="1" applyAlignment="1">
      <alignment vertical="center"/>
    </xf>
    <xf numFmtId="187" fontId="5" fillId="0" borderId="4" xfId="0" applyNumberFormat="1" applyFont="1" applyBorder="1" applyAlignment="1">
      <alignment horizontal="right" vertical="center"/>
    </xf>
    <xf numFmtId="49" fontId="7" fillId="0" borderId="6" xfId="0" applyNumberFormat="1" applyFont="1" applyBorder="1" applyAlignment="1">
      <alignment horizontal="center" vertical="center"/>
    </xf>
    <xf numFmtId="49" fontId="7" fillId="0" borderId="6" xfId="0" applyNumberFormat="1" applyFont="1" applyBorder="1" applyAlignment="1">
      <alignment vertical="center"/>
    </xf>
    <xf numFmtId="49" fontId="7" fillId="3" borderId="6" xfId="0" applyNumberFormat="1" applyFont="1" applyFill="1" applyBorder="1" applyAlignment="1">
      <alignment vertical="center"/>
    </xf>
    <xf numFmtId="3" fontId="7" fillId="0" borderId="6" xfId="0" applyNumberFormat="1" applyFont="1" applyBorder="1" applyAlignment="1">
      <alignment horizontal="right" vertical="center"/>
    </xf>
    <xf numFmtId="187" fontId="7" fillId="0" borderId="6" xfId="0" applyNumberFormat="1" applyFont="1" applyBorder="1" applyAlignment="1">
      <alignment horizontal="right" vertical="center"/>
    </xf>
    <xf numFmtId="184" fontId="7" fillId="0" borderId="6" xfId="0" applyNumberFormat="1" applyFont="1" applyBorder="1" applyAlignment="1">
      <alignment vertical="center" wrapText="1"/>
    </xf>
    <xf numFmtId="10" fontId="7" fillId="0" borderId="6" xfId="0" applyNumberFormat="1" applyFont="1" applyBorder="1" applyAlignment="1">
      <alignment horizontal="right" vertical="center" wrapText="1"/>
    </xf>
    <xf numFmtId="168" fontId="5" fillId="0" borderId="6" xfId="0" applyNumberFormat="1" applyFont="1" applyBorder="1" applyAlignment="1">
      <alignment horizontal="center" vertical="center" wrapText="1"/>
    </xf>
    <xf numFmtId="168" fontId="7" fillId="0" borderId="0" xfId="0" applyNumberFormat="1" applyFont="1"/>
    <xf numFmtId="0" fontId="4" fillId="3" borderId="0" xfId="0" applyFont="1" applyFill="1" applyAlignment="1">
      <alignment horizontal="left" vertical="center" wrapText="1"/>
    </xf>
    <xf numFmtId="0" fontId="5" fillId="0" borderId="0" xfId="0" quotePrefix="1" applyFont="1" applyAlignment="1">
      <alignment vertical="center"/>
    </xf>
    <xf numFmtId="0" fontId="5" fillId="3" borderId="0" xfId="0" quotePrefix="1" applyFont="1" applyFill="1" applyAlignment="1">
      <alignment vertical="center"/>
    </xf>
    <xf numFmtId="0" fontId="9" fillId="3" borderId="0" xfId="0" quotePrefix="1" applyFont="1" applyFill="1" applyAlignment="1">
      <alignment horizontal="left" vertical="center" wrapText="1"/>
    </xf>
    <xf numFmtId="49" fontId="7" fillId="0" borderId="10" xfId="0" applyNumberFormat="1" applyFont="1" applyBorder="1" applyAlignment="1">
      <alignment horizontal="center" vertical="center"/>
    </xf>
    <xf numFmtId="49" fontId="7" fillId="0" borderId="10" xfId="0" applyNumberFormat="1" applyFont="1" applyBorder="1" applyAlignment="1">
      <alignment vertical="center" wrapText="1"/>
    </xf>
    <xf numFmtId="49" fontId="5" fillId="0" borderId="4"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4" fillId="0" borderId="4" xfId="0" applyNumberFormat="1" applyFont="1" applyBorder="1" applyAlignment="1">
      <alignment vertical="center" wrapText="1"/>
    </xf>
    <xf numFmtId="0" fontId="4" fillId="0" borderId="0" xfId="0" applyFont="1"/>
    <xf numFmtId="49" fontId="5" fillId="0" borderId="6" xfId="0" applyNumberFormat="1" applyFont="1" applyBorder="1" applyAlignment="1">
      <alignment horizontal="center" vertical="center"/>
    </xf>
    <xf numFmtId="49" fontId="5" fillId="0" borderId="6" xfId="0" applyNumberFormat="1" applyFont="1" applyBorder="1" applyAlignment="1">
      <alignment vertical="center"/>
    </xf>
    <xf numFmtId="168" fontId="54" fillId="0" borderId="4"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0" fontId="4" fillId="0" borderId="0" xfId="0" applyFont="1" applyAlignment="1">
      <alignment horizontal="right" vertical="center" wrapText="1"/>
    </xf>
    <xf numFmtId="168" fontId="4" fillId="0" borderId="0" xfId="0" applyNumberFormat="1" applyFont="1" applyAlignment="1">
      <alignment horizontal="right" vertical="center" wrapText="1"/>
    </xf>
    <xf numFmtId="168" fontId="7" fillId="0" borderId="3" xfId="0" applyNumberFormat="1" applyFont="1" applyBorder="1" applyAlignment="1">
      <alignment horizontal="center" vertical="center" wrapText="1"/>
    </xf>
    <xf numFmtId="49" fontId="5" fillId="0" borderId="4" xfId="1" applyNumberFormat="1" applyFont="1" applyFill="1" applyBorder="1" applyAlignment="1">
      <alignment horizontal="center" vertical="center" wrapText="1"/>
    </xf>
    <xf numFmtId="3" fontId="20" fillId="0" borderId="4" xfId="0" quotePrefix="1" applyNumberFormat="1" applyFont="1" applyBorder="1" applyAlignment="1">
      <alignment horizontal="center" vertical="center" wrapText="1"/>
    </xf>
    <xf numFmtId="49" fontId="5" fillId="0" borderId="6" xfId="0" quotePrefix="1" applyNumberFormat="1" applyFont="1" applyBorder="1" applyAlignment="1">
      <alignment horizontal="center" vertical="center" wrapText="1"/>
    </xf>
    <xf numFmtId="49" fontId="5" fillId="0" borderId="6" xfId="0" applyNumberFormat="1" applyFont="1" applyBorder="1" applyAlignment="1">
      <alignment horizontal="left" vertical="center" wrapText="1"/>
    </xf>
    <xf numFmtId="3" fontId="5" fillId="0" borderId="6" xfId="0" applyNumberFormat="1" applyFont="1" applyBorder="1" applyAlignment="1">
      <alignment horizontal="right" vertical="center" wrapText="1"/>
    </xf>
    <xf numFmtId="3" fontId="20" fillId="0" borderId="6" xfId="0" quotePrefix="1" applyNumberFormat="1" applyFont="1" applyBorder="1" applyAlignment="1">
      <alignment horizontal="center" vertical="center" wrapText="1"/>
    </xf>
    <xf numFmtId="3" fontId="57" fillId="0" borderId="4" xfId="0" applyNumberFormat="1" applyFont="1" applyBorder="1" applyAlignment="1">
      <alignment horizontal="center" vertical="center" wrapText="1"/>
    </xf>
    <xf numFmtId="3" fontId="57" fillId="0" borderId="4" xfId="0" applyNumberFormat="1" applyFont="1" applyBorder="1" applyAlignment="1">
      <alignment vertical="center" wrapText="1"/>
    </xf>
    <xf numFmtId="3" fontId="7" fillId="0" borderId="1" xfId="0" applyNumberFormat="1" applyFont="1" applyBorder="1" applyAlignment="1">
      <alignment horizontal="center" vertical="center" wrapText="1"/>
    </xf>
    <xf numFmtId="49" fontId="4" fillId="0" borderId="4" xfId="0" quotePrefix="1" applyNumberFormat="1" applyFont="1" applyBorder="1" applyAlignment="1">
      <alignment horizontal="left" vertical="center" wrapText="1"/>
    </xf>
    <xf numFmtId="49" fontId="9" fillId="0" borderId="4" xfId="0" quotePrefix="1" applyNumberFormat="1" applyFont="1" applyBorder="1" applyAlignment="1">
      <alignment horizontal="left" vertical="center" wrapText="1"/>
    </xf>
    <xf numFmtId="3" fontId="9" fillId="0" borderId="4" xfId="0" quotePrefix="1" applyNumberFormat="1" applyFont="1" applyBorder="1" applyAlignment="1">
      <alignment horizontal="right" vertical="center" wrapText="1"/>
    </xf>
    <xf numFmtId="168" fontId="5" fillId="0" borderId="4" xfId="0" applyNumberFormat="1" applyFont="1" applyBorder="1" applyAlignment="1">
      <alignment wrapText="1"/>
    </xf>
    <xf numFmtId="49" fontId="4" fillId="0" borderId="4" xfId="0" applyNumberFormat="1" applyFont="1" applyBorder="1" applyAlignment="1">
      <alignment horizontal="left" vertical="center" wrapText="1"/>
    </xf>
    <xf numFmtId="3" fontId="4" fillId="0" borderId="4" xfId="0" quotePrefix="1" applyNumberFormat="1" applyFont="1" applyBorder="1" applyAlignment="1">
      <alignment horizontal="right" vertical="center" wrapText="1"/>
    </xf>
    <xf numFmtId="168" fontId="9" fillId="0" borderId="0" xfId="0" applyNumberFormat="1" applyFont="1" applyAlignment="1">
      <alignment horizontal="center" vertical="center" wrapText="1"/>
    </xf>
    <xf numFmtId="168" fontId="9" fillId="0" borderId="0" xfId="0" applyNumberFormat="1" applyFont="1" applyAlignment="1">
      <alignment horizontal="left" vertical="center" wrapText="1"/>
    </xf>
    <xf numFmtId="168" fontId="9" fillId="0" borderId="0" xfId="0" applyNumberFormat="1" applyFont="1" applyAlignment="1">
      <alignment vertical="center" wrapText="1"/>
    </xf>
    <xf numFmtId="168" fontId="9" fillId="0" borderId="0" xfId="0" quotePrefix="1" applyNumberFormat="1" applyFont="1" applyAlignment="1">
      <alignment horizontal="right" vertical="center" wrapText="1"/>
    </xf>
    <xf numFmtId="168" fontId="7" fillId="0" borderId="4" xfId="0" quotePrefix="1" applyNumberFormat="1" applyFont="1" applyBorder="1" applyAlignment="1">
      <alignment horizontal="center" vertical="center" wrapText="1"/>
    </xf>
    <xf numFmtId="168" fontId="5" fillId="0" borderId="4" xfId="0" quotePrefix="1" applyNumberFormat="1" applyFont="1" applyBorder="1" applyAlignment="1">
      <alignment horizontal="center" vertical="center" wrapText="1"/>
    </xf>
    <xf numFmtId="168" fontId="5" fillId="0" borderId="4" xfId="0" applyNumberFormat="1" applyFont="1" applyBorder="1" applyAlignment="1">
      <alignment vertical="center" wrapText="1"/>
    </xf>
    <xf numFmtId="168" fontId="4" fillId="0" borderId="0" xfId="0" applyNumberFormat="1" applyFont="1" applyAlignment="1">
      <alignment wrapText="1"/>
    </xf>
    <xf numFmtId="168" fontId="9" fillId="0" borderId="6" xfId="0" applyNumberFormat="1" applyFont="1" applyBorder="1" applyAlignment="1">
      <alignment horizontal="center" vertical="center" wrapText="1"/>
    </xf>
    <xf numFmtId="0" fontId="9" fillId="0" borderId="0" xfId="0" applyFont="1" applyAlignment="1">
      <alignment horizontal="right" vertical="center"/>
    </xf>
    <xf numFmtId="175" fontId="5" fillId="0" borderId="4" xfId="0" applyNumberFormat="1" applyFont="1" applyBorder="1" applyAlignment="1">
      <alignment vertical="center" wrapText="1"/>
    </xf>
    <xf numFmtId="0" fontId="7" fillId="0" borderId="4" xfId="0" applyFont="1" applyBorder="1" applyAlignment="1">
      <alignment horizontal="center" vertical="center" wrapText="1"/>
    </xf>
    <xf numFmtId="0" fontId="5" fillId="0" borderId="4" xfId="0" applyFont="1" applyBorder="1" applyAlignment="1">
      <alignment vertical="top" wrapText="1"/>
    </xf>
    <xf numFmtId="0" fontId="7" fillId="0" borderId="6" xfId="0" applyFont="1" applyBorder="1" applyAlignment="1">
      <alignment vertical="center"/>
    </xf>
    <xf numFmtId="0" fontId="14" fillId="0" borderId="0" xfId="0" applyFont="1"/>
    <xf numFmtId="170" fontId="5" fillId="0" borderId="0" xfId="1" applyFont="1" applyFill="1"/>
    <xf numFmtId="0" fontId="7" fillId="0" borderId="0" xfId="0" applyFont="1" applyAlignment="1">
      <alignment horizontal="center" vertical="center"/>
    </xf>
    <xf numFmtId="170" fontId="7" fillId="0" borderId="0" xfId="1" applyFont="1" applyFill="1" applyBorder="1" applyAlignment="1">
      <alignment horizontal="center" vertical="center"/>
    </xf>
    <xf numFmtId="49" fontId="9" fillId="0" borderId="2" xfId="1" applyNumberFormat="1" applyFont="1" applyFill="1" applyBorder="1" applyAlignment="1">
      <alignment horizontal="center" vertical="center" wrapText="1"/>
    </xf>
    <xf numFmtId="0" fontId="5" fillId="0" borderId="4" xfId="0" applyFont="1" applyBorder="1" applyAlignment="1">
      <alignment vertical="center" wrapText="1"/>
    </xf>
    <xf numFmtId="3" fontId="7" fillId="0" borderId="4" xfId="1" applyNumberFormat="1" applyFont="1" applyFill="1" applyBorder="1" applyAlignment="1">
      <alignment horizontal="right" vertical="center" wrapText="1"/>
    </xf>
    <xf numFmtId="0" fontId="7" fillId="0" borderId="4" xfId="0" applyFont="1" applyBorder="1" applyAlignment="1">
      <alignment vertical="center" wrapText="1"/>
    </xf>
    <xf numFmtId="173" fontId="5" fillId="0" borderId="4" xfId="1" applyNumberFormat="1" applyFont="1" applyFill="1" applyBorder="1" applyAlignment="1">
      <alignment horizontal="center" vertical="center" wrapText="1"/>
    </xf>
    <xf numFmtId="49" fontId="14" fillId="0" borderId="0" xfId="0" applyNumberFormat="1" applyFont="1"/>
    <xf numFmtId="173" fontId="7" fillId="0" borderId="4" xfId="0" applyNumberFormat="1" applyFont="1" applyBorder="1" applyAlignment="1">
      <alignment horizontal="center" vertical="center" wrapText="1"/>
    </xf>
    <xf numFmtId="49" fontId="7" fillId="0" borderId="4" xfId="0" applyNumberFormat="1" applyFont="1" applyBorder="1" applyAlignment="1">
      <alignment horizontal="center"/>
    </xf>
    <xf numFmtId="0" fontId="7" fillId="0" borderId="6" xfId="0" applyFont="1" applyBorder="1" applyAlignment="1">
      <alignment horizontal="center" vertical="center"/>
    </xf>
    <xf numFmtId="170" fontId="7" fillId="0" borderId="6" xfId="1" applyFont="1" applyFill="1" applyBorder="1" applyAlignment="1">
      <alignment vertical="center"/>
    </xf>
    <xf numFmtId="3" fontId="7" fillId="0" borderId="6" xfId="1" applyNumberFormat="1" applyFont="1" applyFill="1" applyBorder="1" applyAlignment="1">
      <alignment horizontal="right" vertical="center" wrapText="1"/>
    </xf>
    <xf numFmtId="170" fontId="14" fillId="0" borderId="0" xfId="1" applyFont="1" applyFill="1"/>
    <xf numFmtId="168" fontId="7" fillId="0" borderId="4" xfId="1" applyNumberFormat="1" applyFont="1" applyFill="1" applyBorder="1" applyAlignment="1">
      <alignment horizontal="right" vertical="center" wrapText="1"/>
    </xf>
    <xf numFmtId="49" fontId="5" fillId="0" borderId="4" xfId="0" quotePrefix="1" applyNumberFormat="1" applyFont="1" applyBorder="1" applyAlignment="1">
      <alignment vertical="center" wrapText="1"/>
    </xf>
    <xf numFmtId="0" fontId="28" fillId="0" borderId="0" xfId="0" applyFont="1" applyAlignment="1">
      <alignment wrapText="1"/>
    </xf>
    <xf numFmtId="175" fontId="7" fillId="0" borderId="4" xfId="1" applyNumberFormat="1" applyFont="1" applyFill="1" applyBorder="1" applyAlignment="1">
      <alignment vertical="center" wrapText="1"/>
    </xf>
    <xf numFmtId="0" fontId="52" fillId="0" borderId="0" xfId="0" applyFont="1" applyAlignment="1">
      <alignment wrapText="1"/>
    </xf>
    <xf numFmtId="3" fontId="28" fillId="0" borderId="4" xfId="0" applyNumberFormat="1" applyFont="1" applyBorder="1" applyAlignment="1">
      <alignment horizontal="center" vertical="center" wrapText="1"/>
    </xf>
    <xf numFmtId="49" fontId="27" fillId="0" borderId="0" xfId="0" applyNumberFormat="1" applyFont="1" applyAlignment="1">
      <alignment vertical="center" wrapText="1"/>
    </xf>
    <xf numFmtId="168" fontId="27" fillId="0" borderId="0" xfId="0" applyNumberFormat="1" applyFont="1" applyAlignment="1">
      <alignment horizontal="right" vertical="center" wrapText="1"/>
    </xf>
    <xf numFmtId="0" fontId="27" fillId="0" borderId="0" xfId="0" applyFont="1" applyAlignment="1">
      <alignment vertical="center"/>
    </xf>
    <xf numFmtId="173" fontId="5" fillId="0" borderId="6" xfId="0" applyNumberFormat="1" applyFont="1" applyBorder="1" applyAlignment="1">
      <alignment horizontal="center" vertical="center" wrapText="1"/>
    </xf>
    <xf numFmtId="3" fontId="5" fillId="0" borderId="6" xfId="0" applyNumberFormat="1" applyFont="1" applyBorder="1" applyAlignment="1">
      <alignment horizontal="center" vertical="center" wrapText="1"/>
    </xf>
    <xf numFmtId="3" fontId="5" fillId="0" borderId="8" xfId="0" quotePrefix="1" applyNumberFormat="1" applyFont="1" applyBorder="1" applyAlignment="1">
      <alignment horizontal="center" vertical="center" wrapText="1"/>
    </xf>
    <xf numFmtId="174" fontId="5" fillId="0" borderId="4" xfId="0" quotePrefix="1" applyNumberFormat="1" applyFont="1" applyBorder="1" applyAlignment="1">
      <alignment horizontal="center" vertical="center" wrapText="1"/>
    </xf>
    <xf numFmtId="1" fontId="5" fillId="0" borderId="4" xfId="0" quotePrefix="1" applyNumberFormat="1" applyFont="1" applyBorder="1" applyAlignment="1">
      <alignment horizontal="center" vertical="center" wrapText="1"/>
    </xf>
    <xf numFmtId="2" fontId="5" fillId="0" borderId="4" xfId="0" applyNumberFormat="1" applyFont="1" applyBorder="1" applyAlignment="1">
      <alignment horizontal="justify" vertical="center" wrapText="1"/>
    </xf>
    <xf numFmtId="0" fontId="5" fillId="0" borderId="8" xfId="0" applyFont="1" applyBorder="1" applyAlignment="1">
      <alignment horizontal="left" vertical="center" wrapText="1"/>
    </xf>
    <xf numFmtId="2" fontId="5" fillId="0" borderId="8" xfId="0" applyNumberFormat="1" applyFont="1" applyBorder="1" applyAlignment="1">
      <alignment horizontal="center" vertical="center" wrapText="1"/>
    </xf>
    <xf numFmtId="3" fontId="5" fillId="0" borderId="8" xfId="0" quotePrefix="1" applyNumberFormat="1" applyFont="1" applyBorder="1" applyAlignment="1">
      <alignment horizontal="right" vertical="center" wrapText="1"/>
    </xf>
    <xf numFmtId="0" fontId="5" fillId="0" borderId="4" xfId="0" applyFont="1" applyBorder="1" applyAlignment="1">
      <alignment wrapText="1"/>
    </xf>
    <xf numFmtId="2" fontId="5" fillId="0" borderId="4" xfId="0" applyNumberFormat="1" applyFont="1" applyBorder="1" applyAlignment="1">
      <alignment horizontal="left" vertical="center" wrapText="1" shrinkToFit="1" readingOrder="1"/>
    </xf>
    <xf numFmtId="173" fontId="5" fillId="0" borderId="4" xfId="0" applyNumberFormat="1" applyFont="1" applyBorder="1" applyAlignment="1">
      <alignment horizontal="left" vertical="center" wrapText="1"/>
    </xf>
    <xf numFmtId="3" fontId="5" fillId="0" borderId="4" xfId="18" applyNumberFormat="1" applyFont="1" applyBorder="1" applyAlignment="1">
      <alignment horizontal="left" vertical="center" wrapText="1"/>
    </xf>
    <xf numFmtId="3" fontId="5" fillId="0" borderId="4" xfId="18" applyNumberFormat="1" applyFont="1" applyBorder="1" applyAlignment="1">
      <alignment horizontal="center" vertical="center" wrapText="1"/>
    </xf>
    <xf numFmtId="0" fontId="5" fillId="0" borderId="4" xfId="19" applyFont="1" applyBorder="1" applyAlignment="1">
      <alignment horizontal="center" vertical="center" wrapText="1"/>
    </xf>
    <xf numFmtId="0" fontId="5" fillId="0" borderId="4" xfId="19" applyFont="1" applyBorder="1"/>
    <xf numFmtId="0" fontId="5" fillId="0" borderId="4" xfId="19" applyFont="1" applyBorder="1" applyAlignment="1">
      <alignment horizontal="center"/>
    </xf>
    <xf numFmtId="174" fontId="5" fillId="0" borderId="4" xfId="0" applyNumberFormat="1" applyFont="1" applyBorder="1" applyAlignment="1">
      <alignment horizontal="center" vertical="center" wrapText="1"/>
    </xf>
    <xf numFmtId="173" fontId="5" fillId="0" borderId="6" xfId="0" quotePrefix="1" applyNumberFormat="1" applyFont="1" applyBorder="1" applyAlignment="1">
      <alignment horizontal="center" vertical="center" wrapText="1"/>
    </xf>
    <xf numFmtId="2" fontId="5" fillId="0" borderId="6" xfId="0" applyNumberFormat="1" applyFont="1" applyBorder="1" applyAlignment="1">
      <alignment horizontal="center" vertical="center" wrapText="1"/>
    </xf>
    <xf numFmtId="168" fontId="4" fillId="0" borderId="0" xfId="0" applyNumberFormat="1" applyFont="1" applyAlignment="1">
      <alignment horizontal="left" vertical="center" wrapText="1"/>
    </xf>
    <xf numFmtId="168" fontId="7" fillId="0" borderId="4" xfId="0" quotePrefix="1" applyNumberFormat="1" applyFont="1" applyBorder="1" applyAlignment="1">
      <alignment horizontal="right" vertical="center" wrapText="1"/>
    </xf>
    <xf numFmtId="37" fontId="7" fillId="0" borderId="4" xfId="0" quotePrefix="1" applyNumberFormat="1" applyFont="1" applyBorder="1" applyAlignment="1">
      <alignment horizontal="right" vertical="center" wrapText="1"/>
    </xf>
    <xf numFmtId="168" fontId="5" fillId="0" borderId="4" xfId="0" applyNumberFormat="1" applyFont="1" applyBorder="1" applyAlignment="1">
      <alignment horizontal="right" vertical="center" wrapText="1"/>
    </xf>
    <xf numFmtId="37" fontId="5" fillId="0" borderId="4" xfId="0" applyNumberFormat="1" applyFont="1" applyBorder="1" applyAlignment="1">
      <alignment horizontal="right" vertical="center" wrapText="1"/>
    </xf>
    <xf numFmtId="168" fontId="7" fillId="0" borderId="4" xfId="0" applyNumberFormat="1" applyFont="1" applyBorder="1" applyAlignment="1">
      <alignment horizontal="left" vertical="center" wrapText="1"/>
    </xf>
    <xf numFmtId="9" fontId="7" fillId="0" borderId="0" xfId="0" applyNumberFormat="1" applyFont="1" applyAlignment="1">
      <alignment wrapText="1"/>
    </xf>
    <xf numFmtId="168" fontId="7" fillId="0" borderId="4" xfId="0" applyNumberFormat="1" applyFont="1" applyBorder="1" applyAlignment="1">
      <alignment horizontal="right" vertical="center" wrapText="1"/>
    </xf>
    <xf numFmtId="168" fontId="5" fillId="0" borderId="4" xfId="0" quotePrefix="1" applyNumberFormat="1" applyFont="1" applyBorder="1" applyAlignment="1">
      <alignment vertical="center" wrapText="1"/>
    </xf>
    <xf numFmtId="168" fontId="7" fillId="0" borderId="4" xfId="0" quotePrefix="1" applyNumberFormat="1" applyFont="1" applyBorder="1" applyAlignment="1">
      <alignment vertical="center" wrapText="1"/>
    </xf>
    <xf numFmtId="168" fontId="5" fillId="0" borderId="6" xfId="0" applyNumberFormat="1" applyFont="1" applyBorder="1" applyAlignment="1">
      <alignment wrapText="1"/>
    </xf>
    <xf numFmtId="37" fontId="5" fillId="0" borderId="6" xfId="0" applyNumberFormat="1" applyFont="1" applyBorder="1" applyAlignment="1">
      <alignment horizontal="right" vertical="center" wrapText="1"/>
    </xf>
    <xf numFmtId="168" fontId="5" fillId="0" borderId="6" xfId="0" applyNumberFormat="1" applyFont="1" applyBorder="1" applyAlignment="1">
      <alignment horizontal="right" vertical="center" wrapText="1"/>
    </xf>
    <xf numFmtId="168" fontId="7" fillId="0" borderId="1" xfId="0" applyNumberFormat="1" applyFont="1" applyBorder="1" applyAlignment="1">
      <alignment horizontal="center" vertical="center" wrapText="1"/>
    </xf>
    <xf numFmtId="37" fontId="7" fillId="0" borderId="4" xfId="0" applyNumberFormat="1" applyFont="1" applyBorder="1" applyAlignment="1">
      <alignment horizontal="right" vertical="center" wrapText="1"/>
    </xf>
    <xf numFmtId="37" fontId="5" fillId="0" borderId="6" xfId="0" quotePrefix="1" applyNumberFormat="1" applyFont="1" applyBorder="1" applyAlignment="1">
      <alignment horizontal="right" vertical="center" wrapText="1"/>
    </xf>
    <xf numFmtId="37" fontId="9" fillId="0" borderId="4" xfId="0" quotePrefix="1" applyNumberFormat="1" applyFont="1" applyBorder="1" applyAlignment="1">
      <alignment horizontal="right" vertical="center" wrapText="1"/>
    </xf>
    <xf numFmtId="37" fontId="5" fillId="0" borderId="4" xfId="0" quotePrefix="1" applyNumberFormat="1" applyFont="1" applyBorder="1" applyAlignment="1">
      <alignment horizontal="right" vertical="center" wrapText="1"/>
    </xf>
    <xf numFmtId="0" fontId="10" fillId="0" borderId="0" xfId="0" applyFont="1" applyAlignment="1">
      <alignment horizontal="center" vertical="center" wrapText="1"/>
    </xf>
    <xf numFmtId="49" fontId="9" fillId="0" borderId="0" xfId="0" quotePrefix="1" applyNumberFormat="1" applyFont="1" applyAlignment="1">
      <alignment vertical="center" wrapText="1"/>
    </xf>
    <xf numFmtId="49" fontId="9" fillId="0" borderId="0" xfId="0" quotePrefix="1" applyNumberFormat="1" applyFont="1" applyAlignment="1">
      <alignment horizontal="center" vertical="center" wrapText="1"/>
    </xf>
    <xf numFmtId="0" fontId="9" fillId="0" borderId="0" xfId="0" applyFont="1" applyAlignment="1">
      <alignment horizontal="center" vertical="center" wrapText="1"/>
    </xf>
    <xf numFmtId="1" fontId="7" fillId="0" borderId="4" xfId="0" applyNumberFormat="1" applyFont="1" applyBorder="1" applyAlignment="1">
      <alignment horizontal="center" vertical="center" wrapText="1"/>
    </xf>
    <xf numFmtId="168" fontId="5" fillId="0" borderId="0" xfId="0" applyNumberFormat="1" applyFont="1" applyAlignment="1">
      <alignment horizontal="center" vertical="center" wrapText="1"/>
    </xf>
    <xf numFmtId="168" fontId="5" fillId="0" borderId="0" xfId="0" applyNumberFormat="1" applyFont="1" applyAlignment="1">
      <alignment horizontal="right" vertical="center" wrapText="1"/>
    </xf>
    <xf numFmtId="168" fontId="7" fillId="0" borderId="0" xfId="0" applyNumberFormat="1" applyFont="1" applyAlignment="1">
      <alignment horizontal="center" vertical="center" wrapText="1"/>
    </xf>
    <xf numFmtId="49" fontId="7" fillId="0" borderId="4" xfId="0" applyNumberFormat="1" applyFont="1" applyBorder="1" applyAlignment="1">
      <alignment horizontal="justify" vertical="center" wrapText="1"/>
    </xf>
    <xf numFmtId="49" fontId="5" fillId="0" borderId="4" xfId="0" applyNumberFormat="1" applyFont="1" applyBorder="1" applyAlignment="1">
      <alignment horizontal="justify" vertical="center" wrapText="1"/>
    </xf>
    <xf numFmtId="49" fontId="7" fillId="0" borderId="4" xfId="1" applyNumberFormat="1" applyFont="1" applyFill="1" applyBorder="1" applyAlignment="1">
      <alignment horizontal="center" vertical="center" wrapText="1"/>
    </xf>
    <xf numFmtId="49" fontId="7" fillId="0" borderId="4" xfId="1" applyNumberFormat="1" applyFont="1" applyFill="1" applyBorder="1" applyAlignment="1">
      <alignment vertical="center" wrapText="1"/>
    </xf>
    <xf numFmtId="3" fontId="7" fillId="0" borderId="4" xfId="1" applyNumberFormat="1" applyFont="1" applyFill="1" applyBorder="1" applyAlignment="1">
      <alignment horizontal="center" vertical="center" wrapText="1"/>
    </xf>
    <xf numFmtId="49" fontId="9" fillId="0" borderId="0" xfId="0" applyNumberFormat="1" applyFont="1" applyAlignment="1">
      <alignment vertical="center" wrapText="1"/>
    </xf>
    <xf numFmtId="4" fontId="7" fillId="0" borderId="4" xfId="1" applyNumberFormat="1" applyFont="1" applyFill="1" applyBorder="1" applyAlignment="1">
      <alignment horizontal="center" vertical="center" wrapText="1"/>
    </xf>
    <xf numFmtId="49" fontId="5" fillId="0" borderId="6" xfId="0" applyNumberFormat="1" applyFont="1" applyBorder="1" applyAlignment="1">
      <alignment horizontal="justify" vertical="center" wrapText="1"/>
    </xf>
    <xf numFmtId="4" fontId="5" fillId="0" borderId="6" xfId="0" applyNumberFormat="1" applyFont="1" applyBorder="1" applyAlignment="1">
      <alignment horizontal="center" vertical="center" wrapText="1"/>
    </xf>
    <xf numFmtId="0" fontId="5" fillId="0" borderId="6" xfId="0" applyFont="1" applyBorder="1" applyAlignment="1">
      <alignment vertical="center" wrapText="1"/>
    </xf>
    <xf numFmtId="0" fontId="4" fillId="0" borderId="0" xfId="0" applyFont="1" applyAlignment="1">
      <alignment vertical="center"/>
    </xf>
    <xf numFmtId="0" fontId="5" fillId="0" borderId="0" xfId="0" applyFont="1" applyAlignment="1">
      <alignment horizontal="right" vertical="center"/>
    </xf>
    <xf numFmtId="49" fontId="9" fillId="0" borderId="2" xfId="0" applyNumberFormat="1" applyFont="1" applyBorder="1" applyAlignment="1">
      <alignment horizontal="center" vertical="center"/>
    </xf>
    <xf numFmtId="0" fontId="5" fillId="0" borderId="4" xfId="0" applyFont="1" applyBorder="1" applyAlignment="1">
      <alignment horizontal="center" vertical="center"/>
    </xf>
    <xf numFmtId="168" fontId="28" fillId="0" borderId="4" xfId="0" applyNumberFormat="1" applyFont="1" applyBorder="1" applyAlignment="1">
      <alignment horizontal="center" vertical="center" wrapText="1"/>
    </xf>
    <xf numFmtId="0" fontId="28" fillId="0" borderId="4" xfId="0" applyFont="1" applyBorder="1" applyAlignment="1">
      <alignment horizontal="right" vertical="center" wrapText="1"/>
    </xf>
    <xf numFmtId="49" fontId="7" fillId="0" borderId="4" xfId="0" applyNumberFormat="1" applyFont="1" applyBorder="1" applyAlignment="1">
      <alignment horizontal="left" vertical="center"/>
    </xf>
    <xf numFmtId="49" fontId="28" fillId="0" borderId="4" xfId="0" applyNumberFormat="1" applyFont="1" applyBorder="1" applyAlignment="1">
      <alignment horizontal="center" vertical="center" wrapText="1"/>
    </xf>
    <xf numFmtId="49" fontId="5" fillId="0" borderId="4" xfId="0" quotePrefix="1" applyNumberFormat="1" applyFont="1" applyBorder="1" applyAlignment="1">
      <alignment horizontal="center" vertical="center"/>
    </xf>
    <xf numFmtId="49" fontId="7" fillId="0" borderId="0" xfId="0" applyNumberFormat="1" applyFont="1" applyAlignment="1">
      <alignment vertical="center"/>
    </xf>
    <xf numFmtId="0" fontId="5" fillId="0" borderId="4" xfId="0" applyFont="1" applyBorder="1" applyAlignment="1">
      <alignment vertical="center"/>
    </xf>
    <xf numFmtId="4" fontId="28" fillId="0" borderId="4" xfId="0" applyNumberFormat="1" applyFont="1" applyBorder="1" applyAlignment="1">
      <alignment horizontal="center" vertical="center" wrapText="1"/>
    </xf>
    <xf numFmtId="168" fontId="5" fillId="0" borderId="4" xfId="0" applyNumberFormat="1" applyFont="1" applyBorder="1" applyAlignment="1">
      <alignment vertical="center"/>
    </xf>
    <xf numFmtId="0" fontId="7" fillId="0" borderId="4" xfId="0" applyFont="1" applyBorder="1" applyAlignment="1">
      <alignment vertical="center"/>
    </xf>
    <xf numFmtId="0" fontId="5" fillId="0" borderId="0" xfId="0" applyFont="1" applyAlignment="1">
      <alignment horizontal="center" vertical="center"/>
    </xf>
    <xf numFmtId="177" fontId="5" fillId="0" borderId="0" xfId="0" applyNumberFormat="1" applyFont="1" applyAlignment="1">
      <alignment horizontal="right" vertical="center" wrapText="1"/>
    </xf>
    <xf numFmtId="0" fontId="5" fillId="0" borderId="6" xfId="0" applyFont="1" applyBorder="1" applyAlignment="1">
      <alignment vertical="center"/>
    </xf>
    <xf numFmtId="0" fontId="4" fillId="4" borderId="0" xfId="0" applyFont="1" applyFill="1" applyAlignment="1">
      <alignment vertical="center"/>
    </xf>
    <xf numFmtId="0" fontId="5" fillId="4" borderId="0" xfId="0" applyFont="1" applyFill="1" applyAlignment="1">
      <alignment vertical="center"/>
    </xf>
    <xf numFmtId="0" fontId="5" fillId="4" borderId="0" xfId="0" applyFont="1" applyFill="1" applyAlignment="1">
      <alignment horizontal="right" vertical="center"/>
    </xf>
    <xf numFmtId="3" fontId="9" fillId="4" borderId="0" xfId="0" applyNumberFormat="1" applyFont="1" applyFill="1" applyAlignment="1">
      <alignment vertical="center"/>
    </xf>
    <xf numFmtId="0" fontId="7" fillId="4" borderId="0" xfId="0" applyFont="1" applyFill="1" applyAlignment="1">
      <alignment vertical="center" wrapText="1"/>
    </xf>
    <xf numFmtId="0" fontId="7" fillId="4" borderId="0" xfId="0" applyFont="1" applyFill="1" applyAlignment="1">
      <alignment vertical="center"/>
    </xf>
    <xf numFmtId="0" fontId="9" fillId="4" borderId="0" xfId="0" applyFont="1" applyFill="1" applyAlignment="1">
      <alignment vertical="center"/>
    </xf>
    <xf numFmtId="0" fontId="7" fillId="3" borderId="1" xfId="0" applyFont="1" applyFill="1" applyBorder="1" applyAlignment="1">
      <alignment vertical="center" wrapText="1"/>
    </xf>
    <xf numFmtId="0" fontId="27" fillId="0" borderId="0" xfId="0" applyFont="1" applyAlignment="1">
      <alignment vertical="center" wrapText="1"/>
    </xf>
    <xf numFmtId="49" fontId="59" fillId="0" borderId="0" xfId="0" applyNumberFormat="1" applyFont="1" applyAlignment="1">
      <alignment vertical="center" wrapText="1"/>
    </xf>
    <xf numFmtId="175" fontId="7" fillId="3" borderId="4" xfId="0" applyNumberFormat="1" applyFont="1" applyFill="1" applyBorder="1" applyAlignment="1">
      <alignment horizontal="center" vertical="center" wrapText="1"/>
    </xf>
    <xf numFmtId="0" fontId="9" fillId="0" borderId="4" xfId="0" quotePrefix="1" applyFont="1" applyBorder="1" applyAlignment="1">
      <alignment horizontal="center" vertical="center" wrapText="1"/>
    </xf>
    <xf numFmtId="0" fontId="9" fillId="0" borderId="4" xfId="0" applyFont="1" applyBorder="1" applyAlignment="1">
      <alignment horizontal="left" vertical="center" wrapText="1"/>
    </xf>
    <xf numFmtId="0" fontId="9" fillId="0" borderId="4" xfId="0" applyFont="1" applyBorder="1" applyAlignment="1">
      <alignment vertical="center" wrapText="1"/>
    </xf>
    <xf numFmtId="37" fontId="9" fillId="0" borderId="4" xfId="0" applyNumberFormat="1" applyFont="1" applyBorder="1" applyAlignment="1">
      <alignment horizontal="center" vertical="center" wrapText="1"/>
    </xf>
    <xf numFmtId="4" fontId="9" fillId="0" borderId="4" xfId="0" applyNumberFormat="1" applyFont="1" applyBorder="1" applyAlignment="1">
      <alignment horizontal="center" vertical="center" wrapText="1"/>
    </xf>
    <xf numFmtId="175" fontId="9" fillId="3" borderId="4" xfId="0" applyNumberFormat="1" applyFont="1" applyFill="1" applyBorder="1" applyAlignment="1">
      <alignment horizontal="center" vertical="center" wrapText="1"/>
    </xf>
    <xf numFmtId="175" fontId="9" fillId="0" borderId="4" xfId="0" applyNumberFormat="1" applyFont="1" applyBorder="1" applyAlignment="1">
      <alignment horizontal="center" vertical="center" wrapText="1"/>
    </xf>
    <xf numFmtId="175" fontId="59" fillId="0" borderId="0" xfId="0" applyNumberFormat="1" applyFont="1" applyAlignment="1">
      <alignment vertical="center" wrapText="1"/>
    </xf>
    <xf numFmtId="185" fontId="59" fillId="0" borderId="0" xfId="0" applyNumberFormat="1" applyFont="1" applyAlignment="1">
      <alignment vertical="center" wrapText="1"/>
    </xf>
    <xf numFmtId="0" fontId="59" fillId="0" borderId="0" xfId="0" applyFont="1" applyAlignment="1">
      <alignment vertical="center" wrapText="1"/>
    </xf>
    <xf numFmtId="37" fontId="5" fillId="0" borderId="4" xfId="0" applyNumberFormat="1" applyFont="1" applyBorder="1" applyAlignment="1">
      <alignment horizontal="center" vertical="center" wrapText="1"/>
    </xf>
    <xf numFmtId="175" fontId="5" fillId="3" borderId="4" xfId="0" applyNumberFormat="1" applyFont="1" applyFill="1" applyBorder="1" applyAlignment="1">
      <alignment vertical="center" wrapText="1"/>
    </xf>
    <xf numFmtId="0" fontId="5" fillId="0" borderId="6" xfId="0" quotePrefix="1" applyFont="1" applyBorder="1" applyAlignment="1">
      <alignment horizontal="center" vertical="center" wrapText="1"/>
    </xf>
    <xf numFmtId="37" fontId="5" fillId="0" borderId="6" xfId="0" applyNumberFormat="1" applyFont="1" applyBorder="1" applyAlignment="1">
      <alignment horizontal="center" vertical="center" wrapText="1"/>
    </xf>
    <xf numFmtId="175" fontId="5" fillId="3" borderId="6" xfId="0" applyNumberFormat="1" applyFont="1" applyFill="1" applyBorder="1" applyAlignment="1">
      <alignment vertical="center" wrapText="1"/>
    </xf>
    <xf numFmtId="0" fontId="27" fillId="0" borderId="0" xfId="0" applyFont="1" applyAlignment="1">
      <alignment horizontal="center" vertical="center" wrapText="1"/>
    </xf>
    <xf numFmtId="0" fontId="27" fillId="3" borderId="0" xfId="0" applyFont="1" applyFill="1" applyAlignment="1">
      <alignment vertical="center" wrapText="1"/>
    </xf>
    <xf numFmtId="168" fontId="5" fillId="0" borderId="0" xfId="0" applyNumberFormat="1" applyFont="1" applyAlignment="1">
      <alignment horizontal="left" vertical="center" wrapText="1"/>
    </xf>
    <xf numFmtId="49" fontId="9" fillId="0" borderId="4" xfId="0" applyNumberFormat="1" applyFont="1" applyBorder="1" applyAlignment="1">
      <alignment vertical="center" wrapText="1"/>
    </xf>
    <xf numFmtId="173" fontId="9" fillId="0" borderId="4" xfId="0" quotePrefix="1" applyNumberFormat="1" applyFont="1" applyBorder="1" applyAlignment="1">
      <alignment horizontal="center" vertical="center" wrapText="1"/>
    </xf>
    <xf numFmtId="49" fontId="7" fillId="0" borderId="4" xfId="0" applyNumberFormat="1" applyFont="1" applyBorder="1" applyAlignment="1">
      <alignment horizontal="center" wrapText="1"/>
    </xf>
    <xf numFmtId="49" fontId="9" fillId="0" borderId="4" xfId="0" applyNumberFormat="1" applyFont="1" applyBorder="1" applyAlignment="1">
      <alignment horizontal="center" wrapText="1"/>
    </xf>
    <xf numFmtId="173" fontId="9" fillId="0" borderId="4" xfId="0" applyNumberFormat="1" applyFont="1" applyBorder="1" applyAlignment="1">
      <alignment horizontal="center" vertical="center" wrapText="1"/>
    </xf>
    <xf numFmtId="168" fontId="7" fillId="0" borderId="4" xfId="0" applyNumberFormat="1" applyFont="1" applyBorder="1" applyAlignment="1">
      <alignment horizontal="center" wrapText="1"/>
    </xf>
    <xf numFmtId="168" fontId="5" fillId="0" borderId="0" xfId="0" applyNumberFormat="1" applyFont="1" applyAlignment="1">
      <alignment horizontal="center" wrapText="1"/>
    </xf>
    <xf numFmtId="0" fontId="60" fillId="0" borderId="0" xfId="0" applyFont="1" applyAlignment="1">
      <alignment vertical="center"/>
    </xf>
    <xf numFmtId="0" fontId="14" fillId="0" borderId="0" xfId="0" applyFont="1" applyAlignment="1">
      <alignment vertical="center" wrapText="1"/>
    </xf>
    <xf numFmtId="181" fontId="4" fillId="0" borderId="0" xfId="0" applyNumberFormat="1" applyFont="1" applyAlignment="1">
      <alignment horizontal="center" vertical="center" wrapText="1"/>
    </xf>
    <xf numFmtId="49" fontId="9" fillId="0" borderId="12" xfId="0" applyNumberFormat="1" applyFont="1" applyBorder="1" applyAlignment="1">
      <alignment horizontal="center" vertical="center" wrapText="1"/>
    </xf>
    <xf numFmtId="181" fontId="7" fillId="0" borderId="4" xfId="0" quotePrefix="1" applyNumberFormat="1" applyFont="1" applyBorder="1" applyAlignment="1">
      <alignment horizontal="right" vertical="center" wrapText="1"/>
    </xf>
    <xf numFmtId="49" fontId="7" fillId="0" borderId="6" xfId="0" quotePrefix="1" applyNumberFormat="1" applyFont="1" applyBorder="1" applyAlignment="1">
      <alignment horizontal="left" vertical="center" wrapText="1"/>
    </xf>
    <xf numFmtId="1" fontId="7" fillId="0" borderId="6" xfId="0" quotePrefix="1" applyNumberFormat="1" applyFont="1" applyBorder="1" applyAlignment="1">
      <alignment horizontal="left" vertical="center" wrapText="1"/>
    </xf>
    <xf numFmtId="168" fontId="7" fillId="0" borderId="6" xfId="0" quotePrefix="1" applyNumberFormat="1" applyFont="1" applyBorder="1" applyAlignment="1">
      <alignment horizontal="left" vertical="center" wrapText="1"/>
    </xf>
    <xf numFmtId="181" fontId="7" fillId="0" borderId="6" xfId="0" quotePrefix="1" applyNumberFormat="1" applyFont="1" applyBorder="1" applyAlignment="1">
      <alignment horizontal="right" vertical="center" wrapText="1"/>
    </xf>
    <xf numFmtId="181" fontId="5" fillId="0" borderId="0" xfId="0" applyNumberFormat="1" applyFont="1" applyAlignment="1">
      <alignment horizontal="center" wrapText="1"/>
    </xf>
    <xf numFmtId="49" fontId="4" fillId="0" borderId="4" xfId="0" quotePrefix="1" applyNumberFormat="1" applyFont="1" applyBorder="1" applyAlignment="1">
      <alignment horizontal="center" vertical="center" wrapText="1"/>
    </xf>
    <xf numFmtId="168" fontId="4" fillId="0" borderId="4" xfId="0" quotePrefix="1" applyNumberFormat="1" applyFont="1" applyBorder="1" applyAlignment="1">
      <alignment horizontal="right" vertical="center" wrapText="1"/>
    </xf>
    <xf numFmtId="168" fontId="4" fillId="0" borderId="4" xfId="0" quotePrefix="1" applyNumberFormat="1" applyFont="1" applyBorder="1" applyAlignment="1">
      <alignment horizontal="center" vertical="center" wrapText="1"/>
    </xf>
    <xf numFmtId="168" fontId="5" fillId="0" borderId="4" xfId="0" quotePrefix="1" applyNumberFormat="1" applyFont="1" applyBorder="1" applyAlignment="1">
      <alignment horizontal="right" vertical="center" wrapText="1"/>
    </xf>
    <xf numFmtId="3" fontId="5" fillId="0" borderId="10" xfId="0" applyNumberFormat="1" applyFont="1" applyBorder="1" applyAlignment="1">
      <alignment horizontal="center" vertical="center" wrapText="1"/>
    </xf>
    <xf numFmtId="0" fontId="5" fillId="0" borderId="8" xfId="0"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quotePrefix="1" applyNumberFormat="1" applyFont="1" applyBorder="1" applyAlignment="1">
      <alignment horizontal="center" vertical="center" wrapText="1"/>
    </xf>
    <xf numFmtId="3" fontId="5" fillId="0" borderId="8" xfId="0" applyNumberFormat="1" applyFont="1" applyBorder="1" applyAlignment="1">
      <alignment vertical="center" wrapText="1"/>
    </xf>
    <xf numFmtId="3" fontId="5" fillId="0" borderId="6" xfId="1" applyNumberFormat="1" applyFont="1" applyFill="1" applyBorder="1" applyAlignment="1">
      <alignment horizontal="center" vertical="center" wrapText="1"/>
    </xf>
    <xf numFmtId="0" fontId="27" fillId="0" borderId="0" xfId="0" applyFont="1"/>
    <xf numFmtId="168" fontId="4" fillId="0" borderId="0" xfId="0" applyNumberFormat="1" applyFont="1" applyAlignment="1">
      <alignment horizontal="center" vertical="center" wrapText="1"/>
    </xf>
    <xf numFmtId="168" fontId="4" fillId="0" borderId="0" xfId="0" applyNumberFormat="1" applyFont="1" applyAlignment="1">
      <alignment vertical="center" wrapText="1"/>
    </xf>
    <xf numFmtId="168" fontId="9" fillId="0" borderId="0" xfId="0" applyNumberFormat="1" applyFont="1" applyAlignment="1">
      <alignment horizontal="right" vertical="center" wrapText="1"/>
    </xf>
    <xf numFmtId="168" fontId="9" fillId="0" borderId="4" xfId="0" quotePrefix="1" applyNumberFormat="1" applyFont="1" applyBorder="1" applyAlignment="1">
      <alignment horizontal="center" vertical="center" wrapText="1"/>
    </xf>
    <xf numFmtId="168" fontId="9" fillId="0" borderId="4" xfId="0" applyNumberFormat="1" applyFont="1" applyBorder="1" applyAlignment="1">
      <alignment horizontal="right" vertical="center" wrapText="1"/>
    </xf>
    <xf numFmtId="2" fontId="5" fillId="0" borderId="4" xfId="0" quotePrefix="1" applyNumberFormat="1" applyFont="1" applyBorder="1" applyAlignment="1">
      <alignment horizontal="right" vertical="center" wrapText="1"/>
    </xf>
    <xf numFmtId="168" fontId="5" fillId="0" borderId="0" xfId="0" quotePrefix="1" applyNumberFormat="1" applyFont="1" applyAlignment="1">
      <alignment horizontal="center" vertical="center" wrapText="1"/>
    </xf>
    <xf numFmtId="168" fontId="5" fillId="0" borderId="0" xfId="0" applyNumberFormat="1" applyFont="1" applyAlignment="1">
      <alignment horizontal="right" wrapText="1"/>
    </xf>
    <xf numFmtId="168" fontId="9" fillId="0" borderId="4" xfId="0" applyNumberFormat="1" applyFont="1" applyBorder="1" applyAlignment="1">
      <alignment horizontal="left" vertical="center" wrapText="1"/>
    </xf>
    <xf numFmtId="2" fontId="9" fillId="0" borderId="4" xfId="0" applyNumberFormat="1" applyFont="1" applyBorder="1" applyAlignment="1">
      <alignment horizontal="left" vertical="center" wrapText="1"/>
    </xf>
    <xf numFmtId="2" fontId="9" fillId="0" borderId="4" xfId="0" applyNumberFormat="1" applyFont="1" applyBorder="1" applyAlignment="1">
      <alignment horizontal="center" vertical="center" wrapText="1"/>
    </xf>
    <xf numFmtId="3" fontId="9" fillId="0" borderId="4" xfId="0" applyNumberFormat="1" applyFont="1" applyBorder="1" applyAlignment="1">
      <alignment vertical="center" wrapText="1"/>
    </xf>
    <xf numFmtId="168" fontId="9" fillId="0" borderId="4" xfId="1" applyNumberFormat="1" applyFont="1" applyFill="1" applyBorder="1" applyAlignment="1">
      <alignment vertical="center" wrapText="1"/>
    </xf>
    <xf numFmtId="168" fontId="5" fillId="0" borderId="4" xfId="1" applyNumberFormat="1" applyFont="1" applyFill="1" applyBorder="1" applyAlignment="1">
      <alignment vertical="center" wrapText="1"/>
    </xf>
    <xf numFmtId="2" fontId="9" fillId="0" borderId="4" xfId="0" applyNumberFormat="1" applyFont="1" applyBorder="1" applyAlignment="1">
      <alignment wrapText="1"/>
    </xf>
    <xf numFmtId="2" fontId="7" fillId="0" borderId="4" xfId="0" quotePrefix="1" applyNumberFormat="1" applyFont="1" applyBorder="1" applyAlignment="1">
      <alignment horizontal="right" vertical="center" wrapText="1"/>
    </xf>
    <xf numFmtId="2" fontId="9" fillId="0" borderId="4" xfId="0" applyNumberFormat="1" applyFont="1" applyBorder="1" applyAlignment="1">
      <alignment horizontal="right" vertical="center" wrapText="1"/>
    </xf>
    <xf numFmtId="49" fontId="7" fillId="0" borderId="4" xfId="0" applyNumberFormat="1" applyFont="1" applyBorder="1" applyAlignment="1">
      <alignment horizontal="right" vertical="center" wrapText="1"/>
    </xf>
    <xf numFmtId="49" fontId="5" fillId="0" borderId="18" xfId="0" applyNumberFormat="1" applyFont="1" applyBorder="1" applyAlignment="1">
      <alignment horizontal="left" vertical="center" wrapText="1"/>
    </xf>
    <xf numFmtId="49" fontId="5" fillId="0" borderId="4" xfId="0" applyNumberFormat="1" applyFont="1" applyBorder="1" applyAlignment="1">
      <alignment horizontal="right" vertical="center" wrapText="1"/>
    </xf>
    <xf numFmtId="49" fontId="9" fillId="0" borderId="8" xfId="0" applyNumberFormat="1" applyFont="1" applyBorder="1" applyAlignment="1">
      <alignment horizontal="center" vertical="center" wrapText="1"/>
    </xf>
    <xf numFmtId="49" fontId="9" fillId="0" borderId="8" xfId="0" applyNumberFormat="1" applyFont="1" applyBorder="1" applyAlignment="1">
      <alignment horizontal="left" vertical="center" wrapText="1"/>
    </xf>
    <xf numFmtId="1" fontId="9" fillId="0" borderId="8" xfId="0" applyNumberFormat="1" applyFont="1" applyBorder="1" applyAlignment="1">
      <alignment horizontal="center" vertical="center" wrapText="1"/>
    </xf>
    <xf numFmtId="1" fontId="9" fillId="0" borderId="8" xfId="0" applyNumberFormat="1" applyFont="1" applyBorder="1" applyAlignment="1">
      <alignment horizontal="right" vertical="center" wrapText="1"/>
    </xf>
    <xf numFmtId="174" fontId="9" fillId="0" borderId="8" xfId="0" applyNumberFormat="1" applyFont="1" applyBorder="1" applyAlignment="1">
      <alignment horizontal="right" vertical="center" wrapText="1"/>
    </xf>
    <xf numFmtId="3" fontId="9" fillId="0" borderId="8" xfId="0" applyNumberFormat="1" applyFont="1" applyBorder="1" applyAlignment="1">
      <alignment horizontal="right" vertical="center" wrapText="1"/>
    </xf>
    <xf numFmtId="2" fontId="7" fillId="0" borderId="4" xfId="0" applyNumberFormat="1" applyFont="1" applyBorder="1" applyAlignment="1">
      <alignment wrapText="1"/>
    </xf>
    <xf numFmtId="1" fontId="9" fillId="0" borderId="4" xfId="0" applyNumberFormat="1" applyFont="1" applyBorder="1" applyAlignment="1">
      <alignment wrapText="1"/>
    </xf>
    <xf numFmtId="182" fontId="7" fillId="0" borderId="4" xfId="0" applyNumberFormat="1" applyFont="1" applyBorder="1" applyAlignment="1">
      <alignment horizontal="right" vertical="center" wrapText="1"/>
    </xf>
    <xf numFmtId="2" fontId="7" fillId="0" borderId="8" xfId="0" applyNumberFormat="1" applyFont="1" applyBorder="1" applyAlignment="1">
      <alignment wrapText="1"/>
    </xf>
    <xf numFmtId="1" fontId="7" fillId="0" borderId="8" xfId="0" applyNumberFormat="1" applyFont="1" applyBorder="1" applyAlignment="1">
      <alignment wrapText="1"/>
    </xf>
    <xf numFmtId="2" fontId="4" fillId="0" borderId="8" xfId="0" applyNumberFormat="1" applyFont="1" applyBorder="1" applyAlignment="1">
      <alignment wrapText="1"/>
    </xf>
    <xf numFmtId="0" fontId="4" fillId="0" borderId="0" xfId="0" applyFont="1" applyAlignment="1">
      <alignment wrapText="1"/>
    </xf>
    <xf numFmtId="49" fontId="7" fillId="0" borderId="4" xfId="0" quotePrefix="1" applyNumberFormat="1" applyFont="1" applyBorder="1" applyAlignment="1">
      <alignment horizontal="right" vertical="center" wrapText="1"/>
    </xf>
    <xf numFmtId="0" fontId="9" fillId="0" borderId="2" xfId="0" applyFont="1" applyBorder="1" applyAlignment="1">
      <alignment horizontal="center" vertical="center" wrapText="1"/>
    </xf>
    <xf numFmtId="0" fontId="7" fillId="0" borderId="4" xfId="0" applyFont="1" applyBorder="1" applyAlignment="1">
      <alignment wrapText="1"/>
    </xf>
    <xf numFmtId="0" fontId="9" fillId="0" borderId="4" xfId="0" applyFont="1" applyBorder="1" applyAlignment="1">
      <alignment wrapText="1"/>
    </xf>
    <xf numFmtId="49" fontId="5" fillId="0" borderId="6" xfId="0" quotePrefix="1" applyNumberFormat="1" applyFont="1" applyBorder="1" applyAlignment="1">
      <alignment horizontal="left" vertical="center" wrapText="1"/>
    </xf>
    <xf numFmtId="168" fontId="9" fillId="0" borderId="6" xfId="0" applyNumberFormat="1" applyFont="1" applyBorder="1" applyAlignment="1">
      <alignment horizontal="left" vertical="center" wrapText="1"/>
    </xf>
    <xf numFmtId="1" fontId="61" fillId="0" borderId="4" xfId="0" quotePrefix="1" applyNumberFormat="1" applyFont="1" applyBorder="1" applyAlignment="1">
      <alignment vertical="center" wrapText="1"/>
    </xf>
    <xf numFmtId="49" fontId="7" fillId="0" borderId="4" xfId="0" applyNumberFormat="1" applyFont="1" applyBorder="1" applyAlignment="1">
      <alignment wrapText="1"/>
    </xf>
    <xf numFmtId="168" fontId="4" fillId="0" borderId="4" xfId="0" applyNumberFormat="1" applyFont="1" applyBorder="1" applyAlignment="1">
      <alignment horizontal="right" vertical="center" wrapText="1"/>
    </xf>
    <xf numFmtId="177" fontId="7" fillId="0" borderId="4" xfId="0" applyNumberFormat="1" applyFont="1" applyBorder="1" applyAlignment="1">
      <alignment wrapText="1"/>
    </xf>
    <xf numFmtId="177" fontId="5" fillId="0" borderId="4" xfId="0" applyNumberFormat="1" applyFont="1" applyBorder="1" applyAlignment="1">
      <alignment wrapText="1"/>
    </xf>
    <xf numFmtId="2" fontId="5" fillId="0" borderId="4" xfId="0" applyNumberFormat="1" applyFont="1" applyBorder="1" applyAlignment="1">
      <alignment horizontal="right" vertical="center" wrapText="1"/>
    </xf>
    <xf numFmtId="174" fontId="5" fillId="0" borderId="4" xfId="0" applyNumberFormat="1" applyFont="1" applyBorder="1" applyAlignment="1">
      <alignment horizontal="right" vertical="center" wrapText="1"/>
    </xf>
    <xf numFmtId="183" fontId="5" fillId="0" borderId="4" xfId="0" applyNumberFormat="1" applyFont="1" applyBorder="1" applyAlignment="1">
      <alignment horizontal="right" vertical="center" wrapText="1"/>
    </xf>
    <xf numFmtId="176" fontId="5" fillId="0" borderId="4" xfId="0" applyNumberFormat="1" applyFont="1" applyBorder="1" applyAlignment="1">
      <alignment horizontal="right" vertical="center" wrapText="1"/>
    </xf>
    <xf numFmtId="1" fontId="7" fillId="0" borderId="4" xfId="0" applyNumberFormat="1" applyFont="1" applyBorder="1" applyAlignment="1">
      <alignment horizontal="right" vertical="center" wrapText="1"/>
    </xf>
    <xf numFmtId="1" fontId="7" fillId="0" borderId="4" xfId="0" quotePrefix="1" applyNumberFormat="1" applyFont="1" applyBorder="1" applyAlignment="1">
      <alignment horizontal="left" vertical="center" wrapText="1"/>
    </xf>
    <xf numFmtId="177" fontId="5" fillId="0" borderId="4" xfId="0" applyNumberFormat="1" applyFont="1" applyBorder="1" applyAlignment="1">
      <alignment horizontal="left" vertical="center" wrapText="1"/>
    </xf>
    <xf numFmtId="1" fontId="5" fillId="0" borderId="4" xfId="0" applyNumberFormat="1" applyFont="1" applyBorder="1" applyAlignment="1">
      <alignment vertical="center" wrapText="1"/>
    </xf>
    <xf numFmtId="177" fontId="5" fillId="0" borderId="4" xfId="0" applyNumberFormat="1" applyFont="1" applyBorder="1" applyAlignment="1">
      <alignment horizontal="center" vertical="center" wrapText="1"/>
    </xf>
    <xf numFmtId="168" fontId="5" fillId="0" borderId="6" xfId="0" applyNumberFormat="1" applyFont="1" applyBorder="1" applyAlignment="1">
      <alignment horizontal="left" vertical="center" wrapText="1"/>
    </xf>
    <xf numFmtId="3" fontId="7" fillId="0" borderId="4" xfId="0" quotePrefix="1" applyNumberFormat="1" applyFont="1" applyBorder="1" applyAlignment="1">
      <alignment vertical="center" wrapText="1"/>
    </xf>
    <xf numFmtId="3" fontId="5" fillId="0" borderId="4" xfId="0" quotePrefix="1" applyNumberFormat="1" applyFont="1" applyBorder="1" applyAlignment="1">
      <alignment vertical="center" wrapText="1"/>
    </xf>
    <xf numFmtId="49" fontId="9" fillId="0" borderId="4" xfId="0" applyNumberFormat="1" applyFont="1" applyBorder="1" applyAlignment="1">
      <alignment horizontal="justify" vertical="center"/>
    </xf>
    <xf numFmtId="49" fontId="5" fillId="0" borderId="6" xfId="0" applyNumberFormat="1" applyFont="1" applyBorder="1" applyAlignment="1">
      <alignment horizontal="justify" vertical="center"/>
    </xf>
    <xf numFmtId="168" fontId="5" fillId="0" borderId="6" xfId="0" applyNumberFormat="1" applyFont="1" applyBorder="1" applyAlignment="1">
      <alignment vertical="center" wrapText="1"/>
    </xf>
    <xf numFmtId="49" fontId="7" fillId="0" borderId="10" xfId="0" applyNumberFormat="1" applyFont="1" applyBorder="1" applyAlignment="1">
      <alignment horizontal="center" vertical="center" wrapText="1"/>
    </xf>
    <xf numFmtId="168" fontId="7" fillId="0" borderId="10" xfId="0" quotePrefix="1" applyNumberFormat="1" applyFont="1" applyBorder="1" applyAlignment="1">
      <alignment horizontal="center" vertical="center" wrapText="1"/>
    </xf>
    <xf numFmtId="168" fontId="7" fillId="0" borderId="10" xfId="0" quotePrefix="1" applyNumberFormat="1" applyFont="1" applyBorder="1" applyAlignment="1">
      <alignment horizontal="left" vertical="center" wrapText="1"/>
    </xf>
    <xf numFmtId="3" fontId="7" fillId="0" borderId="10" xfId="0" quotePrefix="1" applyNumberFormat="1" applyFont="1" applyBorder="1" applyAlignment="1">
      <alignment horizontal="right" vertical="center" wrapText="1"/>
    </xf>
    <xf numFmtId="168" fontId="9" fillId="0" borderId="4" xfId="0" quotePrefix="1" applyNumberFormat="1" applyFont="1" applyBorder="1" applyAlignment="1">
      <alignment horizontal="left" vertical="center" wrapText="1"/>
    </xf>
    <xf numFmtId="1" fontId="61" fillId="0" borderId="10" xfId="0" quotePrefix="1" applyNumberFormat="1" applyFont="1" applyBorder="1" applyAlignment="1">
      <alignment vertical="center" wrapText="1"/>
    </xf>
    <xf numFmtId="1" fontId="62" fillId="0" borderId="4" xfId="0" quotePrefix="1" applyNumberFormat="1" applyFont="1" applyBorder="1" applyAlignment="1">
      <alignment vertical="center" wrapText="1"/>
    </xf>
    <xf numFmtId="1" fontId="61" fillId="0" borderId="4" xfId="0" quotePrefix="1" applyNumberFormat="1" applyFont="1" applyBorder="1" applyAlignment="1">
      <alignment horizontal="center" vertical="center" wrapText="1"/>
    </xf>
    <xf numFmtId="168" fontId="7" fillId="0" borderId="1" xfId="0" applyNumberFormat="1" applyFont="1" applyBorder="1" applyAlignment="1">
      <alignment vertical="center" wrapText="1"/>
    </xf>
    <xf numFmtId="3" fontId="7" fillId="0" borderId="4" xfId="0" applyNumberFormat="1" applyFont="1" applyBorder="1" applyAlignment="1">
      <alignment horizontal="center" wrapText="1"/>
    </xf>
    <xf numFmtId="177" fontId="7" fillId="0" borderId="4" xfId="0" applyNumberFormat="1" applyFont="1" applyBorder="1" applyAlignment="1">
      <alignment horizontal="left" vertical="center" wrapText="1"/>
    </xf>
    <xf numFmtId="9" fontId="7" fillId="0" borderId="4" xfId="0" applyNumberFormat="1" applyFont="1" applyBorder="1" applyAlignment="1">
      <alignment horizontal="right" vertical="center" wrapText="1"/>
    </xf>
    <xf numFmtId="9" fontId="5" fillId="0" borderId="4" xfId="0" applyNumberFormat="1" applyFont="1" applyBorder="1" applyAlignment="1">
      <alignment horizontal="right" vertical="center" wrapText="1"/>
    </xf>
    <xf numFmtId="184" fontId="5" fillId="0" borderId="4" xfId="0" applyNumberFormat="1" applyFont="1" applyBorder="1" applyAlignment="1">
      <alignment horizontal="right" vertical="center" wrapText="1"/>
    </xf>
    <xf numFmtId="168" fontId="7" fillId="0" borderId="6" xfId="0" applyNumberFormat="1" applyFont="1" applyBorder="1" applyAlignment="1">
      <alignment horizontal="left" vertical="center" wrapText="1"/>
    </xf>
    <xf numFmtId="3" fontId="5" fillId="2" borderId="4" xfId="0" quotePrefix="1" applyNumberFormat="1" applyFont="1" applyFill="1" applyBorder="1" applyAlignment="1">
      <alignment horizontal="right" vertical="center" wrapText="1"/>
    </xf>
    <xf numFmtId="3"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3" fontId="7" fillId="4" borderId="4" xfId="0" applyNumberFormat="1" applyFont="1" applyFill="1" applyBorder="1" applyAlignment="1">
      <alignment vertical="center" wrapText="1"/>
    </xf>
    <xf numFmtId="175" fontId="7" fillId="4" borderId="4" xfId="1" applyNumberFormat="1" applyFont="1" applyFill="1" applyBorder="1" applyAlignment="1">
      <alignment horizontal="center" vertical="center" wrapText="1"/>
    </xf>
    <xf numFmtId="3" fontId="7" fillId="4" borderId="4" xfId="0" applyNumberFormat="1" applyFont="1" applyFill="1" applyBorder="1" applyAlignment="1">
      <alignment wrapText="1"/>
    </xf>
    <xf numFmtId="177" fontId="27" fillId="0" borderId="0" xfId="0" applyNumberFormat="1" applyFont="1" applyAlignment="1">
      <alignment horizontal="right" vertical="center" wrapText="1"/>
    </xf>
    <xf numFmtId="0" fontId="24" fillId="6" borderId="0" xfId="0" applyFont="1" applyFill="1"/>
    <xf numFmtId="0" fontId="25" fillId="6" borderId="15" xfId="0" applyFont="1" applyFill="1" applyBorder="1" applyAlignment="1">
      <alignment vertical="center" wrapText="1"/>
    </xf>
    <xf numFmtId="0" fontId="25" fillId="6" borderId="16" xfId="0" applyFont="1" applyFill="1" applyBorder="1" applyAlignment="1">
      <alignment vertical="center" wrapText="1"/>
    </xf>
    <xf numFmtId="3" fontId="7" fillId="6" borderId="4" xfId="0" applyNumberFormat="1" applyFont="1" applyFill="1" applyBorder="1" applyAlignment="1">
      <alignment horizontal="right" vertical="center" wrapText="1"/>
    </xf>
    <xf numFmtId="3" fontId="25" fillId="6" borderId="4" xfId="0" applyNumberFormat="1" applyFont="1" applyFill="1" applyBorder="1" applyAlignment="1">
      <alignment horizontal="right" vertical="center" wrapText="1"/>
    </xf>
    <xf numFmtId="3" fontId="25" fillId="6" borderId="10" xfId="0" applyNumberFormat="1" applyFont="1" applyFill="1" applyBorder="1" applyAlignment="1">
      <alignment horizontal="right" vertical="center" wrapText="1"/>
    </xf>
    <xf numFmtId="3" fontId="5" fillId="6" borderId="4" xfId="0" applyNumberFormat="1" applyFont="1" applyFill="1" applyBorder="1" applyAlignment="1">
      <alignment horizontal="right" vertical="center" wrapText="1"/>
    </xf>
    <xf numFmtId="3" fontId="24" fillId="6" borderId="4" xfId="0" applyNumberFormat="1" applyFont="1" applyFill="1" applyBorder="1" applyAlignment="1">
      <alignment horizontal="right" vertical="center" wrapText="1"/>
    </xf>
    <xf numFmtId="3" fontId="5" fillId="6" borderId="4" xfId="0" applyNumberFormat="1" applyFont="1" applyFill="1" applyBorder="1" applyAlignment="1">
      <alignment horizontal="right" vertical="center"/>
    </xf>
    <xf numFmtId="3" fontId="24" fillId="6" borderId="4" xfId="0" applyNumberFormat="1" applyFont="1" applyFill="1" applyBorder="1" applyAlignment="1">
      <alignment horizontal="right" vertical="center"/>
    </xf>
    <xf numFmtId="3" fontId="4" fillId="6" borderId="4" xfId="0" applyNumberFormat="1" applyFont="1" applyFill="1" applyBorder="1" applyAlignment="1">
      <alignment horizontal="right" vertical="center" wrapText="1"/>
    </xf>
    <xf numFmtId="3" fontId="38" fillId="6" borderId="4" xfId="0" applyNumberFormat="1" applyFont="1" applyFill="1" applyBorder="1" applyAlignment="1">
      <alignment horizontal="right" vertical="center" wrapText="1"/>
    </xf>
    <xf numFmtId="3" fontId="22" fillId="6" borderId="4" xfId="0" applyNumberFormat="1" applyFont="1" applyFill="1" applyBorder="1" applyAlignment="1">
      <alignment horizontal="right" vertical="center" wrapText="1"/>
    </xf>
    <xf numFmtId="0" fontId="38" fillId="6" borderId="0" xfId="0" applyFont="1" applyFill="1" applyAlignment="1">
      <alignment horizontal="left" vertical="center" wrapText="1"/>
    </xf>
    <xf numFmtId="0" fontId="26" fillId="6" borderId="0" xfId="0" quotePrefix="1" applyFont="1" applyFill="1" applyAlignment="1">
      <alignment horizontal="left" vertical="center" wrapText="1"/>
    </xf>
    <xf numFmtId="0" fontId="26" fillId="6" borderId="0" xfId="0" applyFont="1" applyFill="1" applyAlignment="1">
      <alignment horizontal="left" vertical="center" wrapText="1"/>
    </xf>
    <xf numFmtId="168" fontId="6" fillId="0" borderId="4" xfId="0" quotePrefix="1" applyNumberFormat="1" applyFont="1" applyBorder="1" applyAlignment="1">
      <alignment horizontal="center" vertical="center" wrapText="1"/>
    </xf>
    <xf numFmtId="49" fontId="6" fillId="0" borderId="4" xfId="0" quotePrefix="1" applyNumberFormat="1" applyFont="1" applyBorder="1" applyAlignment="1">
      <alignment horizontal="center" vertical="center" wrapText="1"/>
    </xf>
    <xf numFmtId="49" fontId="2" fillId="0" borderId="6" xfId="0" applyNumberFormat="1" applyFont="1" applyBorder="1" applyAlignment="1">
      <alignment horizontal="center" wrapText="1"/>
    </xf>
    <xf numFmtId="3" fontId="2" fillId="0" borderId="4" xfId="0" quotePrefix="1" applyNumberFormat="1" applyFont="1" applyBorder="1" applyAlignment="1">
      <alignment vertical="center" wrapText="1"/>
    </xf>
    <xf numFmtId="3" fontId="2" fillId="0" borderId="4" xfId="0" applyNumberFormat="1" applyFont="1" applyBorder="1" applyAlignment="1">
      <alignment wrapText="1"/>
    </xf>
    <xf numFmtId="3" fontId="5" fillId="0" borderId="6" xfId="0" applyNumberFormat="1" applyFont="1" applyBorder="1" applyAlignment="1">
      <alignment wrapText="1"/>
    </xf>
    <xf numFmtId="3" fontId="2" fillId="0" borderId="6" xfId="0" applyNumberFormat="1" applyFont="1" applyBorder="1" applyAlignment="1">
      <alignment wrapText="1"/>
    </xf>
    <xf numFmtId="3" fontId="6" fillId="0" borderId="4" xfId="0" quotePrefix="1" applyNumberFormat="1" applyFont="1" applyBorder="1" applyAlignment="1">
      <alignment vertical="center" wrapText="1"/>
    </xf>
    <xf numFmtId="49" fontId="6" fillId="0" borderId="4" xfId="0" quotePrefix="1" applyNumberFormat="1" applyFont="1" applyBorder="1" applyAlignment="1">
      <alignment horizontal="left" vertical="center" wrapText="1"/>
    </xf>
    <xf numFmtId="49" fontId="7" fillId="4" borderId="4" xfId="0" applyNumberFormat="1" applyFont="1" applyFill="1" applyBorder="1" applyAlignment="1">
      <alignment horizontal="left" vertical="center" wrapText="1"/>
    </xf>
    <xf numFmtId="37" fontId="5" fillId="0" borderId="4" xfId="0" applyNumberFormat="1" applyFont="1" applyBorder="1" applyAlignment="1">
      <alignment vertical="center" wrapText="1"/>
    </xf>
    <xf numFmtId="168" fontId="7" fillId="4" borderId="2" xfId="0" quotePrefix="1" applyNumberFormat="1" applyFont="1" applyFill="1" applyBorder="1" applyAlignment="1">
      <alignment horizontal="center" vertical="center" wrapText="1"/>
    </xf>
    <xf numFmtId="168" fontId="7" fillId="4" borderId="4" xfId="0" quotePrefix="1" applyNumberFormat="1" applyFont="1" applyFill="1" applyBorder="1" applyAlignment="1">
      <alignment horizontal="center" vertical="center" wrapText="1"/>
    </xf>
    <xf numFmtId="2" fontId="9" fillId="4" borderId="4" xfId="0" applyNumberFormat="1" applyFont="1" applyFill="1" applyBorder="1" applyAlignment="1">
      <alignment horizontal="center" vertical="center" wrapText="1"/>
    </xf>
    <xf numFmtId="170" fontId="5" fillId="4" borderId="4" xfId="1" applyFont="1" applyFill="1" applyBorder="1" applyAlignment="1">
      <alignment horizontal="center" vertical="center" wrapText="1"/>
    </xf>
    <xf numFmtId="188" fontId="5" fillId="4" borderId="4" xfId="1" applyNumberFormat="1" applyFont="1" applyFill="1" applyBorder="1" applyAlignment="1">
      <alignment horizontal="center" vertical="center" wrapText="1"/>
    </xf>
    <xf numFmtId="168" fontId="5" fillId="4" borderId="4" xfId="1" applyNumberFormat="1" applyFont="1" applyFill="1" applyBorder="1" applyAlignment="1">
      <alignment horizontal="center" vertical="center" wrapText="1"/>
    </xf>
    <xf numFmtId="189" fontId="5" fillId="4" borderId="4" xfId="4" applyNumberFormat="1" applyFont="1" applyFill="1" applyBorder="1" applyAlignment="1">
      <alignment horizontal="center" vertical="center" wrapText="1"/>
    </xf>
    <xf numFmtId="175" fontId="5" fillId="4" borderId="4" xfId="4" applyNumberFormat="1" applyFont="1" applyFill="1" applyBorder="1" applyAlignment="1">
      <alignment horizontal="center" vertical="center" wrapText="1"/>
    </xf>
    <xf numFmtId="189" fontId="5" fillId="4" borderId="4" xfId="1" applyNumberFormat="1" applyFont="1" applyFill="1" applyBorder="1" applyAlignment="1">
      <alignment horizontal="center" vertical="center" wrapText="1"/>
    </xf>
    <xf numFmtId="175" fontId="7" fillId="4" borderId="4" xfId="4" applyNumberFormat="1" applyFont="1" applyFill="1" applyBorder="1" applyAlignment="1">
      <alignment horizontal="center" vertical="center" wrapText="1"/>
    </xf>
    <xf numFmtId="168" fontId="7" fillId="4" borderId="4" xfId="0" applyNumberFormat="1" applyFont="1" applyFill="1" applyBorder="1" applyAlignment="1">
      <alignment horizontal="center" vertical="center" wrapText="1"/>
    </xf>
    <xf numFmtId="168" fontId="5" fillId="4" borderId="6" xfId="0" applyNumberFormat="1" applyFont="1" applyFill="1" applyBorder="1" applyAlignment="1">
      <alignment horizontal="center" vertical="center" wrapText="1"/>
    </xf>
    <xf numFmtId="49" fontId="5" fillId="4" borderId="2" xfId="0" quotePrefix="1" applyNumberFormat="1" applyFont="1" applyFill="1" applyBorder="1" applyAlignment="1">
      <alignment horizontal="center" vertical="center" wrapText="1"/>
    </xf>
    <xf numFmtId="49" fontId="7" fillId="4" borderId="2" xfId="0" quotePrefix="1" applyNumberFormat="1" applyFont="1" applyFill="1" applyBorder="1" applyAlignment="1">
      <alignment horizontal="center" vertical="center" wrapText="1"/>
    </xf>
    <xf numFmtId="49" fontId="5" fillId="4" borderId="4" xfId="0" applyNumberFormat="1" applyFont="1" applyFill="1" applyBorder="1" applyAlignment="1">
      <alignment horizontal="left" wrapText="1"/>
    </xf>
    <xf numFmtId="49" fontId="5" fillId="4" borderId="4" xfId="0" applyNumberFormat="1" applyFont="1" applyFill="1" applyBorder="1" applyAlignment="1">
      <alignment horizontal="center" wrapText="1"/>
    </xf>
    <xf numFmtId="49" fontId="7" fillId="4" borderId="4" xfId="15" quotePrefix="1" applyNumberFormat="1" applyFont="1" applyFill="1" applyBorder="1" applyAlignment="1">
      <alignment horizontal="center" vertical="center" wrapText="1"/>
    </xf>
    <xf numFmtId="49" fontId="5" fillId="4" borderId="4" xfId="15" quotePrefix="1" applyNumberFormat="1" applyFont="1" applyFill="1" applyBorder="1" applyAlignment="1">
      <alignment horizontal="left" vertical="center" wrapText="1"/>
    </xf>
    <xf numFmtId="49" fontId="5" fillId="4" borderId="4" xfId="15" applyNumberFormat="1" applyFont="1" applyFill="1" applyBorder="1" applyAlignment="1">
      <alignment horizontal="center" vertical="center" wrapText="1"/>
    </xf>
    <xf numFmtId="49" fontId="5" fillId="4" borderId="4" xfId="15" quotePrefix="1" applyNumberFormat="1" applyFont="1" applyFill="1" applyBorder="1" applyAlignment="1">
      <alignment horizontal="center" vertical="center" wrapText="1"/>
    </xf>
    <xf numFmtId="49" fontId="5" fillId="4" borderId="4" xfId="15" applyNumberFormat="1" applyFont="1" applyFill="1" applyBorder="1" applyAlignment="1">
      <alignment horizontal="left" vertical="center" wrapText="1"/>
    </xf>
    <xf numFmtId="49" fontId="7" fillId="4" borderId="4" xfId="15" applyNumberFormat="1" applyFont="1" applyFill="1" applyBorder="1" applyAlignment="1">
      <alignment horizontal="center" vertical="center" wrapText="1"/>
    </xf>
    <xf numFmtId="49" fontId="23" fillId="4" borderId="4" xfId="0" applyNumberFormat="1" applyFont="1" applyFill="1" applyBorder="1" applyAlignment="1">
      <alignment horizontal="left" vertical="center" wrapText="1"/>
    </xf>
    <xf numFmtId="49" fontId="23" fillId="4" borderId="4" xfId="0" applyNumberFormat="1" applyFont="1" applyFill="1" applyBorder="1" applyAlignment="1">
      <alignment horizontal="center" vertical="center" wrapText="1"/>
    </xf>
    <xf numFmtId="49" fontId="5" fillId="4" borderId="4" xfId="1" applyNumberFormat="1" applyFont="1" applyFill="1" applyBorder="1" applyAlignment="1">
      <alignment horizontal="right" vertical="center" wrapText="1"/>
    </xf>
    <xf numFmtId="3" fontId="7" fillId="4" borderId="2" xfId="0" quotePrefix="1" applyNumberFormat="1" applyFont="1" applyFill="1" applyBorder="1" applyAlignment="1">
      <alignment horizontal="right" vertical="center" wrapText="1"/>
    </xf>
    <xf numFmtId="3" fontId="5" fillId="4" borderId="6" xfId="1" applyNumberFormat="1" applyFont="1" applyFill="1" applyBorder="1" applyAlignment="1">
      <alignment horizontal="right" vertical="center" wrapText="1"/>
    </xf>
    <xf numFmtId="3" fontId="5" fillId="4" borderId="4" xfId="15" applyNumberFormat="1" applyFont="1" applyFill="1" applyBorder="1" applyAlignment="1">
      <alignment horizontal="right" vertical="center" wrapText="1"/>
    </xf>
    <xf numFmtId="3" fontId="32" fillId="4" borderId="4" xfId="0" applyNumberFormat="1" applyFont="1" applyFill="1" applyBorder="1" applyAlignment="1">
      <alignment horizontal="right" vertical="center"/>
    </xf>
    <xf numFmtId="168" fontId="7" fillId="4" borderId="4" xfId="1" applyNumberFormat="1" applyFont="1" applyFill="1" applyBorder="1" applyAlignment="1">
      <alignment horizontal="center" vertical="center" wrapText="1"/>
    </xf>
    <xf numFmtId="188" fontId="7" fillId="4" borderId="4" xfId="1" applyNumberFormat="1" applyFont="1" applyFill="1" applyBorder="1" applyAlignment="1">
      <alignment horizontal="center" vertical="center" wrapText="1"/>
    </xf>
    <xf numFmtId="182" fontId="5" fillId="4" borderId="4" xfId="0" applyNumberFormat="1" applyFont="1" applyFill="1" applyBorder="1" applyAlignment="1">
      <alignment horizontal="center" vertical="center" wrapText="1"/>
    </xf>
    <xf numFmtId="168" fontId="5" fillId="4" borderId="4" xfId="4" applyNumberFormat="1" applyFont="1" applyFill="1" applyBorder="1" applyAlignment="1">
      <alignment horizontal="center" vertical="center" wrapText="1"/>
    </xf>
    <xf numFmtId="182" fontId="5" fillId="4" borderId="4" xfId="15" applyNumberFormat="1" applyFont="1" applyFill="1" applyBorder="1" applyAlignment="1">
      <alignment horizontal="center" vertical="center" wrapText="1"/>
    </xf>
    <xf numFmtId="177" fontId="5" fillId="4" borderId="4" xfId="1" applyNumberFormat="1" applyFont="1" applyFill="1" applyBorder="1" applyAlignment="1">
      <alignment horizontal="center" vertical="center" wrapText="1"/>
    </xf>
    <xf numFmtId="168" fontId="7" fillId="4" borderId="4" xfId="4" applyNumberFormat="1" applyFont="1" applyFill="1" applyBorder="1" applyAlignment="1">
      <alignment horizontal="center" vertical="center" wrapText="1"/>
    </xf>
    <xf numFmtId="177" fontId="5" fillId="4" borderId="4" xfId="4" applyNumberFormat="1" applyFont="1" applyFill="1" applyBorder="1" applyAlignment="1">
      <alignment horizontal="center" vertical="center" wrapText="1"/>
    </xf>
    <xf numFmtId="3" fontId="7" fillId="2" borderId="2" xfId="0" quotePrefix="1" applyNumberFormat="1" applyFont="1" applyFill="1" applyBorder="1" applyAlignment="1">
      <alignment horizontal="right" vertical="center" wrapText="1"/>
    </xf>
    <xf numFmtId="3" fontId="7" fillId="2" borderId="4" xfId="0" quotePrefix="1" applyNumberFormat="1" applyFont="1" applyFill="1" applyBorder="1" applyAlignment="1">
      <alignment horizontal="right" vertical="center" wrapText="1"/>
    </xf>
    <xf numFmtId="3" fontId="5" fillId="2" borderId="4" xfId="1" applyNumberFormat="1" applyFont="1" applyFill="1" applyBorder="1" applyAlignment="1">
      <alignment horizontal="right" vertical="center" wrapText="1"/>
    </xf>
    <xf numFmtId="49" fontId="7" fillId="0" borderId="4" xfId="0" applyNumberFormat="1" applyFont="1" applyBorder="1" applyAlignment="1">
      <alignment vertical="center"/>
    </xf>
    <xf numFmtId="175" fontId="7" fillId="0" borderId="4" xfId="1" applyNumberFormat="1" applyFont="1" applyBorder="1" applyAlignment="1">
      <alignment horizontal="right" vertical="center" wrapText="1"/>
    </xf>
    <xf numFmtId="175" fontId="7" fillId="0" borderId="10" xfId="1" applyNumberFormat="1" applyFont="1" applyBorder="1" applyAlignment="1">
      <alignment horizontal="right" vertical="center" wrapText="1"/>
    </xf>
    <xf numFmtId="175" fontId="7" fillId="0" borderId="4" xfId="1" applyNumberFormat="1" applyFont="1" applyFill="1" applyBorder="1" applyAlignment="1">
      <alignment horizontal="right" vertical="center" wrapText="1"/>
    </xf>
    <xf numFmtId="175" fontId="5" fillId="0" borderId="4" xfId="1" applyNumberFormat="1" applyFont="1" applyBorder="1" applyAlignment="1">
      <alignment horizontal="right" vertical="center"/>
    </xf>
    <xf numFmtId="175" fontId="4" fillId="0" borderId="4" xfId="1" applyNumberFormat="1" applyFont="1" applyBorder="1" applyAlignment="1">
      <alignment horizontal="right" vertical="center" wrapText="1"/>
    </xf>
    <xf numFmtId="175" fontId="7" fillId="0" borderId="4" xfId="1" applyNumberFormat="1" applyFont="1" applyBorder="1" applyAlignment="1">
      <alignment horizontal="right" vertical="center"/>
    </xf>
    <xf numFmtId="175" fontId="5" fillId="0" borderId="6" xfId="1" applyNumberFormat="1" applyFont="1" applyBorder="1" applyAlignment="1">
      <alignment horizontal="right" vertical="center"/>
    </xf>
    <xf numFmtId="49" fontId="7" fillId="0" borderId="15" xfId="0" applyNumberFormat="1" applyFont="1" applyBorder="1" applyAlignment="1">
      <alignment vertical="center" wrapText="1"/>
    </xf>
    <xf numFmtId="49" fontId="7" fillId="0" borderId="17" xfId="0" applyNumberFormat="1" applyFont="1" applyBorder="1" applyAlignment="1">
      <alignment vertical="center" wrapText="1"/>
    </xf>
    <xf numFmtId="0" fontId="7" fillId="0" borderId="17" xfId="0" applyFont="1" applyBorder="1" applyAlignment="1">
      <alignment vertical="center" wrapText="1"/>
    </xf>
    <xf numFmtId="3" fontId="7" fillId="0" borderId="17" xfId="0" applyNumberFormat="1" applyFont="1" applyBorder="1" applyAlignment="1">
      <alignment vertical="center" wrapText="1"/>
    </xf>
    <xf numFmtId="168" fontId="54" fillId="0" borderId="4" xfId="0" quotePrefix="1" applyNumberFormat="1" applyFont="1" applyBorder="1" applyAlignment="1">
      <alignment horizontal="center" vertical="center" wrapText="1"/>
    </xf>
    <xf numFmtId="168" fontId="54" fillId="0" borderId="4" xfId="0" applyNumberFormat="1" applyFont="1" applyBorder="1" applyAlignment="1">
      <alignment vertical="center" wrapText="1"/>
    </xf>
    <xf numFmtId="168" fontId="55" fillId="0" borderId="4" xfId="0" applyNumberFormat="1" applyFont="1" applyBorder="1" applyAlignment="1">
      <alignment vertical="center" wrapText="1"/>
    </xf>
    <xf numFmtId="168" fontId="7" fillId="0" borderId="16" xfId="0" applyNumberFormat="1" applyFont="1" applyBorder="1" applyAlignment="1">
      <alignment vertical="center" wrapText="1"/>
    </xf>
    <xf numFmtId="168" fontId="7" fillId="0" borderId="17" xfId="0" applyNumberFormat="1" applyFont="1" applyBorder="1" applyAlignment="1">
      <alignment vertical="center" wrapText="1"/>
    </xf>
    <xf numFmtId="168" fontId="55" fillId="0" borderId="4" xfId="0" applyNumberFormat="1" applyFont="1" applyBorder="1" applyAlignment="1">
      <alignment wrapText="1"/>
    </xf>
    <xf numFmtId="168" fontId="54" fillId="0" borderId="4" xfId="0" applyNumberFormat="1" applyFont="1" applyBorder="1" applyAlignment="1">
      <alignment wrapText="1"/>
    </xf>
    <xf numFmtId="168" fontId="56" fillId="0" borderId="4" xfId="0" applyNumberFormat="1" applyFont="1" applyBorder="1" applyAlignment="1">
      <alignment horizontal="center" vertical="center" wrapText="1"/>
    </xf>
    <xf numFmtId="168" fontId="56" fillId="0" borderId="4" xfId="0" applyNumberFormat="1" applyFont="1" applyBorder="1" applyAlignment="1">
      <alignment wrapText="1"/>
    </xf>
    <xf numFmtId="0" fontId="60" fillId="0" borderId="0" xfId="0" applyFont="1" applyAlignment="1">
      <alignment horizontal="justify" vertical="center"/>
    </xf>
    <xf numFmtId="170" fontId="7" fillId="0" borderId="4" xfId="1" quotePrefix="1" applyFont="1" applyFill="1" applyBorder="1" applyAlignment="1">
      <alignment horizontal="right" vertical="center" wrapText="1"/>
    </xf>
    <xf numFmtId="175" fontId="64" fillId="0" borderId="0" xfId="20" applyNumberFormat="1" applyFont="1" applyFill="1" applyAlignment="1">
      <alignment vertical="center"/>
    </xf>
    <xf numFmtId="0" fontId="3" fillId="0" borderId="0" xfId="0" applyFont="1" applyAlignment="1">
      <alignment vertical="center"/>
    </xf>
    <xf numFmtId="0" fontId="5" fillId="0" borderId="0" xfId="5845" applyFont="1"/>
    <xf numFmtId="0" fontId="7" fillId="0" borderId="0" xfId="5782" applyFont="1" applyAlignment="1">
      <alignment horizontal="left" vertical="center"/>
    </xf>
    <xf numFmtId="0" fontId="7" fillId="0" borderId="0" xfId="5782" applyFont="1" applyAlignment="1">
      <alignment vertical="center"/>
    </xf>
    <xf numFmtId="0" fontId="5" fillId="0" borderId="0" xfId="5845" applyFont="1" applyAlignment="1">
      <alignment vertical="center"/>
    </xf>
    <xf numFmtId="0" fontId="7" fillId="0" borderId="81" xfId="5782" applyFont="1" applyBorder="1" applyAlignment="1">
      <alignment horizontal="center" vertical="center" wrapText="1"/>
    </xf>
    <xf numFmtId="3" fontId="7" fillId="0" borderId="81" xfId="5782" applyNumberFormat="1" applyFont="1" applyBorder="1" applyAlignment="1">
      <alignment horizontal="right" vertical="center" wrapText="1"/>
    </xf>
    <xf numFmtId="0" fontId="5" fillId="0" borderId="81" xfId="5782" applyFont="1" applyBorder="1" applyAlignment="1">
      <alignment horizontal="center" vertical="center" wrapText="1"/>
    </xf>
    <xf numFmtId="0" fontId="7" fillId="0" borderId="0" xfId="5845" applyFont="1" applyAlignment="1">
      <alignment vertical="center"/>
    </xf>
    <xf numFmtId="3" fontId="5" fillId="0" borderId="81" xfId="1803" applyNumberFormat="1" applyFont="1" applyFill="1" applyBorder="1" applyAlignment="1">
      <alignment horizontal="right" vertical="center"/>
    </xf>
    <xf numFmtId="0" fontId="5" fillId="0" borderId="0" xfId="5845" applyFont="1" applyAlignment="1">
      <alignment vertical="center" wrapText="1"/>
    </xf>
    <xf numFmtId="0" fontId="7" fillId="0" borderId="81" xfId="5845" applyFont="1" applyBorder="1" applyAlignment="1">
      <alignment horizontal="center" vertical="center" wrapText="1"/>
    </xf>
    <xf numFmtId="0" fontId="5" fillId="0" borderId="81" xfId="5845" applyFont="1" applyBorder="1" applyAlignment="1">
      <alignment horizontal="center" vertical="center" wrapText="1"/>
    </xf>
    <xf numFmtId="0" fontId="5" fillId="0" borderId="6" xfId="5845" applyFont="1" applyBorder="1" applyAlignment="1">
      <alignment horizontal="center" vertical="center" wrapText="1"/>
    </xf>
    <xf numFmtId="0" fontId="5" fillId="0" borderId="0" xfId="5845" applyFont="1" applyAlignment="1">
      <alignment wrapText="1"/>
    </xf>
    <xf numFmtId="0" fontId="5" fillId="0" borderId="0" xfId="5845" applyFont="1" applyAlignment="1">
      <alignment horizontal="center" vertical="center" wrapText="1"/>
    </xf>
    <xf numFmtId="0" fontId="5" fillId="0" borderId="0" xfId="5845" applyFont="1" applyAlignment="1">
      <alignment horizontal="left" wrapText="1"/>
    </xf>
    <xf numFmtId="0" fontId="5" fillId="0" borderId="0" xfId="5845" applyFont="1" applyAlignment="1">
      <alignment horizontal="center" vertical="center"/>
    </xf>
    <xf numFmtId="0" fontId="5" fillId="0" borderId="0" xfId="5845" applyFont="1" applyAlignment="1">
      <alignment horizontal="left"/>
    </xf>
    <xf numFmtId="0" fontId="7" fillId="0" borderId="0" xfId="5782" applyFont="1" applyAlignment="1">
      <alignment horizontal="center" vertical="center"/>
    </xf>
    <xf numFmtId="3" fontId="7" fillId="0" borderId="81" xfId="1777" applyNumberFormat="1" applyFont="1" applyFill="1" applyBorder="1" applyAlignment="1">
      <alignment horizontal="right" vertical="center" wrapText="1"/>
    </xf>
    <xf numFmtId="3" fontId="5" fillId="0" borderId="81" xfId="1777" applyNumberFormat="1" applyFont="1" applyFill="1" applyBorder="1" applyAlignment="1">
      <alignment horizontal="right" vertical="center" wrapText="1"/>
    </xf>
    <xf numFmtId="0" fontId="5" fillId="0" borderId="0" xfId="10993" applyFont="1" applyAlignment="1">
      <alignment vertical="center"/>
    </xf>
    <xf numFmtId="168" fontId="54" fillId="0" borderId="10" xfId="0" applyNumberFormat="1" applyFont="1" applyBorder="1" applyAlignment="1">
      <alignment horizontal="center" vertical="center" wrapText="1"/>
    </xf>
    <xf numFmtId="168" fontId="370" fillId="0" borderId="4" xfId="0" applyNumberFormat="1" applyFont="1" applyBorder="1" applyAlignment="1">
      <alignment horizontal="center" vertical="center" wrapText="1"/>
    </xf>
    <xf numFmtId="168" fontId="55" fillId="0" borderId="4" xfId="0" applyNumberFormat="1" applyFont="1" applyBorder="1" applyAlignment="1">
      <alignment horizontal="center" vertical="center" wrapText="1"/>
    </xf>
    <xf numFmtId="49" fontId="4" fillId="2" borderId="0" xfId="0" applyNumberFormat="1" applyFont="1" applyFill="1" applyAlignment="1">
      <alignment horizontal="left" vertical="center" wrapText="1"/>
    </xf>
    <xf numFmtId="49" fontId="5" fillId="2" borderId="0" xfId="0" applyNumberFormat="1" applyFont="1" applyFill="1" applyAlignment="1">
      <alignment vertical="center" wrapText="1"/>
    </xf>
    <xf numFmtId="0" fontId="10" fillId="2" borderId="0" xfId="0" applyFont="1" applyFill="1" applyAlignment="1">
      <alignment horizontal="right" vertical="center" wrapText="1"/>
    </xf>
    <xf numFmtId="0" fontId="5" fillId="2" borderId="0" xfId="0" applyFont="1" applyFill="1" applyAlignment="1">
      <alignment horizontal="right" vertical="center" wrapText="1"/>
    </xf>
    <xf numFmtId="0" fontId="5" fillId="2" borderId="0" xfId="0" applyFont="1" applyFill="1" applyAlignment="1">
      <alignment vertical="center" wrapText="1"/>
    </xf>
    <xf numFmtId="0" fontId="10" fillId="2" borderId="0" xfId="0" applyFont="1" applyFill="1" applyAlignment="1">
      <alignment horizontal="left" vertical="center" wrapText="1"/>
    </xf>
    <xf numFmtId="3" fontId="10" fillId="2" borderId="0" xfId="0" applyNumberFormat="1" applyFont="1" applyFill="1" applyAlignment="1">
      <alignment horizontal="left" vertical="center" wrapText="1"/>
    </xf>
    <xf numFmtId="3" fontId="5" fillId="2" borderId="0" xfId="0" applyNumberFormat="1" applyFont="1" applyFill="1" applyAlignment="1">
      <alignment vertical="center" wrapText="1"/>
    </xf>
    <xf numFmtId="0" fontId="4" fillId="2" borderId="0" xfId="0" applyFont="1" applyFill="1" applyAlignment="1">
      <alignment horizontal="left" vertical="center" wrapText="1"/>
    </xf>
    <xf numFmtId="0" fontId="46" fillId="2" borderId="0" xfId="0" applyFont="1" applyFill="1"/>
    <xf numFmtId="0" fontId="371" fillId="0" borderId="0" xfId="0" applyFont="1"/>
    <xf numFmtId="49" fontId="5" fillId="0" borderId="34" xfId="0" applyNumberFormat="1" applyFont="1" applyBorder="1" applyAlignment="1">
      <alignment horizontal="center" vertical="center" wrapText="1"/>
    </xf>
    <xf numFmtId="49" fontId="5" fillId="0" borderId="34" xfId="0" applyNumberFormat="1" applyFont="1" applyBorder="1" applyAlignment="1">
      <alignment horizontal="left" vertical="center" wrapText="1"/>
    </xf>
    <xf numFmtId="173" fontId="5" fillId="0" borderId="34" xfId="0" applyNumberFormat="1" applyFont="1" applyBorder="1" applyAlignment="1">
      <alignment horizontal="center" vertical="center" wrapText="1"/>
    </xf>
    <xf numFmtId="3" fontId="5" fillId="0" borderId="34" xfId="0" applyNumberFormat="1" applyFont="1" applyBorder="1" applyAlignment="1">
      <alignment vertical="center" wrapText="1"/>
    </xf>
    <xf numFmtId="3" fontId="5" fillId="0" borderId="34" xfId="0" applyNumberFormat="1" applyFont="1" applyBorder="1" applyAlignment="1">
      <alignment horizontal="center" vertical="center" wrapText="1"/>
    </xf>
    <xf numFmtId="0" fontId="4" fillId="2" borderId="0" xfId="0" applyFont="1" applyFill="1" applyAlignment="1">
      <alignment horizontal="right" vertical="center" wrapText="1"/>
    </xf>
    <xf numFmtId="2" fontId="5" fillId="0" borderId="82" xfId="0" applyNumberFormat="1" applyFont="1" applyBorder="1" applyAlignment="1">
      <alignment horizontal="left" vertical="center" wrapText="1"/>
    </xf>
    <xf numFmtId="3" fontId="5" fillId="0" borderId="82" xfId="0" applyNumberFormat="1" applyFont="1" applyBorder="1" applyAlignment="1">
      <alignment horizontal="left" vertical="center" wrapText="1"/>
    </xf>
    <xf numFmtId="2" fontId="5" fillId="0" borderId="81" xfId="0" applyNumberFormat="1" applyFont="1" applyBorder="1" applyAlignment="1">
      <alignment horizontal="left" vertical="center" wrapText="1"/>
    </xf>
    <xf numFmtId="3" fontId="5" fillId="0" borderId="81" xfId="0" applyNumberFormat="1" applyFont="1" applyBorder="1" applyAlignment="1">
      <alignment horizontal="left" vertical="center" wrapText="1"/>
    </xf>
    <xf numFmtId="3" fontId="54" fillId="0" borderId="4" xfId="0" quotePrefix="1" applyNumberFormat="1" applyFont="1" applyBorder="1" applyAlignment="1">
      <alignment horizontal="center" vertical="center" wrapText="1"/>
    </xf>
    <xf numFmtId="49" fontId="9" fillId="0" borderId="34" xfId="0" applyNumberFormat="1" applyFont="1" applyBorder="1" applyAlignment="1">
      <alignment horizontal="center" vertical="center" wrapText="1"/>
    </xf>
    <xf numFmtId="49" fontId="9" fillId="0" borderId="34" xfId="0" quotePrefix="1" applyNumberFormat="1" applyFont="1" applyBorder="1" applyAlignment="1">
      <alignment horizontal="left" vertical="center" wrapText="1"/>
    </xf>
    <xf numFmtId="37" fontId="9" fillId="0" borderId="34" xfId="0" quotePrefix="1" applyNumberFormat="1" applyFont="1" applyBorder="1" applyAlignment="1">
      <alignment horizontal="right" vertical="center" wrapText="1"/>
    </xf>
    <xf numFmtId="168" fontId="9" fillId="0" borderId="34" xfId="0" applyNumberFormat="1" applyFont="1" applyBorder="1" applyAlignment="1">
      <alignment wrapText="1"/>
    </xf>
    <xf numFmtId="170" fontId="7" fillId="0" borderId="6" xfId="1" quotePrefix="1" applyFont="1" applyFill="1" applyBorder="1" applyAlignment="1">
      <alignment horizontal="right" vertical="center" wrapText="1"/>
    </xf>
    <xf numFmtId="37" fontId="7" fillId="0" borderId="6" xfId="0" quotePrefix="1" applyNumberFormat="1" applyFont="1" applyBorder="1" applyAlignment="1">
      <alignment horizontal="right" vertical="center" wrapText="1"/>
    </xf>
    <xf numFmtId="168" fontId="54" fillId="0" borderId="6" xfId="0" quotePrefix="1" applyNumberFormat="1" applyFont="1" applyBorder="1" applyAlignment="1">
      <alignment horizontal="center" vertical="center" wrapText="1"/>
    </xf>
    <xf numFmtId="168" fontId="5" fillId="2" borderId="0" xfId="0" applyNumberFormat="1" applyFont="1" applyFill="1" applyAlignment="1">
      <alignment vertical="center" wrapText="1"/>
    </xf>
    <xf numFmtId="168" fontId="24" fillId="2" borderId="0" xfId="0" applyNumberFormat="1" applyFont="1" applyFill="1" applyAlignment="1">
      <alignment wrapText="1"/>
    </xf>
    <xf numFmtId="168" fontId="7" fillId="0" borderId="0" xfId="0" applyNumberFormat="1" applyFont="1" applyAlignment="1">
      <alignment vertical="center" wrapText="1"/>
    </xf>
    <xf numFmtId="168" fontId="4" fillId="2" borderId="0" xfId="0" applyNumberFormat="1" applyFont="1" applyFill="1" applyAlignment="1">
      <alignment horizontal="left" vertical="center" wrapText="1"/>
    </xf>
    <xf numFmtId="0" fontId="26" fillId="0" borderId="0" xfId="0" applyFont="1" applyAlignment="1">
      <alignment vertical="center" wrapText="1"/>
    </xf>
    <xf numFmtId="49" fontId="9" fillId="0" borderId="34" xfId="0" applyNumberFormat="1" applyFont="1" applyBorder="1" applyAlignment="1">
      <alignment horizontal="left" vertical="center" wrapText="1"/>
    </xf>
    <xf numFmtId="168" fontId="9" fillId="0" borderId="34" xfId="0" applyNumberFormat="1" applyFont="1" applyBorder="1" applyAlignment="1">
      <alignment horizontal="left" vertical="center" wrapText="1"/>
    </xf>
    <xf numFmtId="3" fontId="9" fillId="0" borderId="34" xfId="0" applyNumberFormat="1" applyFont="1" applyBorder="1" applyAlignment="1">
      <alignment horizontal="right" vertical="center" wrapText="1"/>
    </xf>
    <xf numFmtId="3" fontId="9" fillId="0" borderId="34" xfId="0" applyNumberFormat="1" applyFont="1" applyBorder="1" applyAlignment="1">
      <alignment vertical="center" wrapText="1"/>
    </xf>
    <xf numFmtId="168" fontId="9" fillId="0" borderId="34" xfId="0" applyNumberFormat="1" applyFont="1" applyBorder="1" applyAlignment="1">
      <alignment horizontal="center" vertical="center" wrapText="1"/>
    </xf>
    <xf numFmtId="3" fontId="5" fillId="0" borderId="6" xfId="0" quotePrefix="1" applyNumberFormat="1" applyFont="1" applyBorder="1" applyAlignment="1">
      <alignment vertical="center" wrapText="1"/>
    </xf>
    <xf numFmtId="168" fontId="7" fillId="0" borderId="6" xfId="0" applyNumberFormat="1" applyFont="1" applyBorder="1" applyAlignment="1">
      <alignment horizontal="center" wrapText="1"/>
    </xf>
    <xf numFmtId="0" fontId="7" fillId="0" borderId="0" xfId="10993" applyFont="1" applyAlignment="1">
      <alignment vertical="center"/>
    </xf>
    <xf numFmtId="0" fontId="5" fillId="0" borderId="0" xfId="10993" applyFont="1" applyAlignment="1">
      <alignment vertical="center" wrapText="1"/>
    </xf>
    <xf numFmtId="0" fontId="7" fillId="0" borderId="0" xfId="5845" applyFont="1" applyAlignment="1">
      <alignment vertical="center" wrapText="1"/>
    </xf>
    <xf numFmtId="0" fontId="7" fillId="0" borderId="2" xfId="5782" applyFont="1" applyBorder="1" applyAlignment="1">
      <alignment horizontal="center" vertical="center" wrapText="1"/>
    </xf>
    <xf numFmtId="3" fontId="7" fillId="0" borderId="2" xfId="5782" applyNumberFormat="1" applyFont="1" applyBorder="1" applyAlignment="1">
      <alignment horizontal="right" vertical="center" wrapText="1"/>
    </xf>
    <xf numFmtId="0" fontId="7" fillId="0" borderId="81" xfId="5845" applyFont="1" applyBorder="1" applyAlignment="1">
      <alignment horizontal="center" vertical="center"/>
    </xf>
    <xf numFmtId="0" fontId="4" fillId="0" borderId="0" xfId="5845" applyFont="1" applyAlignment="1">
      <alignment vertical="center" wrapText="1"/>
    </xf>
    <xf numFmtId="49" fontId="54" fillId="0" borderId="4" xfId="0" quotePrefix="1" applyNumberFormat="1" applyFont="1" applyBorder="1" applyAlignment="1">
      <alignment horizontal="center" vertical="center" wrapText="1"/>
    </xf>
    <xf numFmtId="2" fontId="5" fillId="0" borderId="4" xfId="0" quotePrefix="1" applyNumberFormat="1" applyFont="1" applyBorder="1" applyAlignment="1">
      <alignment horizontal="left" vertical="center" wrapText="1"/>
    </xf>
    <xf numFmtId="3" fontId="5" fillId="3" borderId="4" xfId="0" applyNumberFormat="1" applyFont="1" applyFill="1" applyBorder="1" applyAlignment="1">
      <alignment horizontal="right" vertical="center" wrapText="1"/>
    </xf>
    <xf numFmtId="49" fontId="5" fillId="0" borderId="81" xfId="0" applyNumberFormat="1" applyFont="1" applyBorder="1" applyAlignment="1">
      <alignment horizontal="center" vertical="center" wrapText="1"/>
    </xf>
    <xf numFmtId="3" fontId="5" fillId="0" borderId="81" xfId="0" applyNumberFormat="1" applyFont="1" applyBorder="1" applyAlignment="1">
      <alignment horizontal="right" vertical="center" wrapText="1"/>
    </xf>
    <xf numFmtId="3" fontId="5" fillId="3" borderId="81" xfId="0" applyNumberFormat="1" applyFont="1" applyFill="1" applyBorder="1" applyAlignment="1">
      <alignment horizontal="right" vertical="center" wrapText="1"/>
    </xf>
    <xf numFmtId="49" fontId="5" fillId="0" borderId="82" xfId="0" applyNumberFormat="1" applyFont="1" applyBorder="1" applyAlignment="1">
      <alignment horizontal="center" vertical="center" wrapText="1"/>
    </xf>
    <xf numFmtId="3" fontId="5" fillId="0" borderId="82" xfId="0" applyNumberFormat="1" applyFont="1" applyBorder="1" applyAlignment="1">
      <alignment horizontal="right" vertical="center" wrapText="1"/>
    </xf>
    <xf numFmtId="3" fontId="5" fillId="3" borderId="82" xfId="0" applyNumberFormat="1" applyFont="1" applyFill="1" applyBorder="1" applyAlignment="1">
      <alignment horizontal="right" vertical="center" wrapText="1"/>
    </xf>
    <xf numFmtId="49" fontId="5" fillId="0" borderId="81" xfId="0" quotePrefix="1" applyNumberFormat="1" applyFont="1" applyBorder="1" applyAlignment="1">
      <alignment horizontal="center" vertical="center" wrapText="1"/>
    </xf>
    <xf numFmtId="49" fontId="5" fillId="0" borderId="81" xfId="0" quotePrefix="1" applyNumberFormat="1" applyFont="1" applyBorder="1" applyAlignment="1">
      <alignment horizontal="left" vertical="center" wrapText="1"/>
    </xf>
    <xf numFmtId="168" fontId="5" fillId="0" borderId="81" xfId="0" quotePrefix="1" applyNumberFormat="1" applyFont="1" applyBorder="1" applyAlignment="1">
      <alignment horizontal="right" vertical="center" wrapText="1"/>
    </xf>
    <xf numFmtId="168" fontId="5" fillId="0" borderId="81" xfId="0" quotePrefix="1" applyNumberFormat="1" applyFont="1" applyBorder="1" applyAlignment="1">
      <alignment horizontal="center" vertical="center" wrapText="1"/>
    </xf>
    <xf numFmtId="49" fontId="7" fillId="0" borderId="81" xfId="0" quotePrefix="1" applyNumberFormat="1" applyFont="1" applyBorder="1" applyAlignment="1">
      <alignment horizontal="center" vertical="center" wrapText="1"/>
    </xf>
    <xf numFmtId="49" fontId="7" fillId="0" borderId="81" xfId="0" quotePrefix="1" applyNumberFormat="1" applyFont="1" applyBorder="1" applyAlignment="1">
      <alignment horizontal="left" vertical="center" wrapText="1"/>
    </xf>
    <xf numFmtId="49" fontId="5" fillId="0" borderId="81" xfId="0" applyNumberFormat="1" applyFont="1" applyBorder="1" applyAlignment="1">
      <alignment horizontal="left" vertical="center" wrapText="1"/>
    </xf>
    <xf numFmtId="0" fontId="5" fillId="0" borderId="0" xfId="5754" applyFont="1" applyAlignment="1">
      <alignment horizontal="center" vertical="center"/>
    </xf>
    <xf numFmtId="0" fontId="14" fillId="0" borderId="0" xfId="5754" applyFont="1" applyAlignment="1">
      <alignment horizontal="center" vertical="center"/>
    </xf>
    <xf numFmtId="0" fontId="5" fillId="0" borderId="0" xfId="5754" applyFont="1" applyAlignment="1">
      <alignment vertical="center" wrapText="1"/>
    </xf>
    <xf numFmtId="0" fontId="5" fillId="0" borderId="0" xfId="5754" applyFont="1" applyAlignment="1">
      <alignment horizontal="left" vertical="center"/>
    </xf>
    <xf numFmtId="0" fontId="9" fillId="0" borderId="0" xfId="5754" applyFont="1" applyAlignment="1">
      <alignment horizontal="center" vertical="center"/>
    </xf>
    <xf numFmtId="0" fontId="11" fillId="0" borderId="81" xfId="5754" applyFont="1" applyBorder="1" applyAlignment="1">
      <alignment horizontal="center" vertical="center" wrapText="1"/>
    </xf>
    <xf numFmtId="0" fontId="11" fillId="0" borderId="81" xfId="5754" applyFont="1" applyBorder="1" applyAlignment="1">
      <alignment vertical="center" wrapText="1"/>
    </xf>
    <xf numFmtId="0" fontId="14" fillId="0" borderId="81" xfId="5754" applyFont="1" applyBorder="1" applyAlignment="1">
      <alignment horizontal="center" vertical="center"/>
    </xf>
    <xf numFmtId="0" fontId="14" fillId="0" borderId="81" xfId="5754" applyFont="1" applyBorder="1" applyAlignment="1">
      <alignment horizontal="center" vertical="center" wrapText="1"/>
    </xf>
    <xf numFmtId="0" fontId="14" fillId="0" borderId="81" xfId="5754" applyFont="1" applyBorder="1" applyAlignment="1">
      <alignment horizontal="left" vertical="center" wrapText="1"/>
    </xf>
    <xf numFmtId="0" fontId="14" fillId="0" borderId="81" xfId="5754" quotePrefix="1" applyFont="1" applyBorder="1" applyAlignment="1">
      <alignment horizontal="center" vertical="center"/>
    </xf>
    <xf numFmtId="0" fontId="11" fillId="0" borderId="81" xfId="5754" applyFont="1" applyBorder="1" applyAlignment="1">
      <alignment horizontal="left" vertical="center" wrapText="1"/>
    </xf>
    <xf numFmtId="0" fontId="11" fillId="0" borderId="81" xfId="5754" applyFont="1" applyBorder="1" applyAlignment="1">
      <alignment horizontal="center" vertical="center"/>
    </xf>
    <xf numFmtId="0" fontId="14" fillId="0" borderId="6" xfId="5754" applyFont="1" applyBorder="1" applyAlignment="1">
      <alignment horizontal="center" vertical="center" wrapText="1"/>
    </xf>
    <xf numFmtId="0" fontId="14" fillId="0" borderId="6" xfId="5754" applyFont="1" applyBorder="1" applyAlignment="1">
      <alignment horizontal="left" vertical="center" wrapText="1"/>
    </xf>
    <xf numFmtId="0" fontId="14" fillId="0" borderId="6" xfId="5754" quotePrefix="1" applyFont="1" applyBorder="1" applyAlignment="1">
      <alignment horizontal="center" vertical="center"/>
    </xf>
    <xf numFmtId="0" fontId="11" fillId="0" borderId="2" xfId="5754" applyFont="1" applyBorder="1" applyAlignment="1">
      <alignment vertical="center" wrapText="1"/>
    </xf>
    <xf numFmtId="0" fontId="14" fillId="0" borderId="2" xfId="5754" applyFont="1" applyBorder="1" applyAlignment="1">
      <alignment horizontal="center" vertical="center"/>
    </xf>
    <xf numFmtId="49" fontId="9" fillId="0" borderId="81" xfId="0" quotePrefix="1" applyNumberFormat="1" applyFont="1" applyBorder="1" applyAlignment="1">
      <alignment horizontal="left" vertical="center" wrapText="1"/>
    </xf>
    <xf numFmtId="168" fontId="9" fillId="0" borderId="4" xfId="0" quotePrefix="1" applyNumberFormat="1" applyFont="1" applyBorder="1" applyAlignment="1">
      <alignment horizontal="right" vertical="center" wrapText="1"/>
    </xf>
    <xf numFmtId="49" fontId="7" fillId="0" borderId="34" xfId="0" applyNumberFormat="1" applyFont="1" applyBorder="1" applyAlignment="1">
      <alignment horizontal="center" vertical="center" wrapText="1"/>
    </xf>
    <xf numFmtId="49" fontId="7" fillId="0" borderId="34" xfId="0" quotePrefix="1" applyNumberFormat="1" applyFont="1" applyBorder="1" applyAlignment="1">
      <alignment horizontal="left" vertical="center" wrapText="1"/>
    </xf>
    <xf numFmtId="3" fontId="7" fillId="0" borderId="34" xfId="0" quotePrefix="1" applyNumberFormat="1" applyFont="1" applyBorder="1" applyAlignment="1">
      <alignment horizontal="right" vertical="center" wrapText="1"/>
    </xf>
    <xf numFmtId="168" fontId="54" fillId="0" borderId="34" xfId="0" quotePrefix="1" applyNumberFormat="1" applyFont="1" applyBorder="1" applyAlignment="1">
      <alignment horizontal="center" vertical="center" wrapText="1"/>
    </xf>
    <xf numFmtId="0" fontId="5" fillId="0" borderId="0" xfId="0" applyFont="1" applyAlignment="1">
      <alignment horizontal="left" vertical="center" wrapText="1"/>
    </xf>
    <xf numFmtId="3" fontId="5" fillId="0" borderId="81" xfId="0" quotePrefix="1" applyNumberFormat="1" applyFont="1" applyBorder="1" applyAlignment="1">
      <alignment horizontal="center" vertical="center" wrapText="1"/>
    </xf>
    <xf numFmtId="0" fontId="5" fillId="0" borderId="81" xfId="0" applyFont="1" applyBorder="1" applyAlignment="1">
      <alignment horizontal="left" vertical="center" wrapText="1"/>
    </xf>
    <xf numFmtId="2" fontId="5" fillId="0" borderId="81" xfId="0" quotePrefix="1" applyNumberFormat="1" applyFont="1" applyBorder="1" applyAlignment="1">
      <alignment horizontal="center" vertical="center" wrapText="1"/>
    </xf>
    <xf numFmtId="173" fontId="5" fillId="0" borderId="8" xfId="0" quotePrefix="1" applyNumberFormat="1" applyFont="1" applyBorder="1" applyAlignment="1">
      <alignment horizontal="center" vertical="center" wrapText="1"/>
    </xf>
    <xf numFmtId="0" fontId="7" fillId="0" borderId="0" xfId="0" applyFont="1" applyAlignment="1">
      <alignment horizontal="right" wrapText="1"/>
    </xf>
    <xf numFmtId="0" fontId="66" fillId="0" borderId="0" xfId="0" applyFont="1"/>
    <xf numFmtId="0" fontId="5" fillId="0" borderId="81" xfId="0" applyFont="1" applyBorder="1" applyAlignment="1">
      <alignment horizontal="center" vertical="center" wrapText="1"/>
    </xf>
    <xf numFmtId="2" fontId="5" fillId="0" borderId="81" xfId="0" applyNumberFormat="1" applyFont="1" applyBorder="1" applyAlignment="1">
      <alignment horizontal="center" vertical="center" wrapText="1"/>
    </xf>
    <xf numFmtId="3" fontId="5" fillId="0" borderId="81" xfId="0" quotePrefix="1" applyNumberFormat="1" applyFont="1" applyBorder="1" applyAlignment="1">
      <alignment horizontal="right" vertical="center" wrapText="1"/>
    </xf>
    <xf numFmtId="174" fontId="5" fillId="0" borderId="81" xfId="0" quotePrefix="1" applyNumberFormat="1" applyFont="1" applyBorder="1" applyAlignment="1">
      <alignment horizontal="center" vertical="center" wrapText="1"/>
    </xf>
    <xf numFmtId="1" fontId="5" fillId="0" borderId="81" xfId="0" quotePrefix="1" applyNumberFormat="1" applyFont="1" applyBorder="1" applyAlignment="1">
      <alignment horizontal="center" vertical="center" wrapText="1"/>
    </xf>
    <xf numFmtId="49" fontId="5" fillId="0" borderId="81" xfId="1777" applyNumberFormat="1" applyFont="1" applyFill="1" applyBorder="1" applyAlignment="1">
      <alignment vertical="center" wrapText="1"/>
    </xf>
    <xf numFmtId="49" fontId="7" fillId="0" borderId="81" xfId="1777" applyNumberFormat="1" applyFont="1" applyFill="1" applyBorder="1" applyAlignment="1">
      <alignment vertical="center" wrapText="1"/>
    </xf>
    <xf numFmtId="49" fontId="5" fillId="0" borderId="81" xfId="1788" applyNumberFormat="1" applyFont="1" applyFill="1" applyBorder="1" applyAlignment="1">
      <alignment horizontal="center" vertical="center" wrapText="1"/>
    </xf>
    <xf numFmtId="49" fontId="7" fillId="0" borderId="2" xfId="5782" applyNumberFormat="1" applyFont="1" applyBorder="1" applyAlignment="1">
      <alignment horizontal="left" vertical="center" wrapText="1"/>
    </xf>
    <xf numFmtId="49" fontId="7" fillId="0" borderId="2" xfId="5782" applyNumberFormat="1" applyFont="1" applyBorder="1" applyAlignment="1">
      <alignment horizontal="center" vertical="center" wrapText="1"/>
    </xf>
    <xf numFmtId="49" fontId="7" fillId="0" borderId="81" xfId="5782" applyNumberFormat="1" applyFont="1" applyBorder="1" applyAlignment="1">
      <alignment horizontal="left" vertical="center" wrapText="1"/>
    </xf>
    <xf numFmtId="49" fontId="7" fillId="0" borderId="81" xfId="5782" applyNumberFormat="1" applyFont="1" applyBorder="1" applyAlignment="1">
      <alignment horizontal="center" vertical="center" wrapText="1"/>
    </xf>
    <xf numFmtId="0" fontId="5" fillId="0" borderId="81" xfId="0" applyFont="1" applyBorder="1" applyAlignment="1">
      <alignment horizontal="center" vertical="center"/>
    </xf>
    <xf numFmtId="49" fontId="5" fillId="0" borderId="81" xfId="5926" applyNumberFormat="1" applyFont="1" applyBorder="1" applyAlignment="1">
      <alignment horizontal="center" vertical="center" wrapText="1"/>
    </xf>
    <xf numFmtId="49" fontId="5" fillId="0" borderId="81" xfId="5925" applyNumberFormat="1" applyFont="1" applyBorder="1" applyAlignment="1">
      <alignment horizontal="left" vertical="center" wrapText="1"/>
    </xf>
    <xf numFmtId="49" fontId="5" fillId="0" borderId="81" xfId="5926" applyNumberFormat="1" applyFont="1" applyBorder="1" applyAlignment="1">
      <alignment horizontal="left" vertical="center" wrapText="1"/>
    </xf>
    <xf numFmtId="49" fontId="7" fillId="0" borderId="81" xfId="5845" applyNumberFormat="1" applyFont="1" applyBorder="1" applyAlignment="1">
      <alignment horizontal="left" vertical="center"/>
    </xf>
    <xf numFmtId="49" fontId="7" fillId="0" borderId="81" xfId="5845" applyNumberFormat="1" applyFont="1" applyBorder="1" applyAlignment="1">
      <alignment vertical="center" wrapText="1"/>
    </xf>
    <xf numFmtId="49" fontId="7" fillId="0" borderId="81" xfId="5845" applyNumberFormat="1" applyFont="1" applyBorder="1" applyAlignment="1">
      <alignment vertical="center"/>
    </xf>
    <xf numFmtId="49" fontId="5" fillId="0" borderId="81" xfId="0" applyNumberFormat="1" applyFont="1" applyBorder="1" applyAlignment="1">
      <alignment horizontal="center" vertical="center"/>
    </xf>
    <xf numFmtId="49" fontId="5" fillId="0" borderId="81" xfId="0" applyNumberFormat="1" applyFont="1" applyBorder="1" applyAlignment="1">
      <alignment vertical="center" wrapText="1"/>
    </xf>
    <xf numFmtId="49" fontId="5" fillId="0" borderId="81" xfId="0" applyNumberFormat="1" applyFont="1" applyBorder="1" applyAlignment="1">
      <alignment vertical="center"/>
    </xf>
    <xf numFmtId="49" fontId="5" fillId="0" borderId="81" xfId="5910" applyNumberFormat="1" applyFont="1" applyBorder="1" applyAlignment="1">
      <alignment horizontal="center" vertical="center" wrapText="1"/>
    </xf>
    <xf numFmtId="49" fontId="5" fillId="0" borderId="81" xfId="5910" applyNumberFormat="1" applyFont="1" applyBorder="1" applyAlignment="1">
      <alignment horizontal="justify" vertical="center"/>
    </xf>
    <xf numFmtId="49" fontId="5" fillId="0" borderId="81" xfId="5910" applyNumberFormat="1" applyFont="1" applyBorder="1" applyAlignment="1">
      <alignment horizontal="left" vertical="center" wrapText="1"/>
    </xf>
    <xf numFmtId="49" fontId="7" fillId="0" borderId="81" xfId="5845" applyNumberFormat="1" applyFont="1" applyBorder="1" applyAlignment="1">
      <alignment horizontal="left" vertical="center" wrapText="1"/>
    </xf>
    <xf numFmtId="49" fontId="5" fillId="0" borderId="81" xfId="5845" applyNumberFormat="1" applyFont="1" applyBorder="1" applyAlignment="1">
      <alignment horizontal="left" vertical="center" wrapText="1"/>
    </xf>
    <xf numFmtId="49" fontId="5" fillId="0" borderId="81" xfId="5845" applyNumberFormat="1" applyFont="1" applyBorder="1" applyAlignment="1">
      <alignment horizontal="center" vertical="center" wrapText="1"/>
    </xf>
    <xf numFmtId="49" fontId="5" fillId="0" borderId="81" xfId="5845" applyNumberFormat="1" applyFont="1" applyBorder="1" applyAlignment="1">
      <alignment vertical="center" wrapText="1"/>
    </xf>
    <xf numFmtId="49" fontId="5" fillId="0" borderId="81" xfId="5782" applyNumberFormat="1" applyFont="1" applyBorder="1" applyAlignment="1">
      <alignment horizontal="left" vertical="center" wrapText="1"/>
    </xf>
    <xf numFmtId="49" fontId="5" fillId="0" borderId="6" xfId="5845" applyNumberFormat="1" applyFont="1" applyBorder="1" applyAlignment="1">
      <alignment horizontal="left" vertical="center" wrapText="1"/>
    </xf>
    <xf numFmtId="49" fontId="5" fillId="0" borderId="6" xfId="5845" applyNumberFormat="1" applyFont="1" applyBorder="1" applyAlignment="1">
      <alignment vertical="center" wrapText="1"/>
    </xf>
    <xf numFmtId="0" fontId="11" fillId="0" borderId="0" xfId="5754" applyFont="1" applyAlignment="1">
      <alignment horizontal="center" vertical="center"/>
    </xf>
    <xf numFmtId="0" fontId="11" fillId="0" borderId="2" xfId="5754" applyFont="1" applyBorder="1" applyAlignment="1">
      <alignment horizontal="center" vertical="center" wrapText="1"/>
    </xf>
    <xf numFmtId="49" fontId="5" fillId="0" borderId="0" xfId="0" applyNumberFormat="1" applyFont="1" applyAlignment="1">
      <alignment vertical="center" wrapText="1"/>
    </xf>
    <xf numFmtId="0" fontId="7" fillId="0" borderId="29" xfId="5782" applyFont="1" applyBorder="1" applyAlignment="1">
      <alignment horizontal="center" vertical="center" wrapText="1"/>
    </xf>
    <xf numFmtId="0" fontId="4" fillId="4" borderId="0" xfId="0" applyFont="1" applyFill="1" applyAlignment="1">
      <alignment horizontal="center" vertical="center" wrapText="1"/>
    </xf>
    <xf numFmtId="0" fontId="4" fillId="4" borderId="0" xfId="0" applyFont="1" applyFill="1" applyAlignment="1">
      <alignment horizontal="left" vertical="center" wrapText="1"/>
    </xf>
    <xf numFmtId="0" fontId="7" fillId="4" borderId="1" xfId="0" applyFont="1" applyFill="1" applyBorder="1" applyAlignment="1">
      <alignment horizontal="center" vertical="center" wrapText="1"/>
    </xf>
    <xf numFmtId="49" fontId="9" fillId="4" borderId="10" xfId="0" quotePrefix="1" applyNumberFormat="1" applyFont="1" applyFill="1" applyBorder="1" applyAlignment="1">
      <alignment horizontal="center" vertical="center" wrapText="1"/>
    </xf>
    <xf numFmtId="49" fontId="9" fillId="4" borderId="0" xfId="0" applyNumberFormat="1" applyFont="1" applyFill="1" applyAlignment="1">
      <alignment wrapText="1"/>
    </xf>
    <xf numFmtId="0" fontId="7" fillId="4" borderId="4" xfId="0" quotePrefix="1" applyFont="1" applyFill="1" applyBorder="1" applyAlignment="1">
      <alignment horizontal="center" vertical="center" wrapText="1"/>
    </xf>
    <xf numFmtId="0" fontId="7" fillId="4" borderId="4" xfId="0" applyFont="1" applyFill="1" applyBorder="1" applyAlignment="1">
      <alignment horizontal="left" vertical="center" wrapText="1"/>
    </xf>
    <xf numFmtId="3" fontId="7" fillId="4" borderId="4" xfId="0" quotePrefix="1" applyNumberFormat="1" applyFont="1" applyFill="1" applyBorder="1" applyAlignment="1">
      <alignment horizontal="center" vertical="center" wrapText="1"/>
    </xf>
    <xf numFmtId="0" fontId="7" fillId="4" borderId="0" xfId="0" applyFont="1" applyFill="1" applyAlignment="1">
      <alignment horizontal="right" wrapText="1"/>
    </xf>
    <xf numFmtId="0" fontId="5" fillId="4" borderId="4" xfId="0" applyFont="1" applyFill="1" applyBorder="1" applyAlignment="1">
      <alignment horizontal="center" vertical="center" wrapText="1"/>
    </xf>
    <xf numFmtId="0" fontId="5" fillId="4" borderId="0" xfId="0" applyFont="1" applyFill="1" applyAlignment="1">
      <alignment horizontal="right" vertical="center" wrapText="1"/>
    </xf>
    <xf numFmtId="0" fontId="23" fillId="4" borderId="81" xfId="0" applyFont="1" applyFill="1" applyBorder="1" applyAlignment="1">
      <alignment horizontal="left" vertical="center" wrapText="1"/>
    </xf>
    <xf numFmtId="3" fontId="23" fillId="4" borderId="81" xfId="0" quotePrefix="1" applyNumberFormat="1" applyFont="1" applyFill="1" applyBorder="1" applyAlignment="1">
      <alignment horizontal="center" vertical="center" wrapText="1"/>
    </xf>
    <xf numFmtId="3" fontId="23" fillId="4" borderId="81" xfId="0" quotePrefix="1" applyNumberFormat="1" applyFont="1" applyFill="1" applyBorder="1" applyAlignment="1">
      <alignment horizontal="right" vertical="center" wrapText="1"/>
    </xf>
    <xf numFmtId="4" fontId="5" fillId="4" borderId="4" xfId="0" applyNumberFormat="1" applyFont="1" applyFill="1" applyBorder="1" applyAlignment="1">
      <alignment horizontal="center" vertical="center" wrapText="1"/>
    </xf>
    <xf numFmtId="3" fontId="5" fillId="4" borderId="4" xfId="2" applyNumberFormat="1" applyFont="1" applyFill="1" applyBorder="1" applyAlignment="1">
      <alignment horizontal="right" vertical="center" wrapText="1"/>
    </xf>
    <xf numFmtId="3" fontId="5" fillId="4" borderId="4" xfId="14" quotePrefix="1" applyNumberFormat="1" applyFont="1" applyFill="1" applyBorder="1" applyAlignment="1">
      <alignment horizontal="right" vertical="center" wrapText="1"/>
    </xf>
    <xf numFmtId="3" fontId="5" fillId="4" borderId="0" xfId="0" applyNumberFormat="1" applyFont="1" applyFill="1" applyAlignment="1">
      <alignment wrapText="1"/>
    </xf>
    <xf numFmtId="0" fontId="5" fillId="4" borderId="6" xfId="0" applyFont="1" applyFill="1" applyBorder="1" applyAlignment="1">
      <alignment horizontal="center" vertical="center" wrapText="1"/>
    </xf>
    <xf numFmtId="0" fontId="5" fillId="4" borderId="6" xfId="0" applyFont="1" applyFill="1" applyBorder="1" applyAlignment="1">
      <alignment horizontal="left" vertical="center" wrapText="1"/>
    </xf>
    <xf numFmtId="3" fontId="5" fillId="4" borderId="6" xfId="0" quotePrefix="1" applyNumberFormat="1" applyFont="1" applyFill="1" applyBorder="1" applyAlignment="1">
      <alignment horizontal="center" vertical="center" wrapText="1"/>
    </xf>
    <xf numFmtId="0" fontId="5" fillId="4" borderId="0" xfId="0" applyFont="1" applyFill="1" applyAlignment="1">
      <alignment horizontal="center" vertical="center" wrapText="1"/>
    </xf>
    <xf numFmtId="173" fontId="5" fillId="0" borderId="81" xfId="0" applyNumberFormat="1" applyFont="1" applyBorder="1" applyAlignment="1">
      <alignment horizontal="center" vertical="center" wrapText="1"/>
    </xf>
    <xf numFmtId="0" fontId="5" fillId="4" borderId="81" xfId="5926" applyFont="1" applyFill="1" applyBorder="1" applyAlignment="1">
      <alignment horizontal="left" vertical="center" wrapText="1"/>
    </xf>
    <xf numFmtId="2" fontId="5" fillId="4" borderId="34" xfId="0" applyNumberFormat="1" applyFont="1" applyFill="1" applyBorder="1" applyAlignment="1">
      <alignment horizontal="center" vertical="center" wrapText="1"/>
    </xf>
    <xf numFmtId="2" fontId="5" fillId="4" borderId="6" xfId="0" applyNumberFormat="1" applyFont="1" applyFill="1" applyBorder="1" applyAlignment="1">
      <alignment horizontal="center" vertical="center" wrapText="1"/>
    </xf>
    <xf numFmtId="175" fontId="6" fillId="0" borderId="0" xfId="20" applyNumberFormat="1" applyFont="1" applyFill="1" applyAlignment="1">
      <alignment horizontal="center" vertical="center"/>
    </xf>
    <xf numFmtId="0" fontId="2" fillId="0" borderId="0" xfId="0" applyFont="1"/>
    <xf numFmtId="175" fontId="8" fillId="0" borderId="0" xfId="20" applyNumberFormat="1" applyFont="1" applyFill="1" applyAlignment="1">
      <alignment vertical="center"/>
    </xf>
    <xf numFmtId="175" fontId="7" fillId="0" borderId="0" xfId="20" applyNumberFormat="1" applyFont="1" applyFill="1" applyBorder="1" applyAlignment="1">
      <alignment horizontal="center" vertical="center"/>
    </xf>
    <xf numFmtId="175" fontId="7" fillId="0" borderId="0" xfId="20" applyNumberFormat="1" applyFont="1" applyFill="1" applyBorder="1" applyAlignment="1">
      <alignment horizontal="left" vertical="center"/>
    </xf>
    <xf numFmtId="175" fontId="4" fillId="0" borderId="9" xfId="20" applyNumberFormat="1" applyFont="1" applyFill="1" applyBorder="1" applyAlignment="1">
      <alignment horizontal="center" vertical="center"/>
    </xf>
    <xf numFmtId="175" fontId="7" fillId="0" borderId="68" xfId="20" applyNumberFormat="1" applyFont="1" applyFill="1" applyBorder="1" applyAlignment="1">
      <alignment horizontal="center" vertical="center" wrapText="1"/>
    </xf>
    <xf numFmtId="0" fontId="7" fillId="0" borderId="69" xfId="0" applyFont="1" applyBorder="1" applyAlignment="1">
      <alignment horizontal="center" vertical="center" wrapText="1"/>
    </xf>
    <xf numFmtId="0" fontId="7" fillId="0" borderId="80" xfId="0" applyFont="1" applyBorder="1" applyAlignment="1">
      <alignment horizontal="center" vertical="center" wrapText="1"/>
    </xf>
    <xf numFmtId="0" fontId="6" fillId="0" borderId="81" xfId="0" applyFont="1" applyBorder="1" applyAlignment="1">
      <alignment horizontal="center" vertical="center"/>
    </xf>
    <xf numFmtId="175" fontId="6" fillId="0" borderId="81" xfId="0" applyNumberFormat="1" applyFont="1" applyBorder="1" applyAlignment="1">
      <alignment vertical="center"/>
    </xf>
    <xf numFmtId="0" fontId="6" fillId="0" borderId="81" xfId="0" applyFont="1" applyBorder="1" applyAlignment="1">
      <alignment vertical="center"/>
    </xf>
    <xf numFmtId="0" fontId="6" fillId="0" borderId="0" xfId="0" applyFont="1" applyAlignment="1">
      <alignment vertical="center"/>
    </xf>
    <xf numFmtId="175" fontId="6" fillId="0" borderId="81" xfId="1" applyNumberFormat="1" applyFont="1" applyBorder="1" applyAlignment="1">
      <alignment vertical="center"/>
    </xf>
    <xf numFmtId="0" fontId="2" fillId="0" borderId="81" xfId="0" applyFont="1" applyBorder="1" applyAlignment="1">
      <alignment horizontal="center" vertical="center"/>
    </xf>
    <xf numFmtId="175" fontId="2" fillId="0" borderId="81" xfId="1" applyNumberFormat="1" applyFont="1" applyBorder="1" applyAlignment="1">
      <alignment vertical="center"/>
    </xf>
    <xf numFmtId="0" fontId="2" fillId="0" borderId="81" xfId="0" applyFont="1" applyBorder="1" applyAlignment="1">
      <alignment vertical="center"/>
    </xf>
    <xf numFmtId="0" fontId="2" fillId="0" borderId="0" xfId="0" applyFont="1" applyAlignment="1">
      <alignment vertical="center"/>
    </xf>
    <xf numFmtId="0" fontId="2" fillId="0" borderId="6" xfId="0" applyFont="1" applyBorder="1" applyAlignment="1">
      <alignment horizontal="center"/>
    </xf>
    <xf numFmtId="0" fontId="2" fillId="0" borderId="6" xfId="0" applyFont="1" applyBorder="1"/>
    <xf numFmtId="0" fontId="2" fillId="0" borderId="0" xfId="0" applyFont="1" applyAlignment="1">
      <alignment horizontal="center"/>
    </xf>
    <xf numFmtId="0" fontId="373" fillId="0" borderId="0" xfId="0" applyFont="1"/>
    <xf numFmtId="0" fontId="374" fillId="0" borderId="0" xfId="0" applyFont="1"/>
    <xf numFmtId="0" fontId="375" fillId="0" borderId="0" xfId="0" applyFont="1" applyAlignment="1">
      <alignment horizontal="right"/>
    </xf>
    <xf numFmtId="0" fontId="7" fillId="0" borderId="29" xfId="0" applyFont="1" applyBorder="1" applyAlignment="1">
      <alignment horizontal="center" vertical="center" wrapText="1"/>
    </xf>
    <xf numFmtId="0" fontId="7" fillId="0" borderId="2" xfId="0" applyFont="1" applyBorder="1" applyAlignment="1">
      <alignment vertical="center" wrapText="1"/>
    </xf>
    <xf numFmtId="175" fontId="7" fillId="0" borderId="2" xfId="0" applyNumberFormat="1" applyFont="1" applyBorder="1" applyAlignment="1">
      <alignment horizontal="center" vertical="center" wrapText="1"/>
    </xf>
    <xf numFmtId="1" fontId="7" fillId="0" borderId="2" xfId="0" applyNumberFormat="1" applyFont="1" applyBorder="1" applyAlignment="1">
      <alignment horizontal="center" vertical="center" wrapText="1"/>
    </xf>
    <xf numFmtId="175" fontId="376" fillId="0" borderId="2" xfId="1" applyNumberFormat="1" applyFont="1" applyFill="1" applyBorder="1" applyAlignment="1">
      <alignment vertical="center"/>
    </xf>
    <xf numFmtId="0" fontId="7" fillId="0" borderId="81" xfId="0" applyFont="1" applyBorder="1" applyAlignment="1">
      <alignment horizontal="center" vertical="center" wrapText="1"/>
    </xf>
    <xf numFmtId="0" fontId="7" fillId="0" borderId="81" xfId="0" applyFont="1" applyBorder="1" applyAlignment="1">
      <alignment vertical="center" wrapText="1"/>
    </xf>
    <xf numFmtId="175" fontId="7" fillId="0" borderId="81" xfId="0" applyNumberFormat="1" applyFont="1" applyBorder="1" applyAlignment="1">
      <alignment horizontal="center" vertical="center" wrapText="1"/>
    </xf>
    <xf numFmtId="1" fontId="7" fillId="0" borderId="81" xfId="0" applyNumberFormat="1" applyFont="1" applyBorder="1" applyAlignment="1">
      <alignment horizontal="center" vertical="center" wrapText="1"/>
    </xf>
    <xf numFmtId="175" fontId="376" fillId="0" borderId="81" xfId="1" applyNumberFormat="1" applyFont="1" applyFill="1" applyBorder="1" applyAlignment="1">
      <alignment vertical="center"/>
    </xf>
    <xf numFmtId="175" fontId="5" fillId="0" borderId="81" xfId="0" applyNumberFormat="1" applyFont="1" applyBorder="1" applyAlignment="1">
      <alignment horizontal="center" vertical="center" wrapText="1"/>
    </xf>
    <xf numFmtId="175" fontId="377" fillId="0" borderId="81" xfId="1" applyNumberFormat="1" applyFont="1" applyFill="1" applyBorder="1" applyAlignment="1">
      <alignment vertical="center"/>
    </xf>
    <xf numFmtId="188" fontId="377" fillId="0" borderId="81" xfId="1" applyNumberFormat="1" applyFont="1" applyFill="1" applyBorder="1" applyAlignment="1">
      <alignment horizontal="center" vertical="center"/>
    </xf>
    <xf numFmtId="175" fontId="377" fillId="0" borderId="81" xfId="1" applyNumberFormat="1" applyFont="1" applyFill="1" applyBorder="1" applyAlignment="1">
      <alignment horizontal="center" vertical="center"/>
    </xf>
    <xf numFmtId="175" fontId="377" fillId="0" borderId="81" xfId="1" applyNumberFormat="1" applyFont="1" applyFill="1" applyBorder="1" applyAlignment="1">
      <alignment horizontal="right" vertical="center"/>
    </xf>
    <xf numFmtId="0" fontId="23" fillId="0" borderId="0" xfId="0" applyFont="1" applyAlignment="1">
      <alignment horizontal="center" vertical="center" wrapText="1"/>
    </xf>
    <xf numFmtId="188" fontId="376" fillId="0" borderId="81" xfId="1" applyNumberFormat="1" applyFont="1" applyFill="1" applyBorder="1" applyAlignment="1">
      <alignment vertical="center"/>
    </xf>
    <xf numFmtId="0" fontId="5" fillId="0" borderId="81" xfId="10995" applyFont="1" applyBorder="1" applyAlignment="1">
      <alignment horizontal="left" vertical="center" wrapText="1"/>
    </xf>
    <xf numFmtId="0" fontId="5" fillId="0" borderId="81" xfId="10995" applyFont="1" applyBorder="1" applyAlignment="1">
      <alignment horizontal="center" vertical="center" wrapText="1"/>
    </xf>
    <xf numFmtId="175" fontId="5" fillId="0" borderId="0" xfId="0" applyNumberFormat="1" applyFont="1" applyAlignment="1">
      <alignment horizontal="center" vertical="center" wrapText="1"/>
    </xf>
    <xf numFmtId="1" fontId="5" fillId="0" borderId="81" xfId="0" applyNumberFormat="1" applyFont="1" applyBorder="1" applyAlignment="1">
      <alignment horizontal="center" vertical="center" wrapText="1"/>
    </xf>
    <xf numFmtId="1" fontId="5" fillId="0" borderId="81" xfId="0" applyNumberFormat="1" applyFont="1" applyBorder="1" applyAlignment="1">
      <alignment horizontal="left" vertical="center" wrapText="1"/>
    </xf>
    <xf numFmtId="37" fontId="5" fillId="0" borderId="81" xfId="10996" applyNumberFormat="1" applyFont="1" applyBorder="1" applyAlignment="1">
      <alignment horizontal="center" vertical="center"/>
    </xf>
    <xf numFmtId="0" fontId="5" fillId="0" borderId="81" xfId="0" applyFont="1" applyBorder="1" applyAlignment="1">
      <alignment horizontal="justify" wrapText="1"/>
    </xf>
    <xf numFmtId="0" fontId="5" fillId="0" borderId="81" xfId="0" applyFont="1" applyBorder="1"/>
    <xf numFmtId="0" fontId="5" fillId="0" borderId="81" xfId="10996" applyFont="1" applyBorder="1" applyAlignment="1">
      <alignment horizontal="center" vertical="center"/>
    </xf>
    <xf numFmtId="366" fontId="5" fillId="0" borderId="81" xfId="0" applyNumberFormat="1" applyFont="1" applyBorder="1" applyAlignment="1">
      <alignment horizontal="center" vertical="center" wrapText="1"/>
    </xf>
    <xf numFmtId="175" fontId="376" fillId="0" borderId="81" xfId="1" applyNumberFormat="1" applyFont="1" applyFill="1" applyBorder="1" applyAlignment="1">
      <alignment horizontal="center" vertical="center"/>
    </xf>
    <xf numFmtId="0" fontId="77" fillId="0" borderId="81" xfId="10996" applyFont="1" applyBorder="1" applyAlignment="1">
      <alignment horizontal="center" vertical="center"/>
    </xf>
    <xf numFmtId="0" fontId="5" fillId="0" borderId="81" xfId="10997" applyFont="1" applyBorder="1" applyAlignment="1">
      <alignment horizontal="left" vertical="center" wrapText="1"/>
    </xf>
    <xf numFmtId="0" fontId="5" fillId="0" borderId="81" xfId="10997" applyFont="1" applyBorder="1" applyAlignment="1">
      <alignment horizontal="center" vertical="center" wrapText="1"/>
    </xf>
    <xf numFmtId="0" fontId="5" fillId="0" borderId="81" xfId="10996" applyFont="1" applyBorder="1" applyAlignment="1">
      <alignment horizontal="left" vertical="center"/>
    </xf>
    <xf numFmtId="0" fontId="5" fillId="0" borderId="81" xfId="0" applyFont="1" applyBorder="1" applyAlignment="1">
      <alignment vertical="center"/>
    </xf>
    <xf numFmtId="0" fontId="7" fillId="0" borderId="81" xfId="10996" applyFont="1" applyBorder="1" applyAlignment="1">
      <alignment horizontal="center" vertical="center"/>
    </xf>
    <xf numFmtId="0" fontId="5" fillId="0" borderId="6" xfId="10996" applyFont="1" applyBorder="1" applyAlignment="1">
      <alignment horizontal="center" vertical="center"/>
    </xf>
    <xf numFmtId="175" fontId="5" fillId="0" borderId="6" xfId="0" applyNumberFormat="1" applyFont="1" applyBorder="1" applyAlignment="1">
      <alignment horizontal="center" vertical="center" wrapText="1"/>
    </xf>
    <xf numFmtId="0" fontId="5" fillId="0" borderId="6" xfId="10995" applyFont="1" applyBorder="1" applyAlignment="1">
      <alignment horizontal="center" vertical="center" wrapText="1"/>
    </xf>
    <xf numFmtId="175" fontId="377" fillId="0" borderId="6" xfId="1" applyNumberFormat="1" applyFont="1" applyFill="1" applyBorder="1" applyAlignment="1">
      <alignment vertical="center"/>
    </xf>
    <xf numFmtId="49" fontId="7" fillId="0" borderId="8" xfId="0" applyNumberFormat="1" applyFont="1" applyBorder="1" applyAlignment="1">
      <alignment vertical="center" wrapText="1"/>
    </xf>
    <xf numFmtId="0" fontId="6" fillId="0" borderId="8" xfId="0" applyFont="1" applyBorder="1" applyAlignment="1">
      <alignment vertical="center"/>
    </xf>
    <xf numFmtId="49" fontId="5" fillId="0" borderId="8" xfId="0" applyNumberFormat="1" applyFont="1" applyBorder="1" applyAlignment="1">
      <alignment vertical="center"/>
    </xf>
    <xf numFmtId="0" fontId="2" fillId="0" borderId="8" xfId="0" applyFont="1" applyBorder="1" applyAlignment="1">
      <alignment vertical="center"/>
    </xf>
    <xf numFmtId="175" fontId="11" fillId="0" borderId="0" xfId="20" applyNumberFormat="1" applyFont="1" applyFill="1" applyBorder="1" applyAlignment="1">
      <alignment horizontal="center" vertical="center"/>
    </xf>
    <xf numFmtId="0" fontId="66" fillId="0" borderId="0" xfId="0" applyFont="1" applyAlignment="1">
      <alignment horizontal="center"/>
    </xf>
    <xf numFmtId="3" fontId="5" fillId="0" borderId="81" xfId="1803" applyNumberFormat="1" applyFont="1" applyFill="1" applyBorder="1" applyAlignment="1">
      <alignment vertical="center"/>
    </xf>
    <xf numFmtId="3" fontId="7" fillId="0" borderId="81" xfId="5845" applyNumberFormat="1" applyFont="1" applyBorder="1" applyAlignment="1">
      <alignment vertical="center"/>
    </xf>
    <xf numFmtId="0" fontId="57" fillId="0" borderId="81" xfId="0" applyFont="1" applyBorder="1" applyAlignment="1">
      <alignment horizontal="center" vertical="center" wrapText="1"/>
    </xf>
    <xf numFmtId="3" fontId="5" fillId="0" borderId="81" xfId="5845" applyNumberFormat="1" applyFont="1" applyBorder="1" applyAlignment="1">
      <alignment vertical="center"/>
    </xf>
    <xf numFmtId="3" fontId="57" fillId="0" borderId="81" xfId="0" applyNumberFormat="1" applyFont="1" applyBorder="1" applyAlignment="1">
      <alignment horizontal="right" vertical="center" wrapText="1"/>
    </xf>
    <xf numFmtId="3" fontId="7" fillId="0" borderId="81" xfId="5845" applyNumberFormat="1" applyFont="1" applyBorder="1" applyAlignment="1">
      <alignment vertical="center" wrapText="1"/>
    </xf>
    <xf numFmtId="3" fontId="5" fillId="0" borderId="81" xfId="5845" applyNumberFormat="1" applyFont="1" applyBorder="1" applyAlignment="1">
      <alignment vertical="center" wrapText="1"/>
    </xf>
    <xf numFmtId="0" fontId="5" fillId="0" borderId="6" xfId="5845" applyFont="1" applyBorder="1" applyAlignment="1">
      <alignment vertical="center" wrapText="1"/>
    </xf>
    <xf numFmtId="49" fontId="57" fillId="0" borderId="81" xfId="5926" applyNumberFormat="1" applyFont="1" applyBorder="1" applyAlignment="1">
      <alignment horizontal="center" vertical="center" wrapText="1"/>
    </xf>
    <xf numFmtId="49" fontId="57" fillId="0" borderId="81" xfId="0" applyNumberFormat="1" applyFont="1" applyBorder="1" applyAlignment="1">
      <alignment horizontal="center" vertical="center" wrapText="1"/>
    </xf>
    <xf numFmtId="49" fontId="57" fillId="0" borderId="81" xfId="0" applyNumberFormat="1" applyFont="1" applyBorder="1" applyAlignment="1">
      <alignment vertical="center" wrapText="1"/>
    </xf>
    <xf numFmtId="49" fontId="57" fillId="0" borderId="81" xfId="0" applyNumberFormat="1" applyFont="1" applyBorder="1" applyAlignment="1">
      <alignment horizontal="left" vertical="center" wrapText="1"/>
    </xf>
    <xf numFmtId="0" fontId="14" fillId="4" borderId="0" xfId="5845" applyFont="1" applyFill="1" applyAlignment="1">
      <alignment vertical="center" wrapText="1"/>
    </xf>
    <xf numFmtId="0" fontId="11" fillId="4" borderId="29" xfId="0" applyFont="1" applyFill="1" applyBorder="1" applyAlignment="1">
      <alignment horizontal="center" vertical="center" wrapText="1"/>
    </xf>
    <xf numFmtId="3" fontId="11" fillId="4" borderId="29" xfId="0" applyNumberFormat="1" applyFont="1" applyFill="1" applyBorder="1" applyAlignment="1">
      <alignment horizontal="center" vertical="center" wrapText="1"/>
    </xf>
    <xf numFmtId="175" fontId="11" fillId="4" borderId="29" xfId="1" applyNumberFormat="1" applyFont="1" applyFill="1" applyBorder="1" applyAlignment="1">
      <alignment horizontal="right" vertical="center" wrapText="1"/>
    </xf>
    <xf numFmtId="0" fontId="11" fillId="4" borderId="29" xfId="0" applyFont="1" applyFill="1" applyBorder="1" applyAlignment="1">
      <alignment horizontal="left" vertical="center" wrapText="1"/>
    </xf>
    <xf numFmtId="3" fontId="11" fillId="4" borderId="29" xfId="0" applyNumberFormat="1" applyFont="1" applyFill="1" applyBorder="1" applyAlignment="1">
      <alignment horizontal="right" vertical="center" wrapText="1"/>
    </xf>
    <xf numFmtId="3" fontId="14" fillId="4" borderId="29" xfId="0" applyNumberFormat="1" applyFont="1" applyFill="1" applyBorder="1" applyAlignment="1">
      <alignment horizontal="center" vertical="center" wrapText="1"/>
    </xf>
    <xf numFmtId="2" fontId="14" fillId="4" borderId="29" xfId="0" applyNumberFormat="1" applyFont="1" applyFill="1" applyBorder="1" applyAlignment="1">
      <alignment horizontal="left" vertical="center" wrapText="1"/>
    </xf>
    <xf numFmtId="49" fontId="14" fillId="4" borderId="29" xfId="0" applyNumberFormat="1" applyFont="1" applyFill="1" applyBorder="1" applyAlignment="1">
      <alignment horizontal="center" vertical="center" wrapText="1"/>
    </xf>
    <xf numFmtId="3" fontId="14" fillId="4" borderId="29" xfId="0" applyNumberFormat="1" applyFont="1" applyFill="1" applyBorder="1" applyAlignment="1">
      <alignment horizontal="right" vertical="center" wrapText="1"/>
    </xf>
    <xf numFmtId="2" fontId="14" fillId="4" borderId="29" xfId="0" applyNumberFormat="1" applyFont="1" applyFill="1" applyBorder="1" applyAlignment="1">
      <alignment horizontal="left" vertical="center" wrapText="1" shrinkToFit="1" readingOrder="1"/>
    </xf>
    <xf numFmtId="0" fontId="14" fillId="4" borderId="29" xfId="0" applyFont="1" applyFill="1" applyBorder="1" applyAlignment="1">
      <alignment horizontal="center" vertical="center" wrapText="1"/>
    </xf>
    <xf numFmtId="3" fontId="14" fillId="4" borderId="29" xfId="0" quotePrefix="1" applyNumberFormat="1" applyFont="1" applyFill="1" applyBorder="1" applyAlignment="1">
      <alignment horizontal="right" vertical="center" wrapText="1"/>
    </xf>
    <xf numFmtId="0" fontId="14" fillId="4" borderId="29" xfId="0" applyFont="1" applyFill="1" applyBorder="1" applyAlignment="1">
      <alignment horizontal="left" vertical="center" wrapText="1"/>
    </xf>
    <xf numFmtId="173" fontId="14" fillId="4" borderId="29" xfId="0" applyNumberFormat="1" applyFont="1" applyFill="1" applyBorder="1" applyAlignment="1">
      <alignment horizontal="left" vertical="center" wrapText="1"/>
    </xf>
    <xf numFmtId="173" fontId="14" fillId="4" borderId="29" xfId="0" applyNumberFormat="1" applyFont="1" applyFill="1" applyBorder="1" applyAlignment="1">
      <alignment horizontal="center" vertical="center" wrapText="1"/>
    </xf>
    <xf numFmtId="3" fontId="14" fillId="4" borderId="29" xfId="18" applyNumberFormat="1" applyFont="1" applyFill="1" applyBorder="1" applyAlignment="1">
      <alignment horizontal="left" vertical="center" wrapText="1"/>
    </xf>
    <xf numFmtId="3" fontId="14" fillId="4" borderId="29" xfId="18" applyNumberFormat="1" applyFont="1" applyFill="1" applyBorder="1" applyAlignment="1">
      <alignment horizontal="center" vertical="center" wrapText="1"/>
    </xf>
    <xf numFmtId="2" fontId="14" fillId="4" borderId="29" xfId="0" applyNumberFormat="1" applyFont="1" applyFill="1" applyBorder="1" applyAlignment="1">
      <alignment horizontal="center" vertical="center" wrapText="1"/>
    </xf>
    <xf numFmtId="3" fontId="14" fillId="4" borderId="29" xfId="0" quotePrefix="1" applyNumberFormat="1" applyFont="1" applyFill="1" applyBorder="1" applyAlignment="1">
      <alignment horizontal="center" vertical="center" wrapText="1"/>
    </xf>
    <xf numFmtId="49" fontId="14" fillId="4" borderId="29" xfId="0" quotePrefix="1" applyNumberFormat="1" applyFont="1" applyFill="1" applyBorder="1" applyAlignment="1">
      <alignment horizontal="left" vertical="center" wrapText="1"/>
    </xf>
    <xf numFmtId="49" fontId="14" fillId="4" borderId="29" xfId="0" quotePrefix="1" applyNumberFormat="1" applyFont="1" applyFill="1" applyBorder="1" applyAlignment="1">
      <alignment horizontal="center" vertical="center" wrapText="1"/>
    </xf>
    <xf numFmtId="3" fontId="14" fillId="4" borderId="29" xfId="0" applyNumberFormat="1" applyFont="1" applyFill="1" applyBorder="1" applyAlignment="1">
      <alignment vertical="center" wrapText="1"/>
    </xf>
    <xf numFmtId="49" fontId="14" fillId="4" borderId="29" xfId="0" applyNumberFormat="1" applyFont="1" applyFill="1" applyBorder="1" applyAlignment="1">
      <alignment horizontal="left" vertical="center" wrapText="1"/>
    </xf>
    <xf numFmtId="4" fontId="14" fillId="4" borderId="29" xfId="0" applyNumberFormat="1" applyFont="1" applyFill="1" applyBorder="1" applyAlignment="1">
      <alignment horizontal="center" vertical="center" wrapText="1"/>
    </xf>
    <xf numFmtId="3" fontId="14" fillId="4" borderId="29" xfId="2" applyNumberFormat="1" applyFont="1" applyFill="1" applyBorder="1" applyAlignment="1">
      <alignment horizontal="right" vertical="center" wrapText="1"/>
    </xf>
    <xf numFmtId="49" fontId="14" fillId="4" borderId="29" xfId="0" applyNumberFormat="1" applyFont="1" applyFill="1" applyBorder="1" applyAlignment="1">
      <alignment vertical="center" wrapText="1"/>
    </xf>
    <xf numFmtId="3" fontId="14" fillId="4" borderId="29" xfId="4" applyNumberFormat="1" applyFont="1" applyFill="1" applyBorder="1" applyAlignment="1">
      <alignment horizontal="right" vertical="center" wrapText="1"/>
    </xf>
    <xf numFmtId="49" fontId="14" fillId="4" borderId="29" xfId="5910" applyNumberFormat="1" applyFont="1" applyFill="1" applyBorder="1" applyAlignment="1">
      <alignment vertical="center" wrapText="1"/>
    </xf>
    <xf numFmtId="49" fontId="14" fillId="4" borderId="29" xfId="5910" applyNumberFormat="1" applyFont="1" applyFill="1" applyBorder="1" applyAlignment="1">
      <alignment horizontal="center" vertical="center" wrapText="1"/>
    </xf>
    <xf numFmtId="0" fontId="14" fillId="4" borderId="0" xfId="0" applyFont="1" applyFill="1"/>
    <xf numFmtId="0" fontId="14" fillId="4" borderId="0" xfId="0" applyFont="1" applyFill="1" applyAlignment="1">
      <alignment horizontal="center" vertical="center"/>
    </xf>
    <xf numFmtId="0" fontId="11" fillId="4" borderId="2" xfId="0" applyFont="1" applyFill="1" applyBorder="1" applyAlignment="1">
      <alignment horizontal="center" vertical="center"/>
    </xf>
    <xf numFmtId="0" fontId="11" fillId="4" borderId="2" xfId="0" applyFont="1" applyFill="1" applyBorder="1" applyAlignment="1">
      <alignment horizontal="center" vertical="center" wrapText="1"/>
    </xf>
    <xf numFmtId="0" fontId="11" fillId="4" borderId="34" xfId="0" applyFont="1" applyFill="1" applyBorder="1" applyAlignment="1">
      <alignment horizontal="center" vertical="center"/>
    </xf>
    <xf numFmtId="0" fontId="11" fillId="4" borderId="34" xfId="0" applyFont="1" applyFill="1" applyBorder="1" applyAlignment="1">
      <alignment horizontal="center" vertical="center" wrapText="1"/>
    </xf>
    <xf numFmtId="3" fontId="11" fillId="4" borderId="34" xfId="0" applyNumberFormat="1" applyFont="1" applyFill="1" applyBorder="1" applyAlignment="1">
      <alignment horizontal="right" vertical="center" wrapText="1"/>
    </xf>
    <xf numFmtId="0" fontId="11" fillId="4" borderId="81" xfId="0" applyFont="1" applyFill="1" applyBorder="1" applyAlignment="1">
      <alignment horizontal="center" vertical="center"/>
    </xf>
    <xf numFmtId="0" fontId="11" fillId="4" borderId="81" xfId="0" applyFont="1" applyFill="1" applyBorder="1" applyAlignment="1">
      <alignment horizontal="left" vertical="center" wrapText="1"/>
    </xf>
    <xf numFmtId="0" fontId="11" fillId="4" borderId="81" xfId="0" applyFont="1" applyFill="1" applyBorder="1" applyAlignment="1">
      <alignment horizontal="center" vertical="center" wrapText="1"/>
    </xf>
    <xf numFmtId="3" fontId="11" fillId="4" borderId="81" xfId="0" applyNumberFormat="1" applyFont="1" applyFill="1" applyBorder="1" applyAlignment="1">
      <alignment horizontal="right" vertical="center" wrapText="1"/>
    </xf>
    <xf numFmtId="0" fontId="14" fillId="4" borderId="81" xfId="0" applyFont="1" applyFill="1" applyBorder="1" applyAlignment="1">
      <alignment horizontal="center" vertical="center"/>
    </xf>
    <xf numFmtId="2" fontId="14" fillId="4" borderId="81" xfId="0" applyNumberFormat="1" applyFont="1" applyFill="1" applyBorder="1" applyAlignment="1">
      <alignment horizontal="left" vertical="center" wrapText="1"/>
    </xf>
    <xf numFmtId="49" fontId="14" fillId="4" borderId="81" xfId="0" applyNumberFormat="1" applyFont="1" applyFill="1" applyBorder="1" applyAlignment="1">
      <alignment horizontal="center" vertical="center" wrapText="1"/>
    </xf>
    <xf numFmtId="3" fontId="14" fillId="4" borderId="81" xfId="0" applyNumberFormat="1" applyFont="1" applyFill="1" applyBorder="1" applyAlignment="1">
      <alignment horizontal="right" vertical="center" wrapText="1"/>
    </xf>
    <xf numFmtId="0" fontId="14" fillId="4" borderId="81" xfId="0" applyFont="1" applyFill="1" applyBorder="1" applyAlignment="1">
      <alignment horizontal="left" vertical="center" wrapText="1"/>
    </xf>
    <xf numFmtId="0" fontId="14" fillId="4" borderId="81" xfId="0" applyFont="1" applyFill="1" applyBorder="1" applyAlignment="1">
      <alignment horizontal="center" vertical="center" wrapText="1"/>
    </xf>
    <xf numFmtId="3" fontId="14" fillId="4" borderId="81" xfId="0" quotePrefix="1" applyNumberFormat="1" applyFont="1" applyFill="1" applyBorder="1" applyAlignment="1">
      <alignment horizontal="right" vertical="center" wrapText="1"/>
    </xf>
    <xf numFmtId="173" fontId="14" fillId="4" borderId="81" xfId="0" applyNumberFormat="1" applyFont="1" applyFill="1" applyBorder="1" applyAlignment="1">
      <alignment horizontal="left" vertical="center" wrapText="1"/>
    </xf>
    <xf numFmtId="173" fontId="14" fillId="4" borderId="81" xfId="0" applyNumberFormat="1" applyFont="1" applyFill="1" applyBorder="1" applyAlignment="1">
      <alignment horizontal="center" vertical="center" wrapText="1"/>
    </xf>
    <xf numFmtId="2" fontId="14" fillId="4" borderId="81" xfId="0" applyNumberFormat="1" applyFont="1" applyFill="1" applyBorder="1" applyAlignment="1">
      <alignment horizontal="center" vertical="center" wrapText="1"/>
    </xf>
    <xf numFmtId="3" fontId="14" fillId="4" borderId="81" xfId="0" quotePrefix="1" applyNumberFormat="1" applyFont="1" applyFill="1" applyBorder="1" applyAlignment="1">
      <alignment horizontal="center" vertical="center" wrapText="1"/>
    </xf>
    <xf numFmtId="0" fontId="14" fillId="4" borderId="81" xfId="5926" applyFont="1" applyFill="1" applyBorder="1" applyAlignment="1">
      <alignment horizontal="left" vertical="center" wrapText="1"/>
    </xf>
    <xf numFmtId="49" fontId="14" fillId="4" borderId="81" xfId="0" quotePrefix="1" applyNumberFormat="1" applyFont="1" applyFill="1" applyBorder="1" applyAlignment="1">
      <alignment horizontal="left" vertical="center" wrapText="1"/>
    </xf>
    <xf numFmtId="49" fontId="14" fillId="4" borderId="81" xfId="0" quotePrefix="1" applyNumberFormat="1" applyFont="1" applyFill="1" applyBorder="1" applyAlignment="1">
      <alignment horizontal="center" vertical="center" wrapText="1"/>
    </xf>
    <xf numFmtId="49" fontId="14" fillId="4" borderId="81" xfId="0" applyNumberFormat="1" applyFont="1" applyFill="1" applyBorder="1" applyAlignment="1">
      <alignment horizontal="left" vertical="center" wrapText="1"/>
    </xf>
    <xf numFmtId="3" fontId="14" fillId="4" borderId="81" xfId="1777" applyNumberFormat="1" applyFont="1" applyFill="1" applyBorder="1" applyAlignment="1">
      <alignment horizontal="right" vertical="center" wrapText="1"/>
    </xf>
    <xf numFmtId="49" fontId="14" fillId="4" borderId="81" xfId="5926" applyNumberFormat="1" applyFont="1" applyFill="1" applyBorder="1" applyAlignment="1">
      <alignment horizontal="left" vertical="center" wrapText="1"/>
    </xf>
    <xf numFmtId="49" fontId="14" fillId="4" borderId="81" xfId="5926" applyNumberFormat="1" applyFont="1" applyFill="1" applyBorder="1" applyAlignment="1">
      <alignment horizontal="center" vertical="center" wrapText="1"/>
    </xf>
    <xf numFmtId="3" fontId="14" fillId="4" borderId="81" xfId="1803" applyNumberFormat="1" applyFont="1" applyFill="1" applyBorder="1" applyAlignment="1">
      <alignment horizontal="right" vertical="center"/>
    </xf>
    <xf numFmtId="49" fontId="14" fillId="4" borderId="81" xfId="0" applyNumberFormat="1" applyFont="1" applyFill="1" applyBorder="1" applyAlignment="1">
      <alignment vertical="center" wrapText="1"/>
    </xf>
    <xf numFmtId="3" fontId="14" fillId="4" borderId="81" xfId="5845" applyNumberFormat="1" applyFont="1" applyFill="1" applyBorder="1" applyAlignment="1">
      <alignment horizontal="right" vertical="center"/>
    </xf>
    <xf numFmtId="49" fontId="14" fillId="4" borderId="81" xfId="5910" applyNumberFormat="1" applyFont="1" applyFill="1" applyBorder="1" applyAlignment="1">
      <alignment horizontal="justify" vertical="center"/>
    </xf>
    <xf numFmtId="49" fontId="14" fillId="4" borderId="81" xfId="5910" applyNumberFormat="1" applyFont="1" applyFill="1" applyBorder="1" applyAlignment="1">
      <alignment horizontal="center" vertical="center" wrapText="1"/>
    </xf>
    <xf numFmtId="49" fontId="14" fillId="4" borderId="6" xfId="5782" applyNumberFormat="1" applyFont="1" applyFill="1" applyBorder="1" applyAlignment="1">
      <alignment horizontal="left" vertical="center" wrapText="1"/>
    </xf>
    <xf numFmtId="49" fontId="14" fillId="4" borderId="6" xfId="5845" applyNumberFormat="1" applyFont="1" applyFill="1" applyBorder="1" applyAlignment="1">
      <alignment horizontal="center" vertical="center" wrapText="1"/>
    </xf>
    <xf numFmtId="3" fontId="14" fillId="4" borderId="6" xfId="5845" applyNumberFormat="1" applyFont="1" applyFill="1" applyBorder="1" applyAlignment="1">
      <alignment horizontal="right" vertical="center" wrapText="1"/>
    </xf>
    <xf numFmtId="0" fontId="11" fillId="4" borderId="0" xfId="0" applyFont="1" applyFill="1"/>
    <xf numFmtId="3" fontId="11" fillId="4" borderId="34" xfId="0" applyNumberFormat="1" applyFont="1" applyFill="1" applyBorder="1" applyAlignment="1">
      <alignment horizontal="center" vertical="center" wrapText="1"/>
    </xf>
    <xf numFmtId="2" fontId="14" fillId="4" borderId="81" xfId="0" applyNumberFormat="1" applyFont="1" applyFill="1" applyBorder="1" applyAlignment="1">
      <alignment horizontal="left" vertical="center" wrapText="1" shrinkToFit="1" readingOrder="1"/>
    </xf>
    <xf numFmtId="3" fontId="14" fillId="4" borderId="81" xfId="18" applyNumberFormat="1" applyFont="1" applyFill="1" applyBorder="1" applyAlignment="1">
      <alignment horizontal="left" vertical="center" wrapText="1"/>
    </xf>
    <xf numFmtId="3" fontId="14" fillId="4" borderId="81" xfId="18" applyNumberFormat="1" applyFont="1" applyFill="1" applyBorder="1" applyAlignment="1">
      <alignment horizontal="center" vertical="center" wrapText="1"/>
    </xf>
    <xf numFmtId="3" fontId="14" fillId="4" borderId="81" xfId="1803" applyNumberFormat="1" applyFont="1" applyFill="1" applyBorder="1" applyAlignment="1">
      <alignment vertical="center"/>
    </xf>
    <xf numFmtId="3" fontId="14" fillId="4" borderId="81" xfId="5845" applyNumberFormat="1" applyFont="1" applyFill="1" applyBorder="1" applyAlignment="1">
      <alignment vertical="center"/>
    </xf>
    <xf numFmtId="49" fontId="14" fillId="4" borderId="81" xfId="5782" applyNumberFormat="1" applyFont="1" applyFill="1" applyBorder="1" applyAlignment="1">
      <alignment horizontal="left" vertical="center" wrapText="1"/>
    </xf>
    <xf numFmtId="49" fontId="14" fillId="4" borderId="81" xfId="5845" applyNumberFormat="1" applyFont="1" applyFill="1" applyBorder="1" applyAlignment="1">
      <alignment horizontal="center" vertical="center" wrapText="1"/>
    </xf>
    <xf numFmtId="3" fontId="14" fillId="4" borderId="81" xfId="5845" applyNumberFormat="1" applyFont="1" applyFill="1" applyBorder="1" applyAlignment="1">
      <alignment vertical="center" wrapText="1"/>
    </xf>
    <xf numFmtId="3" fontId="14" fillId="4" borderId="6" xfId="5845" applyNumberFormat="1" applyFont="1" applyFill="1" applyBorder="1" applyAlignment="1">
      <alignment vertical="center" wrapText="1"/>
    </xf>
    <xf numFmtId="0" fontId="14" fillId="4" borderId="0" xfId="0" applyFont="1" applyFill="1" applyAlignment="1">
      <alignment vertical="center"/>
    </xf>
    <xf numFmtId="0" fontId="14" fillId="4" borderId="81" xfId="5754" applyFont="1" applyFill="1" applyBorder="1" applyAlignment="1">
      <alignment horizontal="center" vertical="center" wrapText="1"/>
    </xf>
    <xf numFmtId="1" fontId="14" fillId="4" borderId="81" xfId="5754" applyNumberFormat="1" applyFont="1" applyFill="1" applyBorder="1" applyAlignment="1">
      <alignment horizontal="center" vertical="center" wrapText="1"/>
    </xf>
    <xf numFmtId="0" fontId="5" fillId="2" borderId="81" xfId="0" applyFont="1" applyFill="1" applyBorder="1" applyAlignment="1">
      <alignment horizontal="center" vertical="center"/>
    </xf>
    <xf numFmtId="49" fontId="5" fillId="2" borderId="81" xfId="5926" applyNumberFormat="1" applyFont="1" applyFill="1" applyBorder="1" applyAlignment="1">
      <alignment horizontal="left" vertical="center" wrapText="1"/>
    </xf>
    <xf numFmtId="49" fontId="57" fillId="2" borderId="81" xfId="5926" applyNumberFormat="1" applyFont="1" applyFill="1" applyBorder="1" applyAlignment="1">
      <alignment horizontal="center" vertical="center" wrapText="1"/>
    </xf>
    <xf numFmtId="49" fontId="5" fillId="2" borderId="81" xfId="0" applyNumberFormat="1" applyFont="1" applyFill="1" applyBorder="1" applyAlignment="1">
      <alignment horizontal="center" vertical="center" wrapText="1"/>
    </xf>
    <xf numFmtId="3" fontId="5" fillId="2" borderId="81" xfId="1803" applyNumberFormat="1" applyFont="1" applyFill="1" applyBorder="1" applyAlignment="1">
      <alignment vertical="center"/>
    </xf>
    <xf numFmtId="3" fontId="5" fillId="2" borderId="81" xfId="1803" applyNumberFormat="1" applyFont="1" applyFill="1" applyBorder="1" applyAlignment="1">
      <alignment horizontal="right" vertical="center"/>
    </xf>
    <xf numFmtId="0" fontId="5" fillId="2" borderId="0" xfId="5845" applyFont="1" applyFill="1" applyAlignment="1">
      <alignment vertical="center"/>
    </xf>
    <xf numFmtId="0" fontId="14" fillId="2" borderId="81" xfId="0" applyFont="1" applyFill="1" applyBorder="1" applyAlignment="1">
      <alignment horizontal="center" vertical="center"/>
    </xf>
    <xf numFmtId="49" fontId="14" fillId="2" borderId="81" xfId="5926" applyNumberFormat="1" applyFont="1" applyFill="1" applyBorder="1" applyAlignment="1">
      <alignment horizontal="left" vertical="center" wrapText="1"/>
    </xf>
    <xf numFmtId="49" fontId="14" fillId="2" borderId="81" xfId="5926" applyNumberFormat="1" applyFont="1" applyFill="1" applyBorder="1" applyAlignment="1">
      <alignment horizontal="center" vertical="center" wrapText="1"/>
    </xf>
    <xf numFmtId="3" fontId="14" fillId="2" borderId="81" xfId="1803" applyNumberFormat="1" applyFont="1" applyFill="1" applyBorder="1" applyAlignment="1">
      <alignment horizontal="right" vertical="center"/>
    </xf>
    <xf numFmtId="0" fontId="14" fillId="2" borderId="0" xfId="0" applyFont="1" applyFill="1"/>
    <xf numFmtId="3" fontId="378" fillId="4" borderId="81" xfId="1803" applyNumberFormat="1" applyFont="1" applyFill="1" applyBorder="1" applyAlignment="1">
      <alignment horizontal="right" vertical="center"/>
    </xf>
    <xf numFmtId="3" fontId="378" fillId="4" borderId="29" xfId="0" applyNumberFormat="1" applyFont="1" applyFill="1" applyBorder="1" applyAlignment="1">
      <alignment horizontal="center" vertical="center" wrapText="1"/>
    </xf>
    <xf numFmtId="49" fontId="378" fillId="4" borderId="29" xfId="5926" applyNumberFormat="1" applyFont="1" applyFill="1" applyBorder="1" applyAlignment="1">
      <alignment vertical="center" wrapText="1"/>
    </xf>
    <xf numFmtId="49" fontId="378" fillId="4" borderId="29" xfId="5926" applyNumberFormat="1" applyFont="1" applyFill="1" applyBorder="1" applyAlignment="1">
      <alignment horizontal="center" vertical="center" wrapText="1"/>
    </xf>
    <xf numFmtId="3" fontId="5" fillId="0" borderId="0" xfId="5845" applyNumberFormat="1" applyFont="1" applyAlignment="1">
      <alignment vertical="center"/>
    </xf>
    <xf numFmtId="3" fontId="5" fillId="0" borderId="0" xfId="5845" applyNumberFormat="1" applyFont="1"/>
    <xf numFmtId="175" fontId="5" fillId="0" borderId="0" xfId="5845" applyNumberFormat="1" applyFont="1"/>
    <xf numFmtId="3" fontId="378" fillId="2" borderId="81" xfId="1803" applyNumberFormat="1" applyFont="1" applyFill="1" applyBorder="1" applyAlignment="1">
      <alignment horizontal="right" vertical="center"/>
    </xf>
    <xf numFmtId="0" fontId="378" fillId="2" borderId="81" xfId="0" applyFont="1" applyFill="1" applyBorder="1" applyAlignment="1">
      <alignment horizontal="center" vertical="center"/>
    </xf>
    <xf numFmtId="49" fontId="378" fillId="2" borderId="81" xfId="5926" applyNumberFormat="1" applyFont="1" applyFill="1" applyBorder="1" applyAlignment="1">
      <alignment horizontal="left" vertical="center" wrapText="1"/>
    </xf>
    <xf numFmtId="49" fontId="378" fillId="2" borderId="81" xfId="5926" applyNumberFormat="1" applyFont="1" applyFill="1" applyBorder="1" applyAlignment="1">
      <alignment horizontal="center" vertical="center" wrapText="1"/>
    </xf>
    <xf numFmtId="0" fontId="378" fillId="2" borderId="0" xfId="0" applyFont="1" applyFill="1"/>
    <xf numFmtId="0" fontId="14" fillId="4" borderId="0" xfId="0" applyFont="1" applyFill="1" applyAlignment="1">
      <alignment vertical="center" wrapText="1"/>
    </xf>
    <xf numFmtId="0" fontId="11" fillId="4" borderId="29" xfId="0" applyFont="1" applyFill="1" applyBorder="1" applyAlignment="1">
      <alignment vertical="center" wrapText="1"/>
    </xf>
    <xf numFmtId="3" fontId="11" fillId="4" borderId="29" xfId="0" applyNumberFormat="1" applyFont="1" applyFill="1" applyBorder="1" applyAlignment="1">
      <alignment vertical="center" wrapText="1"/>
    </xf>
    <xf numFmtId="0" fontId="11" fillId="4" borderId="0" xfId="0" applyFont="1" applyFill="1" applyAlignment="1">
      <alignment vertical="center" wrapText="1"/>
    </xf>
    <xf numFmtId="0" fontId="14" fillId="4" borderId="0" xfId="5865" applyFill="1" applyAlignment="1">
      <alignment vertical="center" wrapText="1"/>
    </xf>
    <xf numFmtId="3" fontId="378" fillId="4" borderId="29" xfId="1803" applyNumberFormat="1" applyFont="1" applyFill="1" applyBorder="1" applyAlignment="1">
      <alignment vertical="center" wrapText="1"/>
    </xf>
    <xf numFmtId="0" fontId="378" fillId="4" borderId="0" xfId="5865" applyFont="1" applyFill="1" applyAlignment="1">
      <alignment vertical="center" wrapText="1"/>
    </xf>
    <xf numFmtId="3" fontId="14" fillId="4" borderId="29" xfId="5845" applyNumberFormat="1" applyFont="1" applyFill="1" applyBorder="1" applyAlignment="1">
      <alignment vertical="center" wrapText="1"/>
    </xf>
    <xf numFmtId="3" fontId="6" fillId="0" borderId="81" xfId="0" applyNumberFormat="1" applyFont="1" applyBorder="1" applyAlignment="1">
      <alignment vertical="center"/>
    </xf>
    <xf numFmtId="3" fontId="6" fillId="0" borderId="81" xfId="1" applyNumberFormat="1" applyFont="1" applyBorder="1" applyAlignment="1">
      <alignment vertical="center"/>
    </xf>
    <xf numFmtId="3" fontId="2" fillId="0" borderId="81" xfId="1" applyNumberFormat="1" applyFont="1" applyBorder="1" applyAlignment="1">
      <alignment vertical="center"/>
    </xf>
    <xf numFmtId="3" fontId="6" fillId="0" borderId="8" xfId="1" applyNumberFormat="1" applyFont="1" applyBorder="1" applyAlignment="1">
      <alignment vertical="center"/>
    </xf>
    <xf numFmtId="3" fontId="2" fillId="0" borderId="8" xfId="1" applyNumberFormat="1" applyFont="1" applyBorder="1" applyAlignment="1">
      <alignment vertical="center"/>
    </xf>
    <xf numFmtId="49" fontId="6" fillId="0" borderId="81" xfId="0" applyNumberFormat="1" applyFont="1" applyBorder="1" applyAlignment="1">
      <alignment horizontal="center" vertical="center"/>
    </xf>
    <xf numFmtId="49" fontId="6" fillId="0" borderId="81" xfId="0" applyNumberFormat="1" applyFont="1" applyBorder="1" applyAlignment="1">
      <alignment vertical="center"/>
    </xf>
    <xf numFmtId="49" fontId="2" fillId="0" borderId="81" xfId="0" applyNumberFormat="1" applyFont="1" applyBorder="1" applyAlignment="1">
      <alignment horizontal="center" vertical="center"/>
    </xf>
    <xf numFmtId="49" fontId="6" fillId="0" borderId="8"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2" fillId="0" borderId="6" xfId="0" applyNumberFormat="1" applyFont="1" applyBorder="1" applyAlignment="1">
      <alignment horizontal="center"/>
    </xf>
    <xf numFmtId="49" fontId="6" fillId="0" borderId="81" xfId="0" applyNumberFormat="1" applyFont="1" applyBorder="1" applyAlignment="1">
      <alignment horizontal="left" vertical="center" wrapText="1"/>
    </xf>
    <xf numFmtId="49" fontId="2" fillId="0" borderId="6" xfId="0" applyNumberFormat="1" applyFont="1" applyBorder="1"/>
    <xf numFmtId="3" fontId="7" fillId="0" borderId="2" xfId="5782" applyNumberFormat="1" applyFont="1" applyBorder="1" applyAlignment="1">
      <alignment vertical="center" wrapText="1"/>
    </xf>
    <xf numFmtId="3" fontId="7" fillId="0" borderId="81" xfId="1777" applyNumberFormat="1" applyFont="1" applyFill="1" applyBorder="1" applyAlignment="1">
      <alignment vertical="center" wrapText="1"/>
    </xf>
    <xf numFmtId="3" fontId="5" fillId="0" borderId="81" xfId="1777" applyNumberFormat="1" applyFont="1" applyFill="1" applyBorder="1" applyAlignment="1">
      <alignment vertical="center" wrapText="1"/>
    </xf>
    <xf numFmtId="3" fontId="4" fillId="0" borderId="81" xfId="1777" applyNumberFormat="1" applyFont="1" applyFill="1" applyBorder="1" applyAlignment="1">
      <alignment horizontal="right" vertical="center" wrapText="1"/>
    </xf>
    <xf numFmtId="3" fontId="7" fillId="0" borderId="29" xfId="1777" applyNumberFormat="1" applyFont="1" applyFill="1" applyBorder="1" applyAlignment="1">
      <alignment horizontal="center" vertical="center" wrapText="1"/>
    </xf>
    <xf numFmtId="49" fontId="5" fillId="0" borderId="81" xfId="5782" applyNumberFormat="1" applyFont="1" applyBorder="1" applyAlignment="1">
      <alignment horizontal="center" vertical="center" wrapText="1"/>
    </xf>
    <xf numFmtId="49" fontId="28" fillId="0" borderId="81" xfId="18" applyNumberFormat="1" applyFont="1" applyBorder="1" applyAlignment="1">
      <alignment horizontal="center" vertical="center" wrapText="1"/>
    </xf>
    <xf numFmtId="49" fontId="28" fillId="0" borderId="81" xfId="0" applyNumberFormat="1" applyFont="1" applyBorder="1" applyAlignment="1">
      <alignment horizontal="center" vertical="center" wrapText="1"/>
    </xf>
    <xf numFmtId="49" fontId="5" fillId="0" borderId="81" xfId="18" applyNumberFormat="1" applyFont="1" applyBorder="1" applyAlignment="1">
      <alignment horizontal="center" vertical="center" wrapText="1"/>
    </xf>
    <xf numFmtId="49" fontId="5" fillId="0" borderId="81" xfId="1777" applyNumberFormat="1" applyFont="1" applyFill="1" applyBorder="1" applyAlignment="1">
      <alignment horizontal="center" vertical="center" wrapText="1"/>
    </xf>
    <xf numFmtId="3" fontId="5" fillId="0" borderId="81" xfId="1777" applyNumberFormat="1" applyFont="1" applyFill="1" applyBorder="1" applyAlignment="1">
      <alignment vertical="center"/>
    </xf>
    <xf numFmtId="0" fontId="5" fillId="0" borderId="81" xfId="5845" applyFont="1" applyBorder="1" applyAlignment="1">
      <alignment wrapText="1"/>
    </xf>
    <xf numFmtId="49" fontId="5" fillId="0" borderId="81" xfId="1864" applyNumberFormat="1" applyFont="1" applyFill="1" applyBorder="1" applyAlignment="1">
      <alignment horizontal="center" vertical="center" wrapText="1"/>
    </xf>
    <xf numFmtId="3" fontId="5" fillId="0" borderId="81" xfId="1777" applyNumberFormat="1" applyFont="1" applyFill="1" applyBorder="1" applyAlignment="1"/>
    <xf numFmtId="49" fontId="7" fillId="0" borderId="81" xfId="5845" applyNumberFormat="1" applyFont="1" applyBorder="1" applyAlignment="1">
      <alignment horizontal="center" vertical="center" wrapText="1"/>
    </xf>
    <xf numFmtId="0" fontId="7" fillId="0" borderId="81" xfId="5845" applyFont="1" applyBorder="1" applyAlignment="1">
      <alignment wrapText="1"/>
    </xf>
    <xf numFmtId="3" fontId="5" fillId="0" borderId="81" xfId="5845" applyNumberFormat="1" applyFont="1" applyBorder="1" applyAlignment="1">
      <alignment wrapText="1"/>
    </xf>
    <xf numFmtId="3" fontId="5" fillId="0" borderId="81" xfId="5845" applyNumberFormat="1" applyFont="1" applyBorder="1"/>
    <xf numFmtId="0" fontId="5" fillId="0" borderId="81" xfId="5845" applyFont="1" applyBorder="1"/>
    <xf numFmtId="49" fontId="7" fillId="0" borderId="81" xfId="5845" applyNumberFormat="1" applyFont="1" applyBorder="1" applyAlignment="1">
      <alignment horizontal="center" vertical="center"/>
    </xf>
    <xf numFmtId="0" fontId="5" fillId="0" borderId="81" xfId="5845" applyFont="1" applyBorder="1" applyAlignment="1">
      <alignment horizontal="center" vertical="center"/>
    </xf>
    <xf numFmtId="3" fontId="5" fillId="0" borderId="81" xfId="1900" applyNumberFormat="1" applyFont="1" applyFill="1" applyBorder="1" applyAlignment="1">
      <alignment vertical="center" wrapText="1"/>
    </xf>
    <xf numFmtId="3" fontId="5" fillId="0" borderId="81" xfId="0" applyNumberFormat="1" applyFont="1" applyBorder="1" applyAlignment="1">
      <alignment vertical="center" wrapText="1"/>
    </xf>
    <xf numFmtId="49" fontId="5" fillId="0" borderId="81" xfId="3" applyNumberFormat="1" applyFont="1" applyBorder="1" applyAlignment="1">
      <alignment horizontal="center" vertical="center" wrapText="1"/>
    </xf>
    <xf numFmtId="3" fontId="5" fillId="0" borderId="81" xfId="3" applyNumberFormat="1" applyFont="1" applyBorder="1" applyAlignment="1">
      <alignment vertical="center"/>
    </xf>
    <xf numFmtId="3" fontId="5" fillId="0" borderId="81" xfId="0" applyNumberFormat="1" applyFont="1" applyBorder="1" applyAlignment="1">
      <alignment vertical="center"/>
    </xf>
    <xf numFmtId="3" fontId="5" fillId="0" borderId="81" xfId="1900" applyNumberFormat="1" applyFont="1" applyFill="1" applyBorder="1" applyAlignment="1">
      <alignment vertical="center"/>
    </xf>
    <xf numFmtId="0" fontId="7" fillId="0" borderId="81" xfId="5845" applyFont="1" applyBorder="1" applyAlignment="1">
      <alignment vertical="center"/>
    </xf>
    <xf numFmtId="49" fontId="5" fillId="0" borderId="81" xfId="0" applyNumberFormat="1" applyFont="1" applyBorder="1" applyAlignment="1">
      <alignment horizontal="left" vertical="center"/>
    </xf>
    <xf numFmtId="3" fontId="5" fillId="0" borderId="81" xfId="1777" quotePrefix="1" applyNumberFormat="1" applyFont="1" applyFill="1" applyBorder="1" applyAlignment="1">
      <alignment vertical="center" wrapText="1"/>
    </xf>
    <xf numFmtId="49" fontId="5" fillId="0" borderId="81" xfId="3" applyNumberFormat="1" applyFont="1" applyBorder="1" applyAlignment="1">
      <alignment horizontal="left" vertical="center" wrapText="1"/>
    </xf>
    <xf numFmtId="3" fontId="5" fillId="0" borderId="81" xfId="18" applyNumberFormat="1" applyFont="1" applyBorder="1" applyAlignment="1">
      <alignment horizontal="center" vertical="center" wrapText="1"/>
    </xf>
    <xf numFmtId="49" fontId="5" fillId="0" borderId="81" xfId="18" applyNumberFormat="1" applyFont="1" applyBorder="1" applyAlignment="1">
      <alignment horizontal="left" vertical="center" wrapText="1"/>
    </xf>
    <xf numFmtId="3" fontId="5" fillId="0" borderId="81" xfId="18" applyNumberFormat="1" applyFont="1" applyBorder="1" applyAlignment="1">
      <alignment vertical="center" wrapText="1"/>
    </xf>
    <xf numFmtId="49" fontId="5" fillId="0" borderId="81" xfId="5785" applyNumberFormat="1" applyFont="1" applyBorder="1" applyAlignment="1">
      <alignment horizontal="left" vertical="center" wrapText="1"/>
    </xf>
    <xf numFmtId="49" fontId="5" fillId="0" borderId="81" xfId="10998" applyNumberFormat="1" applyFont="1" applyBorder="1" applyAlignment="1">
      <alignment horizontal="left" vertical="center" wrapText="1"/>
    </xf>
    <xf numFmtId="49" fontId="5" fillId="0" borderId="81" xfId="5896" applyNumberFormat="1" applyFont="1" applyBorder="1" applyAlignment="1">
      <alignment horizontal="left" vertical="center" wrapText="1"/>
    </xf>
    <xf numFmtId="49" fontId="5" fillId="0" borderId="81" xfId="1777" applyNumberFormat="1" applyFont="1" applyFill="1" applyBorder="1" applyAlignment="1">
      <alignment horizontal="left" vertical="center"/>
    </xf>
    <xf numFmtId="49" fontId="5" fillId="0" borderId="81" xfId="10998" applyNumberFormat="1" applyFont="1" applyBorder="1" applyAlignment="1">
      <alignment horizontal="center" vertical="center" wrapText="1"/>
    </xf>
    <xf numFmtId="3" fontId="4" fillId="0" borderId="81" xfId="1777" applyNumberFormat="1" applyFont="1" applyFill="1" applyBorder="1" applyAlignment="1">
      <alignment vertical="center" wrapText="1"/>
    </xf>
    <xf numFmtId="49" fontId="5" fillId="0" borderId="81" xfId="18" applyNumberFormat="1" applyFont="1" applyBorder="1" applyAlignment="1">
      <alignment horizontal="center" vertical="center"/>
    </xf>
    <xf numFmtId="3" fontId="5" fillId="0" borderId="81" xfId="10998" applyNumberFormat="1" applyFont="1" applyBorder="1" applyAlignment="1">
      <alignment vertical="center" wrapText="1"/>
    </xf>
    <xf numFmtId="0" fontId="5" fillId="0" borderId="81" xfId="10994" quotePrefix="1" applyNumberFormat="1" applyFont="1" applyFill="1" applyBorder="1" applyAlignment="1">
      <alignment horizontal="center" vertical="center" wrapText="1"/>
    </xf>
    <xf numFmtId="49" fontId="5" fillId="0" borderId="81" xfId="10994" applyNumberFormat="1" applyFont="1" applyFill="1" applyBorder="1" applyAlignment="1">
      <alignment horizontal="center" vertical="center" wrapText="1"/>
    </xf>
    <xf numFmtId="0" fontId="7" fillId="0" borderId="81" xfId="0" applyFont="1" applyBorder="1" applyAlignment="1">
      <alignment horizontal="center" vertical="center"/>
    </xf>
    <xf numFmtId="49" fontId="7" fillId="0" borderId="81" xfId="0" applyNumberFormat="1" applyFont="1" applyBorder="1" applyAlignment="1">
      <alignment horizontal="left" vertical="center" wrapText="1"/>
    </xf>
    <xf numFmtId="0" fontId="5" fillId="0" borderId="81" xfId="10994" applyNumberFormat="1" applyFont="1" applyFill="1" applyBorder="1" applyAlignment="1">
      <alignment horizontal="center" vertical="center" wrapText="1"/>
    </xf>
    <xf numFmtId="49" fontId="5" fillId="0" borderId="81" xfId="10994" applyNumberFormat="1" applyFont="1" applyFill="1" applyBorder="1" applyAlignment="1">
      <alignment horizontal="left" vertical="center" wrapText="1"/>
    </xf>
    <xf numFmtId="0" fontId="5" fillId="0" borderId="6" xfId="10994" applyNumberFormat="1" applyFont="1" applyFill="1" applyBorder="1" applyAlignment="1">
      <alignment horizontal="center" vertical="center" wrapText="1"/>
    </xf>
    <xf numFmtId="49" fontId="5" fillId="0" borderId="6" xfId="10994" applyNumberFormat="1" applyFont="1" applyFill="1" applyBorder="1" applyAlignment="1">
      <alignment horizontal="left" vertical="center" wrapText="1"/>
    </xf>
    <xf numFmtId="3" fontId="5" fillId="0" borderId="6" xfId="1777" applyNumberFormat="1" applyFont="1" applyFill="1" applyBorder="1" applyAlignment="1">
      <alignment vertical="center" wrapText="1"/>
    </xf>
    <xf numFmtId="0" fontId="5" fillId="0" borderId="6" xfId="5845" applyFont="1" applyBorder="1"/>
    <xf numFmtId="3" fontId="5" fillId="0" borderId="81" xfId="0" applyNumberFormat="1" applyFont="1" applyBorder="1" applyAlignment="1">
      <alignment horizontal="center" vertical="center" wrapText="1"/>
    </xf>
    <xf numFmtId="3" fontId="7" fillId="0" borderId="2" xfId="0" applyNumberFormat="1" applyFont="1" applyBorder="1" applyAlignment="1">
      <alignment horizontal="right" vertical="center" wrapText="1"/>
    </xf>
    <xf numFmtId="3" fontId="7" fillId="0" borderId="81" xfId="0" applyNumberFormat="1" applyFont="1" applyBorder="1" applyAlignment="1">
      <alignment horizontal="right" vertical="center" wrapText="1"/>
    </xf>
    <xf numFmtId="49" fontId="5" fillId="0" borderId="6" xfId="5782" applyNumberFormat="1" applyFont="1" applyBorder="1" applyAlignment="1">
      <alignment horizontal="center" vertical="center" wrapText="1"/>
    </xf>
    <xf numFmtId="175" fontId="3" fillId="0" borderId="0" xfId="20" applyNumberFormat="1" applyFont="1" applyFill="1" applyAlignment="1">
      <alignment horizontal="center" vertical="center"/>
    </xf>
    <xf numFmtId="175" fontId="11" fillId="0" borderId="29" xfId="20" applyNumberFormat="1" applyFont="1" applyFill="1" applyBorder="1" applyAlignment="1">
      <alignment horizontal="center" vertical="center" wrapText="1"/>
    </xf>
    <xf numFmtId="49" fontId="14" fillId="0" borderId="81" xfId="0" applyNumberFormat="1" applyFont="1" applyBorder="1" applyAlignment="1">
      <alignment horizontal="left" vertical="center"/>
    </xf>
    <xf numFmtId="2" fontId="11" fillId="0" borderId="2" xfId="0" applyNumberFormat="1" applyFont="1" applyBorder="1" applyAlignment="1">
      <alignment horizontal="center" vertical="center"/>
    </xf>
    <xf numFmtId="3" fontId="11" fillId="0" borderId="2" xfId="0" applyNumberFormat="1" applyFont="1" applyBorder="1" applyAlignment="1">
      <alignment horizontal="right" vertical="center"/>
    </xf>
    <xf numFmtId="1" fontId="14" fillId="0" borderId="81" xfId="0" applyNumberFormat="1" applyFont="1" applyBorder="1" applyAlignment="1">
      <alignment horizontal="center" vertical="center"/>
    </xf>
    <xf numFmtId="3" fontId="14" fillId="0" borderId="81" xfId="0" applyNumberFormat="1" applyFont="1" applyBorder="1" applyAlignment="1">
      <alignment horizontal="right" vertical="center" wrapText="1"/>
    </xf>
    <xf numFmtId="2" fontId="14" fillId="0" borderId="81" xfId="0" applyNumberFormat="1" applyFont="1" applyBorder="1" applyAlignment="1">
      <alignment horizontal="center" vertical="center"/>
    </xf>
    <xf numFmtId="1" fontId="14" fillId="0" borderId="6" xfId="0" applyNumberFormat="1" applyFont="1" applyBorder="1" applyAlignment="1">
      <alignment horizontal="center" vertical="center"/>
    </xf>
    <xf numFmtId="49" fontId="14" fillId="0" borderId="6" xfId="0" applyNumberFormat="1" applyFont="1" applyBorder="1" applyAlignment="1">
      <alignment horizontal="left" vertical="center"/>
    </xf>
    <xf numFmtId="3" fontId="14" fillId="0" borderId="6" xfId="0" applyNumberFormat="1" applyFont="1" applyBorder="1" applyAlignment="1">
      <alignment horizontal="right" vertical="center" wrapText="1"/>
    </xf>
    <xf numFmtId="2" fontId="14" fillId="0" borderId="6" xfId="0" applyNumberFormat="1" applyFont="1" applyBorder="1" applyAlignment="1">
      <alignment horizontal="center" vertical="center"/>
    </xf>
    <xf numFmtId="3" fontId="66" fillId="0" borderId="81" xfId="8" applyNumberFormat="1" applyFont="1" applyBorder="1" applyAlignment="1">
      <alignment vertical="center" wrapText="1"/>
    </xf>
    <xf numFmtId="3" fontId="66" fillId="0" borderId="6" xfId="8" applyNumberFormat="1" applyFont="1" applyBorder="1" applyAlignment="1">
      <alignment vertical="center" wrapText="1"/>
    </xf>
    <xf numFmtId="0" fontId="66" fillId="0" borderId="0" xfId="0" applyFont="1" applyAlignment="1">
      <alignment horizontal="center" vertical="center"/>
    </xf>
    <xf numFmtId="0" fontId="66" fillId="0" borderId="0" xfId="0" applyFont="1" applyAlignment="1">
      <alignment horizontal="left" vertical="center"/>
    </xf>
    <xf numFmtId="2" fontId="5" fillId="0" borderId="2" xfId="0" applyNumberFormat="1" applyFont="1" applyBorder="1" applyAlignment="1">
      <alignment horizontal="center" vertical="center"/>
    </xf>
    <xf numFmtId="2" fontId="7" fillId="0" borderId="2" xfId="0" applyNumberFormat="1" applyFont="1" applyBorder="1" applyAlignment="1">
      <alignment horizontal="center" vertical="center"/>
    </xf>
    <xf numFmtId="3" fontId="7" fillId="0" borderId="2" xfId="0" applyNumberFormat="1" applyFont="1" applyBorder="1" applyAlignment="1">
      <alignment horizontal="right" vertical="center"/>
    </xf>
    <xf numFmtId="2" fontId="5" fillId="0" borderId="2" xfId="0" applyNumberFormat="1" applyFont="1" applyBorder="1"/>
    <xf numFmtId="1" fontId="7" fillId="0" borderId="81" xfId="0" applyNumberFormat="1" applyFont="1" applyBorder="1" applyAlignment="1">
      <alignment horizontal="center" vertical="center"/>
    </xf>
    <xf numFmtId="49" fontId="7" fillId="0" borderId="81" xfId="0" applyNumberFormat="1" applyFont="1" applyBorder="1" applyAlignment="1">
      <alignment vertical="center" wrapText="1"/>
    </xf>
    <xf numFmtId="49" fontId="7" fillId="0" borderId="81" xfId="0" applyNumberFormat="1" applyFont="1" applyBorder="1" applyAlignment="1">
      <alignment horizontal="center" vertical="center"/>
    </xf>
    <xf numFmtId="2" fontId="7" fillId="0" borderId="81" xfId="0" applyNumberFormat="1" applyFont="1" applyBorder="1" applyAlignment="1">
      <alignment horizontal="center" vertical="center"/>
    </xf>
    <xf numFmtId="3" fontId="7" fillId="0" borderId="81" xfId="0" applyNumberFormat="1" applyFont="1" applyBorder="1" applyAlignment="1">
      <alignment horizontal="right" vertical="center"/>
    </xf>
    <xf numFmtId="49" fontId="7" fillId="0" borderId="81" xfId="11001" quotePrefix="1" applyNumberFormat="1" applyFont="1" applyFill="1" applyBorder="1" applyAlignment="1">
      <alignment horizontal="center" vertical="center" wrapText="1"/>
    </xf>
    <xf numFmtId="2" fontId="7" fillId="0" borderId="81" xfId="11001" quotePrefix="1" applyNumberFormat="1" applyFont="1" applyFill="1" applyBorder="1" applyAlignment="1">
      <alignment horizontal="center" vertical="center" wrapText="1"/>
    </xf>
    <xf numFmtId="3" fontId="5" fillId="0" borderId="81" xfId="0" applyNumberFormat="1" applyFont="1" applyBorder="1" applyAlignment="1">
      <alignment horizontal="right" vertical="center"/>
    </xf>
    <xf numFmtId="49" fontId="5" fillId="0" borderId="81" xfId="11001" quotePrefix="1" applyNumberFormat="1" applyFont="1" applyFill="1" applyBorder="1" applyAlignment="1">
      <alignment horizontal="center" vertical="center" wrapText="1"/>
    </xf>
    <xf numFmtId="2" fontId="5" fillId="0" borderId="81" xfId="11001" quotePrefix="1" applyNumberFormat="1" applyFont="1" applyFill="1" applyBorder="1" applyAlignment="1">
      <alignment horizontal="center" vertical="center" wrapText="1"/>
    </xf>
    <xf numFmtId="1" fontId="5" fillId="0" borderId="6" xfId="0" applyNumberFormat="1" applyFont="1" applyBorder="1" applyAlignment="1">
      <alignment horizontal="center" vertical="center" wrapText="1"/>
    </xf>
    <xf numFmtId="49" fontId="5" fillId="0" borderId="6" xfId="0" applyNumberFormat="1" applyFont="1" applyBorder="1" applyAlignment="1">
      <alignment vertical="center" wrapText="1"/>
    </xf>
    <xf numFmtId="3" fontId="5" fillId="0" borderId="6" xfId="0" applyNumberFormat="1" applyFont="1" applyBorder="1" applyAlignment="1">
      <alignment horizontal="right" vertical="center"/>
    </xf>
    <xf numFmtId="49" fontId="5" fillId="0" borderId="6" xfId="11001" quotePrefix="1" applyNumberFormat="1" applyFont="1" applyFill="1" applyBorder="1" applyAlignment="1">
      <alignment horizontal="center" vertical="center" wrapText="1"/>
    </xf>
    <xf numFmtId="367" fontId="66" fillId="0" borderId="0" xfId="0" applyNumberFormat="1" applyFont="1"/>
    <xf numFmtId="0" fontId="14" fillId="0" borderId="0" xfId="0" applyFont="1" applyAlignment="1">
      <alignment horizontal="center" vertical="center"/>
    </xf>
    <xf numFmtId="0" fontId="14" fillId="0" borderId="0" xfId="0" applyFont="1" applyAlignment="1">
      <alignment horizontal="left" vertical="center"/>
    </xf>
    <xf numFmtId="1" fontId="5" fillId="0" borderId="2" xfId="0" applyNumberFormat="1" applyFont="1" applyBorder="1" applyAlignment="1">
      <alignment horizontal="center" vertical="center"/>
    </xf>
    <xf numFmtId="49" fontId="7" fillId="0" borderId="2" xfId="0" applyNumberFormat="1" applyFont="1" applyBorder="1" applyAlignment="1">
      <alignment horizontal="center" vertical="center"/>
    </xf>
    <xf numFmtId="49" fontId="5" fillId="0" borderId="2" xfId="0" applyNumberFormat="1" applyFont="1" applyBorder="1" applyAlignment="1">
      <alignment horizontal="center" vertical="center"/>
    </xf>
    <xf numFmtId="0" fontId="14" fillId="0" borderId="2" xfId="0" applyFont="1" applyBorder="1"/>
    <xf numFmtId="49" fontId="7" fillId="0" borderId="81" xfId="0" applyNumberFormat="1" applyFont="1" applyBorder="1" applyAlignment="1">
      <alignment horizontal="left" vertical="center"/>
    </xf>
    <xf numFmtId="175" fontId="7" fillId="0" borderId="81" xfId="11001" quotePrefix="1" applyNumberFormat="1" applyFont="1" applyFill="1" applyBorder="1" applyAlignment="1">
      <alignment horizontal="center" vertical="center" wrapText="1"/>
    </xf>
    <xf numFmtId="2" fontId="5" fillId="0" borderId="6" xfId="11001" quotePrefix="1" applyNumberFormat="1" applyFont="1" applyFill="1" applyBorder="1" applyAlignment="1">
      <alignment horizontal="center" vertical="center" wrapText="1"/>
    </xf>
    <xf numFmtId="0" fontId="14" fillId="0" borderId="0" xfId="0" applyFont="1" applyAlignment="1">
      <alignment horizontal="center"/>
    </xf>
    <xf numFmtId="367" fontId="14" fillId="0" borderId="0" xfId="0" applyNumberFormat="1" applyFont="1"/>
    <xf numFmtId="3" fontId="14" fillId="0" borderId="0" xfId="0" applyNumberFormat="1" applyFont="1"/>
    <xf numFmtId="0" fontId="64" fillId="0" borderId="0" xfId="0" applyFont="1" applyAlignment="1">
      <alignment vertical="center"/>
    </xf>
    <xf numFmtId="0" fontId="11" fillId="0" borderId="29" xfId="0" applyFont="1" applyBorder="1" applyAlignment="1">
      <alignment horizontal="center" vertical="center" wrapText="1"/>
    </xf>
    <xf numFmtId="49" fontId="11" fillId="0" borderId="29" xfId="0" applyNumberFormat="1" applyFont="1" applyBorder="1" applyAlignment="1">
      <alignment horizontal="center" vertical="center" wrapText="1"/>
    </xf>
    <xf numFmtId="49" fontId="381" fillId="0" borderId="29" xfId="0" applyNumberFormat="1" applyFont="1" applyBorder="1" applyAlignment="1">
      <alignment horizontal="center" vertical="center" wrapText="1"/>
    </xf>
    <xf numFmtId="49" fontId="11" fillId="0" borderId="29" xfId="0" applyNumberFormat="1" applyFont="1" applyBorder="1" applyAlignment="1">
      <alignment horizontal="left" vertical="center" wrapText="1"/>
    </xf>
    <xf numFmtId="49" fontId="11" fillId="0" borderId="29" xfId="0" quotePrefix="1" applyNumberFormat="1" applyFont="1" applyBorder="1" applyAlignment="1">
      <alignment horizontal="center" vertical="center" wrapText="1"/>
    </xf>
    <xf numFmtId="49" fontId="11" fillId="0" borderId="29" xfId="0" quotePrefix="1" applyNumberFormat="1" applyFont="1" applyBorder="1" applyAlignment="1">
      <alignment horizontal="left" vertical="center" wrapText="1"/>
    </xf>
    <xf numFmtId="2" fontId="180" fillId="0" borderId="29" xfId="0" quotePrefix="1" applyNumberFormat="1" applyFont="1" applyBorder="1" applyAlignment="1">
      <alignment horizontal="center" vertical="center" wrapText="1"/>
    </xf>
    <xf numFmtId="3" fontId="180" fillId="0" borderId="29" xfId="0" quotePrefix="1" applyNumberFormat="1" applyFont="1" applyBorder="1" applyAlignment="1">
      <alignment horizontal="right" vertical="center" wrapText="1"/>
    </xf>
    <xf numFmtId="0" fontId="66" fillId="0" borderId="29" xfId="0" applyFont="1" applyBorder="1" applyAlignment="1">
      <alignment horizontal="center" vertical="center" wrapText="1"/>
    </xf>
    <xf numFmtId="0" fontId="63" fillId="0" borderId="29" xfId="0" applyFont="1" applyBorder="1" applyAlignment="1">
      <alignment wrapText="1"/>
    </xf>
    <xf numFmtId="3" fontId="11" fillId="0" borderId="29" xfId="20" applyNumberFormat="1" applyFont="1" applyFill="1" applyBorder="1" applyAlignment="1">
      <alignment horizontal="center" vertical="center" wrapText="1"/>
    </xf>
    <xf numFmtId="3" fontId="382" fillId="0" borderId="29" xfId="20" applyNumberFormat="1" applyFont="1" applyFill="1" applyBorder="1" applyAlignment="1">
      <alignment horizontal="right" vertical="center" wrapText="1"/>
    </xf>
    <xf numFmtId="0" fontId="66" fillId="0" borderId="29" xfId="0" quotePrefix="1" applyFont="1" applyBorder="1" applyAlignment="1">
      <alignment horizontal="center" vertical="center" wrapText="1"/>
    </xf>
    <xf numFmtId="0" fontId="383" fillId="0" borderId="29" xfId="0" applyFont="1" applyBorder="1" applyAlignment="1">
      <alignment horizontal="justify" vertical="center" wrapText="1"/>
    </xf>
    <xf numFmtId="3" fontId="14" fillId="0" borderId="29" xfId="20" applyNumberFormat="1" applyFont="1" applyFill="1" applyBorder="1" applyAlignment="1">
      <alignment horizontal="center" vertical="center" wrapText="1"/>
    </xf>
    <xf numFmtId="0" fontId="63" fillId="0" borderId="29" xfId="0" applyFont="1" applyBorder="1" applyAlignment="1">
      <alignment horizontal="justify" vertical="center" wrapText="1"/>
    </xf>
    <xf numFmtId="0" fontId="3" fillId="0" borderId="29" xfId="0" quotePrefix="1" applyFont="1" applyBorder="1" applyAlignment="1">
      <alignment horizontal="center" vertical="center" wrapText="1"/>
    </xf>
    <xf numFmtId="0" fontId="14" fillId="0" borderId="29" xfId="0" applyFont="1" applyBorder="1" applyAlignment="1">
      <alignment horizontal="left" vertical="center" wrapText="1"/>
    </xf>
    <xf numFmtId="0" fontId="384" fillId="0" borderId="29" xfId="5" applyFont="1" applyBorder="1" applyAlignment="1">
      <alignment horizontal="left" vertical="center" wrapText="1"/>
    </xf>
    <xf numFmtId="0" fontId="3" fillId="0" borderId="29" xfId="0" applyFont="1" applyBorder="1" applyAlignment="1">
      <alignment vertical="center" wrapText="1"/>
    </xf>
    <xf numFmtId="0" fontId="66" fillId="0" borderId="29" xfId="0" applyFont="1" applyBorder="1" applyAlignment="1">
      <alignment vertical="center" wrapText="1"/>
    </xf>
    <xf numFmtId="170" fontId="14" fillId="0" borderId="29" xfId="1" applyFont="1" applyFill="1" applyBorder="1" applyAlignment="1">
      <alignment vertical="center" wrapText="1"/>
    </xf>
    <xf numFmtId="3" fontId="385" fillId="0" borderId="29" xfId="20" applyNumberFormat="1" applyFont="1" applyFill="1" applyBorder="1" applyAlignment="1">
      <alignment horizontal="right" vertical="center" wrapText="1"/>
    </xf>
    <xf numFmtId="0" fontId="11" fillId="0" borderId="29" xfId="0" applyFont="1" applyBorder="1" applyAlignment="1">
      <alignment horizontal="left" vertical="center" wrapText="1"/>
    </xf>
    <xf numFmtId="0" fontId="0" fillId="0" borderId="0" xfId="0" applyAlignment="1">
      <alignment horizontal="center"/>
    </xf>
    <xf numFmtId="0" fontId="383" fillId="0" borderId="0" xfId="0" applyFont="1"/>
    <xf numFmtId="49" fontId="14" fillId="0" borderId="0" xfId="0" applyNumberFormat="1" applyFont="1" applyAlignment="1">
      <alignment horizontal="left" vertical="center"/>
    </xf>
    <xf numFmtId="49" fontId="14" fillId="0" borderId="0" xfId="0" applyNumberFormat="1" applyFont="1" applyAlignment="1">
      <alignment horizontal="left" vertical="center" wrapText="1"/>
    </xf>
    <xf numFmtId="0" fontId="66" fillId="0" borderId="0" xfId="0" quotePrefix="1" applyFont="1"/>
    <xf numFmtId="0" fontId="6" fillId="0" borderId="29" xfId="0" applyFont="1" applyBorder="1" applyAlignment="1">
      <alignment vertical="center" wrapText="1"/>
    </xf>
    <xf numFmtId="0" fontId="63" fillId="0" borderId="29" xfId="0" applyFont="1" applyBorder="1" applyAlignment="1">
      <alignment vertical="center" wrapText="1"/>
    </xf>
    <xf numFmtId="3" fontId="0" fillId="0" borderId="0" xfId="0" applyNumberFormat="1"/>
    <xf numFmtId="175" fontId="11" fillId="0" borderId="29" xfId="1" applyNumberFormat="1" applyFont="1" applyFill="1" applyBorder="1" applyAlignment="1">
      <alignment horizontal="center" vertical="center" wrapText="1"/>
    </xf>
    <xf numFmtId="175" fontId="0" fillId="0" borderId="0" xfId="0" applyNumberFormat="1"/>
    <xf numFmtId="0" fontId="7" fillId="0" borderId="82" xfId="0" applyFont="1" applyBorder="1" applyAlignment="1">
      <alignment vertical="center" wrapText="1"/>
    </xf>
    <xf numFmtId="0" fontId="7" fillId="0" borderId="29" xfId="0" applyFont="1" applyBorder="1" applyAlignment="1">
      <alignment vertical="center" wrapText="1"/>
    </xf>
    <xf numFmtId="170" fontId="0" fillId="0" borderId="0" xfId="1" applyFont="1"/>
    <xf numFmtId="0" fontId="383" fillId="0" borderId="29" xfId="0" applyFont="1" applyBorder="1" applyAlignment="1">
      <alignment horizontal="center"/>
    </xf>
    <xf numFmtId="0" fontId="383" fillId="0" borderId="29" xfId="0" applyFont="1" applyBorder="1"/>
    <xf numFmtId="0" fontId="383" fillId="0" borderId="0" xfId="0" applyFont="1" applyAlignment="1">
      <alignment horizontal="center"/>
    </xf>
    <xf numFmtId="0" fontId="14" fillId="0" borderId="29" xfId="0" applyFont="1" applyBorder="1" applyAlignment="1">
      <alignment vertical="center" wrapText="1"/>
    </xf>
    <xf numFmtId="0" fontId="383" fillId="0" borderId="29" xfId="0" applyFont="1" applyBorder="1" applyAlignment="1">
      <alignment horizontal="center" vertical="center"/>
    </xf>
    <xf numFmtId="175" fontId="180" fillId="0" borderId="29" xfId="1" quotePrefix="1" applyNumberFormat="1" applyFont="1" applyFill="1" applyBorder="1" applyAlignment="1">
      <alignment horizontal="center" vertical="center" wrapText="1"/>
    </xf>
    <xf numFmtId="49" fontId="14" fillId="0" borderId="0" xfId="0" quotePrefix="1" applyNumberFormat="1" applyFont="1" applyAlignment="1">
      <alignment horizontal="left" vertical="center" wrapText="1"/>
    </xf>
    <xf numFmtId="49" fontId="7" fillId="0" borderId="29" xfId="0" applyNumberFormat="1" applyFont="1" applyBorder="1" applyAlignment="1">
      <alignment horizontal="center" vertical="center" wrapText="1"/>
    </xf>
    <xf numFmtId="0" fontId="66" fillId="0" borderId="0" xfId="0" applyFont="1" applyAlignment="1">
      <alignment horizontal="center" vertical="center" wrapText="1"/>
    </xf>
    <xf numFmtId="0" fontId="14" fillId="0" borderId="0" xfId="0" applyFont="1" applyAlignment="1">
      <alignment horizontal="center" vertical="center" wrapText="1"/>
    </xf>
    <xf numFmtId="0" fontId="372" fillId="0" borderId="0" xfId="0" applyFont="1" applyAlignment="1">
      <alignment vertical="center" wrapText="1"/>
    </xf>
    <xf numFmtId="0" fontId="372" fillId="0" borderId="32" xfId="0" applyFont="1" applyBorder="1" applyAlignment="1">
      <alignment horizontal="center" vertical="center" wrapText="1"/>
    </xf>
    <xf numFmtId="0" fontId="11" fillId="0" borderId="29" xfId="0" applyFont="1" applyBorder="1" applyAlignment="1">
      <alignment horizontal="left" vertical="top"/>
    </xf>
    <xf numFmtId="181" fontId="11" fillId="0" borderId="29" xfId="0" applyNumberFormat="1" applyFont="1" applyBorder="1" applyAlignment="1">
      <alignment horizontal="right" vertical="center" wrapText="1"/>
    </xf>
    <xf numFmtId="0" fontId="11" fillId="0" borderId="29" xfId="0" applyFont="1" applyBorder="1" applyAlignment="1">
      <alignment horizontal="left" vertical="top" indent="2"/>
    </xf>
    <xf numFmtId="0" fontId="11" fillId="0" borderId="29" xfId="0" applyFont="1" applyBorder="1" applyAlignment="1">
      <alignment horizontal="center" vertical="center"/>
    </xf>
    <xf numFmtId="0" fontId="11" fillId="0" borderId="29" xfId="0" applyFont="1" applyBorder="1" applyAlignment="1">
      <alignment horizontal="left" vertical="center"/>
    </xf>
    <xf numFmtId="181" fontId="11" fillId="0" borderId="29" xfId="0" applyNumberFormat="1" applyFont="1" applyBorder="1" applyAlignment="1">
      <alignment horizontal="right" vertical="center"/>
    </xf>
    <xf numFmtId="174" fontId="14" fillId="0" borderId="29" xfId="0" applyNumberFormat="1" applyFont="1" applyBorder="1" applyAlignment="1">
      <alignment horizontal="center" vertical="center" wrapText="1"/>
    </xf>
    <xf numFmtId="2" fontId="14" fillId="0" borderId="29" xfId="0" applyNumberFormat="1" applyFont="1" applyBorder="1" applyAlignment="1">
      <alignment horizontal="left" vertical="center" wrapText="1"/>
    </xf>
    <xf numFmtId="2" fontId="14" fillId="0" borderId="29" xfId="0" applyNumberFormat="1" applyFont="1" applyBorder="1" applyAlignment="1">
      <alignment horizontal="center" vertical="center" wrapText="1"/>
    </xf>
    <xf numFmtId="0" fontId="14" fillId="0" borderId="29" xfId="0" applyFont="1" applyBorder="1" applyAlignment="1">
      <alignment horizontal="center" vertical="center" wrapText="1"/>
    </xf>
    <xf numFmtId="0" fontId="14" fillId="0" borderId="29" xfId="0" applyFont="1" applyBorder="1" applyAlignment="1">
      <alignment horizontal="right" vertical="center" wrapText="1"/>
    </xf>
    <xf numFmtId="0" fontId="14" fillId="0" borderId="29" xfId="0" applyFont="1" applyBorder="1" applyAlignment="1">
      <alignment horizontal="left" vertical="center"/>
    </xf>
    <xf numFmtId="181" fontId="14" fillId="0" borderId="29" xfId="0" applyNumberFormat="1" applyFont="1" applyBorder="1" applyAlignment="1">
      <alignment horizontal="right" vertical="center" wrapText="1"/>
    </xf>
    <xf numFmtId="0" fontId="14" fillId="0" borderId="29" xfId="0" applyFont="1" applyBorder="1" applyAlignment="1">
      <alignment horizontal="center" vertical="center"/>
    </xf>
    <xf numFmtId="181" fontId="14" fillId="0" borderId="29" xfId="0" applyNumberFormat="1" applyFont="1" applyBorder="1" applyAlignment="1">
      <alignment horizontal="right" vertical="center"/>
    </xf>
    <xf numFmtId="49" fontId="14" fillId="0" borderId="29" xfId="0" quotePrefix="1" applyNumberFormat="1" applyFont="1" applyBorder="1" applyAlignment="1">
      <alignment horizontal="justify" vertical="center"/>
    </xf>
    <xf numFmtId="2" fontId="11" fillId="0" borderId="29" xfId="0" applyNumberFormat="1" applyFont="1" applyBorder="1" applyAlignment="1">
      <alignment horizontal="left" vertical="center" wrapText="1"/>
    </xf>
    <xf numFmtId="2" fontId="11" fillId="0" borderId="29" xfId="0" applyNumberFormat="1" applyFont="1" applyBorder="1" applyAlignment="1">
      <alignment horizontal="center" vertical="center" wrapText="1"/>
    </xf>
    <xf numFmtId="181" fontId="14" fillId="0" borderId="29" xfId="0" quotePrefix="1" applyNumberFormat="1" applyFont="1" applyBorder="1" applyAlignment="1">
      <alignment horizontal="right" vertical="center" wrapText="1"/>
    </xf>
    <xf numFmtId="0" fontId="11" fillId="0" borderId="29" xfId="0" quotePrefix="1" applyFont="1" applyBorder="1" applyAlignment="1">
      <alignment horizontal="center" vertical="center"/>
    </xf>
    <xf numFmtId="0" fontId="14" fillId="0" borderId="29" xfId="0" applyFont="1" applyBorder="1" applyAlignment="1">
      <alignment horizontal="justify" vertical="center" wrapText="1"/>
    </xf>
    <xf numFmtId="2" fontId="14" fillId="0" borderId="29" xfId="0" quotePrefix="1" applyNumberFormat="1" applyFont="1" applyBorder="1" applyAlignment="1">
      <alignment horizontal="center" vertical="center" wrapText="1"/>
    </xf>
    <xf numFmtId="49" fontId="14" fillId="0" borderId="29" xfId="0" applyNumberFormat="1" applyFont="1" applyBorder="1" applyAlignment="1">
      <alignment horizontal="center" vertical="center" wrapText="1"/>
    </xf>
    <xf numFmtId="368" fontId="14" fillId="0" borderId="29" xfId="0" applyNumberFormat="1" applyFont="1" applyBorder="1" applyAlignment="1">
      <alignment horizontal="center" vertical="center" wrapText="1"/>
    </xf>
    <xf numFmtId="1" fontId="11" fillId="0" borderId="29" xfId="0" quotePrefix="1" applyNumberFormat="1" applyFont="1" applyBorder="1" applyAlignment="1">
      <alignment horizontal="center" vertical="center" wrapText="1"/>
    </xf>
    <xf numFmtId="49" fontId="14" fillId="0" borderId="29" xfId="0" applyNumberFormat="1" applyFont="1" applyBorder="1" applyAlignment="1">
      <alignment horizontal="justify" vertical="center" wrapText="1"/>
    </xf>
    <xf numFmtId="0" fontId="11" fillId="0" borderId="29" xfId="0" applyFont="1" applyBorder="1" applyAlignment="1">
      <alignment vertical="center"/>
    </xf>
    <xf numFmtId="0" fontId="11" fillId="0" borderId="29" xfId="0" applyFont="1" applyBorder="1" applyAlignment="1">
      <alignment horizontal="right" vertical="center"/>
    </xf>
    <xf numFmtId="0" fontId="14" fillId="0" borderId="29" xfId="0" applyFont="1" applyBorder="1" applyAlignment="1">
      <alignment vertical="center"/>
    </xf>
    <xf numFmtId="0" fontId="14" fillId="0" borderId="0" xfId="0" applyFont="1" applyAlignment="1">
      <alignment vertical="top"/>
    </xf>
    <xf numFmtId="168" fontId="7" fillId="0" borderId="2" xfId="1" applyNumberFormat="1" applyFont="1" applyFill="1" applyBorder="1" applyAlignment="1">
      <alignment horizontal="right" vertical="center"/>
    </xf>
    <xf numFmtId="168" fontId="7" fillId="0" borderId="81" xfId="1" applyNumberFormat="1" applyFont="1" applyFill="1" applyBorder="1" applyAlignment="1">
      <alignment horizontal="right" vertical="center"/>
    </xf>
    <xf numFmtId="175" fontId="5" fillId="0" borderId="81" xfId="1" applyNumberFormat="1" applyFont="1" applyFill="1" applyBorder="1" applyAlignment="1">
      <alignment horizontal="right" vertical="center" wrapText="1"/>
    </xf>
    <xf numFmtId="189" fontId="5" fillId="0" borderId="81" xfId="1" applyNumberFormat="1" applyFont="1" applyFill="1" applyBorder="1" applyAlignment="1">
      <alignment horizontal="right" vertical="center" wrapText="1"/>
    </xf>
    <xf numFmtId="170" fontId="5" fillId="0" borderId="81" xfId="1" applyFont="1" applyFill="1" applyBorder="1" applyAlignment="1">
      <alignment horizontal="right" vertical="center" wrapText="1"/>
    </xf>
    <xf numFmtId="189" fontId="5" fillId="0" borderId="81" xfId="0" applyNumberFormat="1" applyFont="1" applyBorder="1" applyAlignment="1">
      <alignment horizontal="right" vertical="center" wrapText="1"/>
    </xf>
    <xf numFmtId="170" fontId="5" fillId="0" borderId="81" xfId="0" applyNumberFormat="1" applyFont="1" applyBorder="1" applyAlignment="1">
      <alignment horizontal="right" vertical="center" wrapText="1"/>
    </xf>
    <xf numFmtId="49" fontId="5" fillId="0" borderId="8" xfId="0" applyNumberFormat="1" applyFont="1" applyBorder="1" applyAlignment="1">
      <alignment vertical="center" wrapText="1"/>
    </xf>
    <xf numFmtId="49" fontId="5" fillId="0" borderId="8" xfId="0" applyNumberFormat="1" applyFont="1" applyBorder="1" applyAlignment="1">
      <alignment horizontal="center" vertical="center" wrapText="1"/>
    </xf>
    <xf numFmtId="175" fontId="5" fillId="0" borderId="8" xfId="1" applyNumberFormat="1" applyFont="1" applyFill="1" applyBorder="1" applyAlignment="1">
      <alignment horizontal="right" vertical="center" wrapText="1"/>
    </xf>
    <xf numFmtId="189" fontId="5" fillId="0" borderId="8" xfId="0" applyNumberFormat="1" applyFont="1" applyBorder="1" applyAlignment="1">
      <alignment horizontal="right" vertical="center" wrapText="1"/>
    </xf>
    <xf numFmtId="3" fontId="5" fillId="0" borderId="8" xfId="0" applyNumberFormat="1" applyFont="1" applyBorder="1" applyAlignment="1">
      <alignment horizontal="right" vertical="center"/>
    </xf>
    <xf numFmtId="3" fontId="5" fillId="0" borderId="8" xfId="0" applyNumberFormat="1" applyFont="1" applyBorder="1" applyAlignment="1">
      <alignment horizontal="right" vertical="center" wrapText="1"/>
    </xf>
    <xf numFmtId="170" fontId="5" fillId="0" borderId="8" xfId="0" applyNumberFormat="1" applyFont="1" applyBorder="1" applyAlignment="1">
      <alignment horizontal="right" vertical="center" wrapText="1"/>
    </xf>
    <xf numFmtId="49" fontId="5" fillId="0" borderId="8" xfId="11001" quotePrefix="1" applyNumberFormat="1" applyFont="1" applyFill="1" applyBorder="1" applyAlignment="1">
      <alignment horizontal="center" vertical="center" wrapText="1"/>
    </xf>
    <xf numFmtId="2" fontId="5" fillId="0" borderId="8" xfId="0" applyNumberFormat="1" applyFont="1" applyBorder="1"/>
    <xf numFmtId="175" fontId="5" fillId="0" borderId="6" xfId="1" applyNumberFormat="1" applyFont="1" applyFill="1" applyBorder="1" applyAlignment="1">
      <alignment horizontal="right" vertical="center" wrapText="1"/>
    </xf>
    <xf numFmtId="189" fontId="5" fillId="0" borderId="6" xfId="0" applyNumberFormat="1" applyFont="1" applyBorder="1" applyAlignment="1">
      <alignment horizontal="right" vertical="center" wrapText="1"/>
    </xf>
    <xf numFmtId="170" fontId="5" fillId="0" borderId="6" xfId="0" applyNumberFormat="1" applyFont="1" applyBorder="1" applyAlignment="1">
      <alignment horizontal="right" vertical="center" wrapText="1"/>
    </xf>
    <xf numFmtId="3" fontId="11" fillId="0" borderId="29" xfId="1" applyNumberFormat="1" applyFont="1" applyFill="1" applyBorder="1" applyAlignment="1">
      <alignment vertical="center" wrapText="1"/>
    </xf>
    <xf numFmtId="3" fontId="11" fillId="0" borderId="29" xfId="1" quotePrefix="1" applyNumberFormat="1" applyFont="1" applyFill="1" applyBorder="1" applyAlignment="1">
      <alignment vertical="center" wrapText="1"/>
    </xf>
    <xf numFmtId="3" fontId="11" fillId="0" borderId="29" xfId="20" applyNumberFormat="1" applyFont="1" applyFill="1" applyBorder="1" applyAlignment="1">
      <alignment vertical="center" wrapText="1"/>
    </xf>
    <xf numFmtId="3" fontId="14" fillId="0" borderId="29" xfId="20" applyNumberFormat="1" applyFont="1" applyFill="1" applyBorder="1" applyAlignment="1">
      <alignment vertical="center" wrapText="1"/>
    </xf>
    <xf numFmtId="3" fontId="180" fillId="0" borderId="29" xfId="0" quotePrefix="1" applyNumberFormat="1" applyFont="1" applyBorder="1" applyAlignment="1">
      <alignment vertical="center" wrapText="1"/>
    </xf>
    <xf numFmtId="237" fontId="5" fillId="0" borderId="6" xfId="1" applyNumberFormat="1" applyFont="1" applyFill="1" applyBorder="1" applyAlignment="1">
      <alignment horizontal="right" vertical="center" wrapText="1"/>
    </xf>
    <xf numFmtId="49" fontId="14" fillId="0" borderId="29" xfId="0" quotePrefix="1" applyNumberFormat="1" applyFont="1" applyBorder="1" applyAlignment="1">
      <alignment horizontal="center" vertical="center" wrapText="1"/>
    </xf>
    <xf numFmtId="0" fontId="3" fillId="0" borderId="29" xfId="0" applyFont="1" applyBorder="1" applyAlignment="1">
      <alignment horizontal="center" vertical="center" wrapText="1"/>
    </xf>
    <xf numFmtId="0" fontId="383" fillId="0" borderId="0" xfId="0" applyFont="1" applyAlignment="1">
      <alignment wrapText="1"/>
    </xf>
    <xf numFmtId="49" fontId="6" fillId="0" borderId="29" xfId="0" applyNumberFormat="1" applyFont="1" applyBorder="1" applyAlignment="1">
      <alignment horizontal="center" vertical="center" wrapText="1"/>
    </xf>
    <xf numFmtId="2" fontId="5" fillId="0" borderId="8" xfId="11001" quotePrefix="1" applyNumberFormat="1" applyFont="1" applyFill="1" applyBorder="1" applyAlignment="1">
      <alignment horizontal="center" vertical="center" wrapText="1"/>
    </xf>
    <xf numFmtId="2" fontId="11" fillId="0" borderId="29" xfId="0" quotePrefix="1" applyNumberFormat="1" applyFont="1" applyBorder="1" applyAlignment="1">
      <alignment horizontal="center" vertical="center" wrapText="1"/>
    </xf>
    <xf numFmtId="3" fontId="11" fillId="0" borderId="29" xfId="0" quotePrefix="1" applyNumberFormat="1" applyFont="1" applyBorder="1" applyAlignment="1">
      <alignment horizontal="right" vertical="center" wrapText="1"/>
    </xf>
    <xf numFmtId="0" fontId="383" fillId="0" borderId="29" xfId="0" quotePrefix="1" applyFont="1" applyBorder="1" applyAlignment="1">
      <alignment horizontal="center" vertical="center"/>
    </xf>
    <xf numFmtId="49" fontId="2" fillId="2" borderId="0" xfId="0" quotePrefix="1" applyNumberFormat="1" applyFont="1" applyFill="1" applyAlignment="1">
      <alignment horizontal="left" vertical="center" wrapText="1"/>
    </xf>
    <xf numFmtId="49" fontId="2" fillId="0" borderId="0" xfId="0" quotePrefix="1" applyNumberFormat="1" applyFont="1" applyAlignment="1">
      <alignment horizontal="left" vertical="center" wrapText="1"/>
    </xf>
    <xf numFmtId="49" fontId="2" fillId="0" borderId="0" xfId="0" quotePrefix="1" applyNumberFormat="1" applyFont="1" applyAlignment="1">
      <alignment horizontal="left" vertical="center"/>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49" fontId="2" fillId="2" borderId="0" xfId="0" applyNumberFormat="1" applyFont="1" applyFill="1" applyAlignment="1">
      <alignment horizontal="left" vertical="center" wrapText="1"/>
    </xf>
    <xf numFmtId="0" fontId="15" fillId="0" borderId="0" xfId="0" applyFont="1" applyAlignment="1">
      <alignment horizontal="left" vertical="center" wrapText="1"/>
    </xf>
    <xf numFmtId="0" fontId="6" fillId="0" borderId="1" xfId="0" applyFont="1" applyBorder="1" applyAlignment="1">
      <alignment horizontal="center" vertical="center" wrapText="1"/>
    </xf>
    <xf numFmtId="0" fontId="3" fillId="0" borderId="0" xfId="0" applyFont="1" applyAlignment="1">
      <alignment horizontal="center" vertical="center" wrapText="1"/>
    </xf>
    <xf numFmtId="0" fontId="8" fillId="0" borderId="9" xfId="0" applyFont="1" applyBorder="1" applyAlignment="1">
      <alignment horizontal="right" vertical="center" wrapText="1"/>
    </xf>
    <xf numFmtId="0" fontId="5" fillId="0" borderId="0" xfId="5754" applyFont="1" applyAlignment="1">
      <alignment horizontal="left" vertical="center" wrapText="1"/>
    </xf>
    <xf numFmtId="0" fontId="11" fillId="0" borderId="0" xfId="5754" applyFont="1" applyAlignment="1">
      <alignment horizontal="center" vertical="center"/>
    </xf>
    <xf numFmtId="0" fontId="11" fillId="0" borderId="0" xfId="5754" applyFont="1" applyAlignment="1">
      <alignment horizontal="center" vertical="center" wrapText="1"/>
    </xf>
    <xf numFmtId="0" fontId="65" fillId="0" borderId="9" xfId="5754" applyFont="1" applyBorder="1" applyAlignment="1">
      <alignment horizontal="right" vertical="center"/>
    </xf>
    <xf numFmtId="0" fontId="372" fillId="0" borderId="0" xfId="5754" applyFont="1" applyAlignment="1">
      <alignment horizontal="center" vertical="center" wrapText="1"/>
    </xf>
    <xf numFmtId="0" fontId="11" fillId="0" borderId="2" xfId="5754" applyFont="1" applyBorder="1" applyAlignment="1">
      <alignment horizontal="center" vertical="center" wrapText="1"/>
    </xf>
    <xf numFmtId="0" fontId="11" fillId="0" borderId="8" xfId="5754" applyFont="1" applyBorder="1" applyAlignment="1">
      <alignment horizontal="center" vertical="center" wrapText="1"/>
    </xf>
    <xf numFmtId="0" fontId="7" fillId="0" borderId="7" xfId="5754" applyFont="1" applyBorder="1" applyAlignment="1">
      <alignment horizontal="left" vertical="center" wrapText="1"/>
    </xf>
    <xf numFmtId="0" fontId="11" fillId="0" borderId="0" xfId="20" applyNumberFormat="1" applyFont="1" applyFill="1" applyBorder="1" applyAlignment="1">
      <alignment horizontal="center" vertical="center" wrapText="1"/>
    </xf>
    <xf numFmtId="175" fontId="372" fillId="0" borderId="0" xfId="20" applyNumberFormat="1" applyFont="1" applyFill="1" applyAlignment="1">
      <alignment horizontal="center" vertical="center" wrapText="1"/>
    </xf>
    <xf numFmtId="175" fontId="372" fillId="0" borderId="9" xfId="20" applyNumberFormat="1" applyFont="1" applyFill="1" applyBorder="1" applyAlignment="1">
      <alignment horizontal="right" vertical="center"/>
    </xf>
    <xf numFmtId="0" fontId="15" fillId="0" borderId="0" xfId="0" applyFont="1" applyAlignment="1">
      <alignment horizontal="right" vertical="center"/>
    </xf>
    <xf numFmtId="175" fontId="6" fillId="0" borderId="0" xfId="20" applyNumberFormat="1" applyFont="1" applyFill="1" applyAlignment="1">
      <alignment horizontal="center" vertical="center"/>
    </xf>
    <xf numFmtId="0" fontId="6" fillId="0" borderId="0" xfId="20" applyNumberFormat="1" applyFont="1" applyFill="1" applyBorder="1" applyAlignment="1">
      <alignment horizontal="center" vertical="center" wrapText="1"/>
    </xf>
    <xf numFmtId="175" fontId="8" fillId="0" borderId="0" xfId="20" applyNumberFormat="1" applyFont="1" applyFill="1" applyAlignment="1">
      <alignment horizontal="center" vertical="center" wrapText="1"/>
    </xf>
    <xf numFmtId="0" fontId="7" fillId="0" borderId="83" xfId="0" applyFont="1" applyBorder="1" applyAlignment="1">
      <alignment horizontal="center" vertical="center" wrapText="1"/>
    </xf>
    <xf numFmtId="0" fontId="7" fillId="0" borderId="51" xfId="0" applyFont="1" applyBorder="1" applyAlignment="1">
      <alignment horizontal="center" vertical="center" wrapText="1"/>
    </xf>
    <xf numFmtId="0" fontId="7" fillId="0" borderId="82" xfId="0" applyFont="1" applyBorder="1" applyAlignment="1">
      <alignment horizontal="center" vertical="center" wrapText="1"/>
    </xf>
    <xf numFmtId="0" fontId="6" fillId="0" borderId="0" xfId="0" applyFont="1" applyAlignment="1">
      <alignment horizontal="center" vertical="center" wrapText="1"/>
    </xf>
    <xf numFmtId="0" fontId="8" fillId="0" borderId="0" xfId="0" applyFont="1" applyAlignment="1">
      <alignment horizontal="center" vertical="center" wrapText="1"/>
    </xf>
    <xf numFmtId="0" fontId="6" fillId="0" borderId="0" xfId="0" applyFont="1" applyAlignment="1">
      <alignment horizontal="center" vertical="center"/>
    </xf>
    <xf numFmtId="0" fontId="7" fillId="0" borderId="84"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86"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76" xfId="0" applyFont="1" applyBorder="1" applyAlignment="1">
      <alignment horizontal="center" vertical="center" wrapText="1"/>
    </xf>
    <xf numFmtId="0" fontId="7" fillId="0" borderId="85"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87" xfId="0" applyFont="1" applyBorder="1" applyAlignment="1">
      <alignment horizontal="center" vertical="center" wrapText="1"/>
    </xf>
    <xf numFmtId="0" fontId="7" fillId="0" borderId="29" xfId="5782" applyFont="1" applyBorder="1" applyAlignment="1">
      <alignment horizontal="center" vertical="center" wrapText="1"/>
    </xf>
    <xf numFmtId="49" fontId="5" fillId="0" borderId="81" xfId="0" applyNumberFormat="1" applyFont="1" applyBorder="1" applyAlignment="1">
      <alignment horizontal="center" vertical="center" wrapText="1"/>
    </xf>
    <xf numFmtId="0" fontId="7" fillId="0" borderId="0" xfId="5845" applyFont="1" applyAlignment="1">
      <alignment horizontal="center" vertical="center"/>
    </xf>
    <xf numFmtId="0" fontId="9" fillId="0" borderId="0" xfId="5782" applyFont="1" applyAlignment="1">
      <alignment horizontal="center" vertical="center"/>
    </xf>
    <xf numFmtId="0" fontId="7" fillId="0" borderId="0" xfId="5782" applyFont="1" applyAlignment="1">
      <alignment horizontal="center" vertical="center"/>
    </xf>
    <xf numFmtId="0" fontId="9" fillId="0" borderId="9" xfId="5782" applyFont="1" applyBorder="1" applyAlignment="1">
      <alignment horizontal="right" vertical="center"/>
    </xf>
    <xf numFmtId="0" fontId="7" fillId="0" borderId="29" xfId="5845" applyFont="1" applyBorder="1" applyAlignment="1">
      <alignment horizontal="center" vertical="center" wrapText="1"/>
    </xf>
    <xf numFmtId="0" fontId="7" fillId="0" borderId="0" xfId="5782" applyFont="1" applyAlignment="1">
      <alignment horizontal="center" vertical="center" wrapText="1"/>
    </xf>
    <xf numFmtId="0" fontId="4" fillId="0" borderId="9" xfId="5782" applyFont="1" applyBorder="1" applyAlignment="1">
      <alignment horizontal="center" vertical="center"/>
    </xf>
    <xf numFmtId="0" fontId="7" fillId="0" borderId="83" xfId="5845" applyFont="1" applyBorder="1" applyAlignment="1">
      <alignment horizontal="center" vertical="center" wrapText="1"/>
    </xf>
    <xf numFmtId="0" fontId="7" fillId="0" borderId="51" xfId="5845" applyFont="1" applyBorder="1" applyAlignment="1">
      <alignment horizontal="center" vertical="center" wrapText="1"/>
    </xf>
    <xf numFmtId="0" fontId="7" fillId="0" borderId="82" xfId="5845" applyFont="1" applyBorder="1" applyAlignment="1">
      <alignment horizontal="center" vertical="center" wrapText="1"/>
    </xf>
    <xf numFmtId="0" fontId="7" fillId="0" borderId="0" xfId="0" applyFont="1" applyAlignment="1">
      <alignment horizontal="center" vertical="center" wrapText="1"/>
    </xf>
    <xf numFmtId="0" fontId="7" fillId="4" borderId="0" xfId="0" applyFont="1" applyFill="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right"/>
    </xf>
    <xf numFmtId="49" fontId="7" fillId="0" borderId="3" xfId="0" applyNumberFormat="1" applyFont="1" applyBorder="1" applyAlignment="1">
      <alignment horizontal="center" vertical="center" wrapText="1"/>
    </xf>
    <xf numFmtId="49" fontId="7" fillId="0" borderId="12"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4" xfId="0" applyFont="1" applyBorder="1" applyAlignment="1">
      <alignment horizontal="center" vertical="center" wrapText="1"/>
    </xf>
    <xf numFmtId="0" fontId="7" fillId="3" borderId="1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9" fillId="0" borderId="0" xfId="0" quotePrefix="1" applyFont="1" applyAlignment="1">
      <alignment horizontal="left" vertical="center" wrapText="1"/>
    </xf>
    <xf numFmtId="0" fontId="25" fillId="3" borderId="3" xfId="0" applyFont="1" applyFill="1" applyBorder="1" applyAlignment="1">
      <alignment horizontal="center" vertical="center" wrapText="1"/>
    </xf>
    <xf numFmtId="0" fontId="25" fillId="3" borderId="5" xfId="0" applyFont="1" applyFill="1" applyBorder="1" applyAlignment="1">
      <alignment horizontal="center" vertical="center" wrapText="1"/>
    </xf>
    <xf numFmtId="0" fontId="25" fillId="6" borderId="3" xfId="0" applyFont="1" applyFill="1" applyBorder="1" applyAlignment="1">
      <alignment horizontal="center" vertical="center" wrapText="1"/>
    </xf>
    <xf numFmtId="0" fontId="25" fillId="0" borderId="12"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3" xfId="0" applyFont="1" applyBorder="1" applyAlignment="1">
      <alignment horizontal="center" vertical="center" wrapText="1"/>
    </xf>
    <xf numFmtId="0" fontId="26" fillId="0" borderId="0" xfId="0" quotePrefix="1" applyFont="1" applyAlignment="1">
      <alignment horizontal="left" vertical="center" wrapText="1"/>
    </xf>
    <xf numFmtId="0" fontId="25" fillId="4" borderId="0" xfId="0" applyFont="1" applyFill="1" applyAlignment="1">
      <alignment horizontal="center" vertical="center" wrapText="1"/>
    </xf>
    <xf numFmtId="0" fontId="22" fillId="4" borderId="0" xfId="0" applyFont="1" applyFill="1" applyAlignment="1">
      <alignment horizontal="center" vertical="center" wrapText="1"/>
    </xf>
    <xf numFmtId="0" fontId="25" fillId="6" borderId="0" xfId="0" applyFont="1" applyFill="1" applyAlignment="1">
      <alignment horizontal="center" vertical="center" wrapText="1"/>
    </xf>
    <xf numFmtId="0" fontId="22" fillId="6" borderId="0" xfId="0" applyFont="1" applyFill="1" applyAlignment="1">
      <alignment horizontal="center" vertical="center" wrapText="1"/>
    </xf>
    <xf numFmtId="0" fontId="26" fillId="0" borderId="0" xfId="0" applyFont="1" applyAlignment="1">
      <alignment horizontal="center" vertical="center" wrapText="1"/>
    </xf>
    <xf numFmtId="0" fontId="26" fillId="6" borderId="0" xfId="0" applyFont="1" applyFill="1" applyAlignment="1">
      <alignment horizontal="center" vertical="center" wrapText="1"/>
    </xf>
    <xf numFmtId="0" fontId="9" fillId="0" borderId="0" xfId="0" applyFont="1"/>
    <xf numFmtId="0" fontId="4" fillId="0" borderId="0" xfId="0" applyFont="1" applyAlignment="1">
      <alignment horizontal="right"/>
    </xf>
    <xf numFmtId="49" fontId="25" fillId="0" borderId="12" xfId="0" applyNumberFormat="1" applyFont="1" applyBorder="1" applyAlignment="1">
      <alignment horizontal="center" vertical="center" wrapText="1"/>
    </xf>
    <xf numFmtId="49" fontId="25" fillId="0" borderId="5" xfId="0" applyNumberFormat="1" applyFont="1" applyBorder="1" applyAlignment="1">
      <alignment horizontal="center" vertical="center" wrapText="1"/>
    </xf>
    <xf numFmtId="0" fontId="25" fillId="0" borderId="15"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14" xfId="0" applyFont="1" applyBorder="1" applyAlignment="1">
      <alignment horizontal="center" vertical="center" wrapText="1"/>
    </xf>
    <xf numFmtId="0" fontId="25" fillId="3" borderId="15" xfId="0" applyFont="1" applyFill="1" applyBorder="1" applyAlignment="1">
      <alignment horizontal="center" vertical="center" wrapText="1"/>
    </xf>
    <xf numFmtId="0" fontId="25" fillId="3" borderId="16" xfId="0" applyFont="1" applyFill="1" applyBorder="1" applyAlignment="1">
      <alignment horizontal="center" vertical="center" wrapText="1"/>
    </xf>
    <xf numFmtId="0" fontId="25" fillId="3" borderId="17" xfId="0" applyFont="1" applyFill="1" applyBorder="1" applyAlignment="1">
      <alignment horizontal="center" vertical="center" wrapText="1"/>
    </xf>
    <xf numFmtId="49" fontId="4" fillId="0" borderId="0" xfId="0" applyNumberFormat="1" applyFont="1" applyAlignment="1">
      <alignment horizontal="left" vertical="center" wrapText="1"/>
    </xf>
    <xf numFmtId="49" fontId="4" fillId="2" borderId="0" xfId="0" applyNumberFormat="1" applyFont="1" applyFill="1" applyAlignment="1">
      <alignment horizontal="left" vertical="center" wrapText="1"/>
    </xf>
    <xf numFmtId="49" fontId="7" fillId="0" borderId="0" xfId="0" applyNumberFormat="1" applyFont="1" applyAlignment="1">
      <alignment horizontal="center" vertical="center" wrapText="1"/>
    </xf>
    <xf numFmtId="49" fontId="9" fillId="0" borderId="9" xfId="0" applyNumberFormat="1" applyFont="1" applyBorder="1" applyAlignment="1">
      <alignment horizontal="right" vertical="center" wrapText="1"/>
    </xf>
    <xf numFmtId="49" fontId="7" fillId="0" borderId="1" xfId="0" applyNumberFormat="1" applyFont="1" applyBorder="1" applyAlignment="1">
      <alignment horizontal="center" vertical="center" wrapText="1"/>
    </xf>
    <xf numFmtId="49" fontId="4" fillId="2" borderId="0" xfId="0" applyNumberFormat="1" applyFont="1" applyFill="1" applyAlignment="1">
      <alignment horizontal="right" vertical="center" wrapText="1"/>
    </xf>
    <xf numFmtId="49" fontId="7" fillId="0" borderId="7" xfId="0" applyNumberFormat="1" applyFont="1" applyBorder="1" applyAlignment="1">
      <alignment horizontal="center" vertical="center" wrapText="1"/>
    </xf>
    <xf numFmtId="49" fontId="7" fillId="0" borderId="9" xfId="0" applyNumberFormat="1" applyFont="1" applyBorder="1" applyAlignment="1">
      <alignment horizontal="center" vertical="center" wrapText="1"/>
    </xf>
    <xf numFmtId="0" fontId="4" fillId="2" borderId="0" xfId="0" applyFont="1" applyFill="1" applyAlignment="1">
      <alignment horizontal="left" vertical="center" wrapText="1"/>
    </xf>
    <xf numFmtId="0" fontId="9" fillId="0" borderId="0" xfId="0" applyFont="1" applyAlignment="1">
      <alignment horizontal="right" vertical="center" wrapText="1"/>
    </xf>
    <xf numFmtId="0" fontId="4" fillId="2" borderId="0" xfId="0" applyFont="1" applyFill="1" applyAlignment="1">
      <alignment horizontal="right" vertical="center" wrapText="1"/>
    </xf>
    <xf numFmtId="0" fontId="5" fillId="0" borderId="36" xfId="0" applyFont="1" applyBorder="1" applyAlignment="1">
      <alignment horizontal="center" wrapText="1"/>
    </xf>
    <xf numFmtId="0" fontId="5" fillId="0" borderId="0" xfId="0" applyFont="1" applyAlignment="1">
      <alignment horizontal="center" wrapText="1"/>
    </xf>
    <xf numFmtId="0" fontId="11"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9" xfId="0" applyFont="1" applyBorder="1" applyAlignment="1">
      <alignment horizontal="center" vertical="center" wrapText="1"/>
    </xf>
    <xf numFmtId="3" fontId="7" fillId="0" borderId="0" xfId="0" applyNumberFormat="1" applyFont="1" applyAlignment="1">
      <alignment horizontal="center" vertical="center" wrapText="1"/>
    </xf>
    <xf numFmtId="3" fontId="9" fillId="0" borderId="0" xfId="0" applyNumberFormat="1" applyFont="1" applyAlignment="1">
      <alignment horizontal="center" vertical="center" wrapText="1"/>
    </xf>
    <xf numFmtId="168" fontId="9" fillId="0" borderId="0" xfId="0" applyNumberFormat="1" applyFont="1" applyAlignment="1">
      <alignment horizontal="left" vertical="center" wrapText="1"/>
    </xf>
    <xf numFmtId="3" fontId="9" fillId="0" borderId="0" xfId="0" applyNumberFormat="1" applyFont="1" applyAlignment="1">
      <alignment horizontal="right" vertical="center" wrapText="1"/>
    </xf>
    <xf numFmtId="3" fontId="4" fillId="2" borderId="0" xfId="0" applyNumberFormat="1" applyFont="1" applyFill="1" applyAlignment="1">
      <alignment horizontal="left" vertical="center" wrapText="1"/>
    </xf>
    <xf numFmtId="3" fontId="4" fillId="2" borderId="0" xfId="0" applyNumberFormat="1" applyFont="1" applyFill="1" applyAlignment="1">
      <alignment horizontal="right" vertical="center" wrapText="1"/>
    </xf>
    <xf numFmtId="3" fontId="7" fillId="0" borderId="1" xfId="0" applyNumberFormat="1" applyFont="1" applyBorder="1" applyAlignment="1">
      <alignment horizontal="center" vertical="center" wrapText="1"/>
    </xf>
    <xf numFmtId="3" fontId="7" fillId="0" borderId="13" xfId="0" applyNumberFormat="1" applyFont="1" applyBorder="1" applyAlignment="1">
      <alignment horizontal="center" vertical="center" wrapText="1"/>
    </xf>
    <xf numFmtId="3" fontId="7" fillId="0" borderId="21" xfId="0" applyNumberFormat="1" applyFont="1" applyBorder="1" applyAlignment="1">
      <alignment horizontal="center" vertical="center" wrapText="1"/>
    </xf>
    <xf numFmtId="0" fontId="9" fillId="0" borderId="0" xfId="0" applyFont="1" applyAlignment="1">
      <alignment horizontal="left" vertical="center"/>
    </xf>
    <xf numFmtId="0" fontId="36" fillId="4" borderId="0" xfId="0" applyFont="1" applyFill="1" applyAlignment="1">
      <alignment horizontal="center"/>
    </xf>
    <xf numFmtId="0" fontId="25" fillId="5" borderId="3" xfId="0" applyFont="1" applyFill="1" applyBorder="1" applyAlignment="1">
      <alignment horizontal="center" vertical="center" wrapText="1"/>
    </xf>
    <xf numFmtId="0" fontId="25" fillId="5" borderId="12" xfId="0" applyFont="1" applyFill="1" applyBorder="1" applyAlignment="1">
      <alignment horizontal="center" vertical="center" wrapText="1"/>
    </xf>
    <xf numFmtId="0" fontId="25" fillId="5" borderId="5" xfId="0" applyFont="1" applyFill="1" applyBorder="1" applyAlignment="1">
      <alignment horizontal="center" vertical="center" wrapText="1"/>
    </xf>
    <xf numFmtId="0" fontId="4" fillId="0" borderId="0" xfId="0" applyFont="1" applyAlignment="1">
      <alignment horizontal="left" vertical="center" wrapText="1"/>
    </xf>
    <xf numFmtId="170" fontId="7" fillId="0" borderId="3" xfId="1" applyFont="1" applyFill="1" applyBorder="1" applyAlignment="1">
      <alignment horizontal="center" vertical="center" wrapText="1"/>
    </xf>
    <xf numFmtId="170" fontId="7" fillId="0" borderId="12" xfId="1" applyFont="1" applyFill="1" applyBorder="1" applyAlignment="1">
      <alignment horizontal="center" vertical="center" wrapText="1"/>
    </xf>
    <xf numFmtId="170" fontId="7" fillId="0" borderId="5" xfId="1" applyFont="1" applyFill="1" applyBorder="1" applyAlignment="1">
      <alignment horizontal="center" vertical="center" wrapText="1"/>
    </xf>
    <xf numFmtId="0" fontId="4" fillId="0" borderId="0" xfId="0" applyFont="1" applyAlignment="1">
      <alignment horizontal="right" vertical="center" wrapText="1"/>
    </xf>
    <xf numFmtId="0" fontId="38" fillId="0" borderId="0" xfId="0" applyFont="1" applyAlignment="1">
      <alignment horizontal="right" vertical="center" wrapText="1"/>
    </xf>
    <xf numFmtId="49" fontId="7" fillId="0" borderId="0" xfId="0" applyNumberFormat="1" applyFont="1" applyAlignment="1">
      <alignment horizontal="left" vertical="center" wrapText="1"/>
    </xf>
    <xf numFmtId="49" fontId="5" fillId="0" borderId="0" xfId="0" applyNumberFormat="1" applyFont="1" applyAlignment="1">
      <alignment horizontal="left" vertical="center" wrapText="1"/>
    </xf>
    <xf numFmtId="49" fontId="5" fillId="0" borderId="0" xfId="0" quotePrefix="1" applyNumberFormat="1" applyFont="1" applyAlignment="1">
      <alignment horizontal="left" vertical="center" wrapText="1"/>
    </xf>
    <xf numFmtId="49" fontId="5" fillId="0" borderId="0" xfId="0" applyNumberFormat="1" applyFont="1" applyAlignment="1">
      <alignment vertical="center" wrapText="1"/>
    </xf>
    <xf numFmtId="0" fontId="5" fillId="4" borderId="0" xfId="0" applyFont="1" applyFill="1" applyAlignment="1">
      <alignment horizontal="left" vertical="center" wrapText="1"/>
    </xf>
    <xf numFmtId="0" fontId="5" fillId="0" borderId="0" xfId="0" applyFont="1" applyAlignment="1">
      <alignment horizontal="left" vertical="center"/>
    </xf>
    <xf numFmtId="3" fontId="5" fillId="0" borderId="0" xfId="0" applyNumberFormat="1" applyFont="1" applyAlignment="1">
      <alignment horizontal="left" wrapText="1"/>
    </xf>
    <xf numFmtId="49" fontId="7" fillId="0" borderId="0" xfId="0" applyNumberFormat="1" applyFont="1" applyAlignment="1">
      <alignment vertical="center" wrapText="1"/>
    </xf>
    <xf numFmtId="0" fontId="7" fillId="4" borderId="0" xfId="0" applyFont="1" applyFill="1" applyAlignment="1">
      <alignment horizontal="left" vertical="center" wrapText="1"/>
    </xf>
    <xf numFmtId="49" fontId="7" fillId="0" borderId="0" xfId="0" applyNumberFormat="1" applyFont="1" applyAlignment="1">
      <alignment vertical="center"/>
    </xf>
    <xf numFmtId="3" fontId="4" fillId="0" borderId="0" xfId="0" applyNumberFormat="1" applyFont="1" applyAlignment="1">
      <alignment horizontal="left" vertical="center" wrapText="1"/>
    </xf>
    <xf numFmtId="3" fontId="4" fillId="0" borderId="0" xfId="0" applyNumberFormat="1" applyFont="1" applyAlignment="1">
      <alignment horizontal="right" vertical="center" wrapText="1"/>
    </xf>
    <xf numFmtId="3" fontId="9" fillId="4" borderId="0" xfId="0" applyNumberFormat="1" applyFont="1" applyFill="1" applyAlignment="1">
      <alignment horizontal="right" vertical="center" wrapText="1"/>
    </xf>
    <xf numFmtId="3" fontId="11" fillId="0" borderId="0" xfId="0" applyNumberFormat="1" applyFont="1" applyAlignment="1">
      <alignment horizontal="center" vertical="center" wrapText="1"/>
    </xf>
    <xf numFmtId="3" fontId="9" fillId="0" borderId="9" xfId="0" applyNumberFormat="1" applyFont="1" applyBorder="1" applyAlignment="1">
      <alignment horizontal="right" vertical="center" wrapText="1"/>
    </xf>
    <xf numFmtId="3"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5" fillId="0" borderId="0" xfId="0" applyFont="1" applyAlignment="1">
      <alignment horizontal="left" vertical="center" wrapText="1"/>
    </xf>
    <xf numFmtId="0" fontId="5" fillId="0" borderId="0" xfId="0" quotePrefix="1" applyFont="1" applyAlignment="1">
      <alignment horizontal="left" vertical="center" wrapText="1"/>
    </xf>
    <xf numFmtId="0" fontId="7" fillId="0" borderId="0" xfId="0" applyFont="1" applyAlignment="1">
      <alignment horizontal="left" vertical="center" wrapText="1"/>
    </xf>
    <xf numFmtId="0" fontId="9" fillId="0" borderId="0" xfId="0" applyFont="1" applyAlignment="1">
      <alignment horizontal="left"/>
    </xf>
    <xf numFmtId="0" fontId="7" fillId="0" borderId="21" xfId="0" applyFont="1" applyBorder="1" applyAlignment="1">
      <alignment horizontal="center" vertical="center" wrapText="1"/>
    </xf>
    <xf numFmtId="0" fontId="63" fillId="0" borderId="0" xfId="0" applyFont="1" applyAlignment="1">
      <alignment horizontal="center" vertical="center"/>
    </xf>
    <xf numFmtId="168" fontId="4" fillId="0" borderId="0" xfId="0" applyNumberFormat="1" applyFont="1" applyAlignment="1">
      <alignment horizontal="right" vertical="center" wrapText="1"/>
    </xf>
    <xf numFmtId="49" fontId="7" fillId="0" borderId="0" xfId="0" applyNumberFormat="1" applyFont="1" applyAlignment="1">
      <alignment horizontal="left" vertical="center"/>
    </xf>
    <xf numFmtId="168" fontId="7" fillId="0" borderId="3" xfId="0" applyNumberFormat="1" applyFont="1" applyBorder="1" applyAlignment="1">
      <alignment horizontal="center" vertical="center" wrapText="1"/>
    </xf>
    <xf numFmtId="168" fontId="7" fillId="0" borderId="5" xfId="0" applyNumberFormat="1" applyFont="1" applyBorder="1" applyAlignment="1">
      <alignment horizontal="center" vertical="center" wrapText="1"/>
    </xf>
    <xf numFmtId="0" fontId="9" fillId="0" borderId="0" xfId="0" applyFont="1" applyAlignment="1">
      <alignment horizontal="left" vertical="center" wrapText="1"/>
    </xf>
    <xf numFmtId="3" fontId="5" fillId="0" borderId="4" xfId="0" applyNumberFormat="1" applyFont="1" applyBorder="1" applyAlignment="1">
      <alignment horizontal="center" vertical="center" wrapText="1"/>
    </xf>
    <xf numFmtId="0" fontId="7" fillId="0" borderId="0" xfId="0" quotePrefix="1" applyFont="1" applyAlignment="1">
      <alignment horizontal="left" vertical="center" wrapText="1"/>
    </xf>
    <xf numFmtId="168" fontId="4" fillId="0" borderId="0" xfId="0" applyNumberFormat="1" applyFont="1" applyAlignment="1">
      <alignment horizontal="left" vertical="center" wrapText="1"/>
    </xf>
    <xf numFmtId="168" fontId="7" fillId="0" borderId="0" xfId="0" applyNumberFormat="1" applyFont="1" applyAlignment="1">
      <alignment horizontal="center" vertical="center" wrapText="1"/>
    </xf>
    <xf numFmtId="168" fontId="7" fillId="0" borderId="1" xfId="0" applyNumberFormat="1" applyFont="1" applyBorder="1" applyAlignment="1">
      <alignment horizontal="center" vertical="center" wrapText="1"/>
    </xf>
    <xf numFmtId="168" fontId="7" fillId="0" borderId="13" xfId="0" applyNumberFormat="1" applyFont="1" applyBorder="1" applyAlignment="1">
      <alignment horizontal="center" vertical="center" wrapText="1"/>
    </xf>
    <xf numFmtId="168" fontId="7" fillId="0" borderId="14" xfId="0" applyNumberFormat="1" applyFont="1" applyBorder="1" applyAlignment="1">
      <alignment horizontal="center" vertical="center" wrapText="1"/>
    </xf>
    <xf numFmtId="168" fontId="9" fillId="0" borderId="0" xfId="0" applyNumberFormat="1" applyFont="1" applyAlignment="1">
      <alignment horizontal="right" vertical="center" wrapText="1"/>
    </xf>
    <xf numFmtId="168" fontId="7" fillId="0" borderId="21" xfId="0" applyNumberFormat="1" applyFont="1" applyBorder="1" applyAlignment="1">
      <alignment horizontal="center" vertical="center" wrapText="1"/>
    </xf>
    <xf numFmtId="168" fontId="9" fillId="0" borderId="0" xfId="0" applyNumberFormat="1" applyFont="1" applyAlignment="1">
      <alignment horizontal="center" vertical="center" wrapText="1"/>
    </xf>
    <xf numFmtId="168" fontId="5" fillId="0" borderId="0" xfId="0" quotePrefix="1" applyNumberFormat="1" applyFont="1" applyAlignment="1">
      <alignment horizontal="left" vertical="center" wrapText="1"/>
    </xf>
    <xf numFmtId="168" fontId="5" fillId="0" borderId="0" xfId="0" applyNumberFormat="1" applyFont="1" applyAlignment="1">
      <alignment horizontal="left" vertical="center" wrapText="1"/>
    </xf>
    <xf numFmtId="49" fontId="7" fillId="0" borderId="0" xfId="0" quotePrefix="1" applyNumberFormat="1" applyFont="1" applyAlignment="1">
      <alignment horizontal="left" vertical="center" wrapText="1"/>
    </xf>
    <xf numFmtId="49" fontId="7" fillId="0" borderId="0" xfId="0" quotePrefix="1" applyNumberFormat="1" applyFont="1" applyAlignment="1">
      <alignment horizontal="center" vertical="center" wrapText="1"/>
    </xf>
    <xf numFmtId="168" fontId="26" fillId="5" borderId="0" xfId="0" applyNumberFormat="1" applyFont="1" applyFill="1" applyAlignment="1">
      <alignment horizontal="center" vertical="center" wrapText="1"/>
    </xf>
    <xf numFmtId="168" fontId="26" fillId="5" borderId="0" xfId="0" applyNumberFormat="1" applyFont="1" applyFill="1" applyAlignment="1">
      <alignment horizontal="right" vertical="center" wrapText="1"/>
    </xf>
    <xf numFmtId="168" fontId="37" fillId="5" borderId="0" xfId="0" applyNumberFormat="1" applyFont="1" applyFill="1" applyAlignment="1">
      <alignment horizontal="center" vertical="center" wrapText="1"/>
    </xf>
    <xf numFmtId="0" fontId="5" fillId="0" borderId="0" xfId="0" applyFont="1" applyAlignment="1">
      <alignment vertical="center" wrapText="1"/>
    </xf>
    <xf numFmtId="0" fontId="24" fillId="5" borderId="0" xfId="0" applyFont="1" applyFill="1" applyAlignment="1">
      <alignment vertical="center" wrapText="1"/>
    </xf>
    <xf numFmtId="0" fontId="25" fillId="5" borderId="0" xfId="0" applyFont="1" applyFill="1" applyAlignment="1">
      <alignment horizontal="left" vertical="center" wrapText="1"/>
    </xf>
    <xf numFmtId="0" fontId="24" fillId="5" borderId="0" xfId="0" applyFont="1" applyFill="1" applyAlignment="1">
      <alignment horizontal="left"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3" fontId="4" fillId="0" borderId="0" xfId="0" applyNumberFormat="1" applyFont="1" applyAlignment="1">
      <alignment horizontal="right" vertical="center"/>
    </xf>
    <xf numFmtId="3" fontId="26" fillId="4" borderId="0" xfId="0" applyNumberFormat="1" applyFont="1" applyFill="1" applyAlignment="1">
      <alignment horizontal="right" vertical="center"/>
    </xf>
    <xf numFmtId="0" fontId="37" fillId="4" borderId="0" xfId="0" applyFont="1" applyFill="1" applyAlignment="1">
      <alignment horizontal="center" vertical="center" wrapText="1"/>
    </xf>
    <xf numFmtId="0" fontId="9" fillId="0" borderId="0" xfId="0" applyFont="1" applyAlignment="1">
      <alignment horizontal="right" vertical="center"/>
    </xf>
    <xf numFmtId="0" fontId="26" fillId="4" borderId="0" xfId="0" applyFont="1" applyFill="1" applyAlignment="1">
      <alignment horizontal="right" vertical="center"/>
    </xf>
    <xf numFmtId="0" fontId="24" fillId="4" borderId="0" xfId="0" applyFont="1" applyFill="1" applyAlignment="1">
      <alignment horizontal="center" vertical="center" wrapText="1"/>
    </xf>
    <xf numFmtId="0" fontId="7" fillId="0" borderId="0" xfId="0" applyFont="1" applyAlignment="1">
      <alignment horizontal="left" vertical="center"/>
    </xf>
    <xf numFmtId="0" fontId="7" fillId="0" borderId="1" xfId="0" applyFont="1" applyBorder="1" applyAlignment="1">
      <alignment horizontal="center" vertical="center"/>
    </xf>
    <xf numFmtId="0" fontId="27" fillId="0" borderId="0" xfId="0" applyFont="1" applyAlignment="1">
      <alignment horizontal="left" vertical="center" wrapText="1"/>
    </xf>
    <xf numFmtId="0" fontId="9" fillId="4" borderId="0" xfId="0" applyFont="1" applyFill="1" applyAlignment="1">
      <alignment horizontal="right" vertical="center"/>
    </xf>
    <xf numFmtId="3" fontId="4" fillId="4" borderId="0" xfId="0" applyNumberFormat="1" applyFont="1" applyFill="1" applyAlignment="1">
      <alignment horizontal="right" vertical="center"/>
    </xf>
    <xf numFmtId="168" fontId="37" fillId="4" borderId="0" xfId="0" applyNumberFormat="1" applyFont="1" applyFill="1" applyAlignment="1">
      <alignment horizontal="center" vertical="center" wrapText="1"/>
    </xf>
    <xf numFmtId="168" fontId="26" fillId="4" borderId="0" xfId="0" applyNumberFormat="1" applyFont="1" applyFill="1" applyAlignment="1">
      <alignment horizontal="right" vertical="center" wrapText="1"/>
    </xf>
    <xf numFmtId="168" fontId="24" fillId="4" borderId="0" xfId="0" applyNumberFormat="1" applyFont="1" applyFill="1" applyAlignment="1">
      <alignment horizontal="center" vertical="center" wrapText="1"/>
    </xf>
    <xf numFmtId="49" fontId="24" fillId="4" borderId="0" xfId="0" applyNumberFormat="1" applyFont="1" applyFill="1" applyAlignment="1">
      <alignment vertical="center" wrapText="1"/>
    </xf>
    <xf numFmtId="49" fontId="25" fillId="4" borderId="0" xfId="0" applyNumberFormat="1" applyFont="1" applyFill="1" applyAlignment="1">
      <alignment horizontal="left" vertical="center" wrapText="1"/>
    </xf>
    <xf numFmtId="49" fontId="5" fillId="0" borderId="0" xfId="0" applyNumberFormat="1" applyFont="1" applyAlignment="1">
      <alignment horizontal="center" wrapText="1"/>
    </xf>
    <xf numFmtId="181" fontId="7" fillId="0" borderId="1" xfId="0" applyNumberFormat="1" applyFont="1" applyBorder="1" applyAlignment="1">
      <alignment horizontal="center" vertical="center" wrapText="1"/>
    </xf>
    <xf numFmtId="181" fontId="4" fillId="0" borderId="0" xfId="0" applyNumberFormat="1" applyFont="1" applyAlignment="1">
      <alignment horizontal="right" vertical="center" wrapText="1"/>
    </xf>
    <xf numFmtId="181" fontId="9" fillId="0" borderId="0" xfId="0" applyNumberFormat="1" applyFont="1" applyAlignment="1">
      <alignment horizontal="right" vertical="center" wrapText="1"/>
    </xf>
    <xf numFmtId="168" fontId="11" fillId="0" borderId="0" xfId="0" applyNumberFormat="1" applyFont="1" applyAlignment="1">
      <alignment horizontal="center" vertical="center" wrapText="1"/>
    </xf>
    <xf numFmtId="168" fontId="26" fillId="0" borderId="0" xfId="0" applyNumberFormat="1" applyFont="1" applyAlignment="1">
      <alignment horizontal="center" vertical="center" wrapText="1"/>
    </xf>
    <xf numFmtId="49" fontId="25" fillId="4" borderId="0" xfId="0" applyNumberFormat="1" applyFont="1" applyFill="1" applyAlignment="1">
      <alignment horizontal="center" vertical="center"/>
    </xf>
    <xf numFmtId="168" fontId="4" fillId="2" borderId="0" xfId="0" applyNumberFormat="1" applyFont="1" applyFill="1" applyAlignment="1">
      <alignment horizontal="left" vertical="center" wrapText="1"/>
    </xf>
    <xf numFmtId="168" fontId="4" fillId="2" borderId="0" xfId="0" applyNumberFormat="1" applyFont="1" applyFill="1" applyAlignment="1">
      <alignment horizontal="right" vertical="center" wrapText="1"/>
    </xf>
    <xf numFmtId="168" fontId="11" fillId="3" borderId="0" xfId="0" applyNumberFormat="1" applyFont="1" applyFill="1" applyAlignment="1">
      <alignment horizontal="center" vertical="center" wrapText="1"/>
    </xf>
    <xf numFmtId="2" fontId="5" fillId="3" borderId="0" xfId="0" applyNumberFormat="1" applyFont="1" applyFill="1" applyAlignment="1">
      <alignment vertical="center" wrapText="1"/>
    </xf>
    <xf numFmtId="168" fontId="7" fillId="0" borderId="0" xfId="0" applyNumberFormat="1" applyFont="1" applyAlignment="1">
      <alignment horizontal="left" vertical="center" wrapText="1"/>
    </xf>
    <xf numFmtId="168" fontId="7" fillId="3" borderId="0" xfId="0" applyNumberFormat="1" applyFont="1" applyFill="1" applyAlignment="1">
      <alignment horizontal="left" vertical="center" wrapText="1"/>
    </xf>
    <xf numFmtId="168" fontId="5" fillId="3" borderId="0" xfId="0" applyNumberFormat="1" applyFont="1" applyFill="1" applyAlignment="1">
      <alignment horizontal="left" vertical="center" wrapText="1"/>
    </xf>
    <xf numFmtId="168" fontId="9" fillId="3" borderId="0" xfId="0" applyNumberFormat="1" applyFont="1" applyFill="1" applyAlignment="1">
      <alignment horizontal="center" vertical="center" wrapText="1"/>
    </xf>
    <xf numFmtId="168" fontId="7" fillId="0" borderId="83" xfId="0" applyNumberFormat="1" applyFont="1" applyBorder="1" applyAlignment="1">
      <alignment horizontal="center" vertical="center" wrapText="1"/>
    </xf>
    <xf numFmtId="168" fontId="7" fillId="0" borderId="82" xfId="0" applyNumberFormat="1" applyFont="1" applyBorder="1" applyAlignment="1">
      <alignment horizontal="center" vertical="center" wrapText="1"/>
    </xf>
    <xf numFmtId="0" fontId="5" fillId="0" borderId="0" xfId="0" applyFont="1" applyAlignment="1">
      <alignment horizontal="left" wrapText="1"/>
    </xf>
    <xf numFmtId="0" fontId="2" fillId="0" borderId="0" xfId="0" applyFont="1" applyAlignment="1">
      <alignment horizontal="center" wrapText="1"/>
    </xf>
    <xf numFmtId="0" fontId="24" fillId="0" borderId="0" xfId="0" applyFont="1" applyAlignment="1">
      <alignment horizontal="center" vertical="center" wrapText="1"/>
    </xf>
    <xf numFmtId="49" fontId="5" fillId="0" borderId="0" xfId="0" applyNumberFormat="1" applyFont="1" applyAlignment="1">
      <alignment horizontal="left" wrapText="1"/>
    </xf>
    <xf numFmtId="168" fontId="5" fillId="0" borderId="0" xfId="0" applyNumberFormat="1" applyFont="1" applyAlignment="1">
      <alignment horizontal="left" wrapText="1"/>
    </xf>
    <xf numFmtId="168" fontId="7" fillId="0" borderId="2" xfId="0" applyNumberFormat="1" applyFont="1" applyBorder="1" applyAlignment="1">
      <alignment horizontal="center" vertical="center" wrapText="1"/>
    </xf>
    <xf numFmtId="168" fontId="7" fillId="0" borderId="6" xfId="0" applyNumberFormat="1" applyFont="1" applyBorder="1" applyAlignment="1">
      <alignment horizontal="center" vertical="center" wrapText="1"/>
    </xf>
    <xf numFmtId="168" fontId="4" fillId="0" borderId="0" xfId="0" applyNumberFormat="1" applyFont="1" applyAlignment="1">
      <alignment horizontal="right" wrapText="1"/>
    </xf>
    <xf numFmtId="0" fontId="4" fillId="2" borderId="0" xfId="0" applyFont="1" applyFill="1" applyAlignment="1">
      <alignment horizontal="center" vertical="center" wrapText="1"/>
    </xf>
    <xf numFmtId="168" fontId="11" fillId="2" borderId="0" xfId="0" applyNumberFormat="1" applyFont="1" applyFill="1" applyAlignment="1">
      <alignment horizontal="center" vertical="center" wrapText="1"/>
    </xf>
    <xf numFmtId="168" fontId="9" fillId="2" borderId="0" xfId="0" applyNumberFormat="1" applyFont="1" applyFill="1" applyAlignment="1">
      <alignment horizontal="right" vertical="center" wrapText="1"/>
    </xf>
    <xf numFmtId="168" fontId="7" fillId="2" borderId="3" xfId="0" applyNumberFormat="1" applyFont="1" applyFill="1" applyBorder="1" applyAlignment="1">
      <alignment horizontal="center" vertical="center" wrapText="1"/>
    </xf>
    <xf numFmtId="168" fontId="7" fillId="2" borderId="5" xfId="0" applyNumberFormat="1" applyFont="1" applyFill="1" applyBorder="1" applyAlignment="1">
      <alignment horizontal="center" vertical="center" wrapText="1"/>
    </xf>
    <xf numFmtId="168" fontId="24" fillId="2" borderId="0" xfId="0" applyNumberFormat="1" applyFont="1" applyFill="1" applyAlignment="1">
      <alignment horizontal="center" vertical="center" wrapText="1"/>
    </xf>
    <xf numFmtId="168" fontId="25" fillId="0" borderId="0" xfId="0" applyNumberFormat="1" applyFont="1" applyAlignment="1">
      <alignment horizontal="center" wrapText="1"/>
    </xf>
    <xf numFmtId="168" fontId="7" fillId="2" borderId="0" xfId="0" applyNumberFormat="1" applyFont="1" applyFill="1" applyAlignment="1">
      <alignment horizontal="center" wrapText="1"/>
    </xf>
    <xf numFmtId="168" fontId="24" fillId="0" borderId="0" xfId="0" applyNumberFormat="1" applyFont="1" applyAlignment="1">
      <alignment horizontal="center" wrapText="1"/>
    </xf>
    <xf numFmtId="168" fontId="5" fillId="2" borderId="0" xfId="0" applyNumberFormat="1" applyFont="1" applyFill="1" applyAlignment="1">
      <alignment horizontal="center" wrapText="1"/>
    </xf>
    <xf numFmtId="49" fontId="24" fillId="2" borderId="0" xfId="0" applyNumberFormat="1" applyFont="1" applyFill="1" applyAlignment="1">
      <alignment horizontal="left" vertical="center" wrapText="1"/>
    </xf>
    <xf numFmtId="49" fontId="6" fillId="2" borderId="0" xfId="0" applyNumberFormat="1" applyFont="1" applyFill="1" applyAlignment="1">
      <alignment horizontal="left" vertical="center" wrapText="1"/>
    </xf>
    <xf numFmtId="0" fontId="9" fillId="4" borderId="0" xfId="0" applyFont="1" applyFill="1" applyAlignment="1">
      <alignment horizontal="center" vertical="center" wrapText="1"/>
    </xf>
    <xf numFmtId="49" fontId="5" fillId="4" borderId="0" xfId="0" applyNumberFormat="1" applyFont="1" applyFill="1" applyAlignment="1">
      <alignment horizontal="left" vertical="center" wrapText="1"/>
    </xf>
    <xf numFmtId="0" fontId="4" fillId="4" borderId="0" xfId="0" applyFont="1" applyFill="1" applyAlignment="1">
      <alignment horizontal="left" vertical="center" wrapText="1"/>
    </xf>
    <xf numFmtId="0" fontId="9" fillId="4" borderId="0" xfId="0" applyFont="1" applyFill="1" applyAlignment="1">
      <alignment horizontal="right" vertical="center" wrapText="1"/>
    </xf>
    <xf numFmtId="0" fontId="4" fillId="4" borderId="0" xfId="0" applyFont="1" applyFill="1" applyAlignment="1">
      <alignment horizontal="right" vertical="center" wrapText="1"/>
    </xf>
    <xf numFmtId="0" fontId="24" fillId="0" borderId="0" xfId="0" applyFont="1" applyAlignment="1">
      <alignment horizontal="center" wrapText="1"/>
    </xf>
    <xf numFmtId="0" fontId="25" fillId="4" borderId="0" xfId="0" applyFont="1" applyFill="1" applyAlignment="1">
      <alignment horizontal="center" vertical="center"/>
    </xf>
    <xf numFmtId="0" fontId="9" fillId="0" borderId="9" xfId="0" applyFont="1" applyBorder="1" applyAlignment="1">
      <alignment horizontal="right" vertical="center" wrapText="1"/>
    </xf>
    <xf numFmtId="0" fontId="26" fillId="5" borderId="9" xfId="0" applyFont="1" applyFill="1" applyBorder="1" applyAlignment="1">
      <alignment horizontal="right" vertical="center" wrapText="1"/>
    </xf>
    <xf numFmtId="0" fontId="25" fillId="5" borderId="0" xfId="0" applyFont="1" applyFill="1" applyAlignment="1">
      <alignment horizontal="center" vertical="center" wrapText="1"/>
    </xf>
    <xf numFmtId="0" fontId="38" fillId="5" borderId="0" xfId="0" applyFont="1" applyFill="1" applyAlignment="1">
      <alignment horizontal="right" vertical="center" wrapText="1"/>
    </xf>
    <xf numFmtId="1" fontId="5" fillId="0" borderId="0" xfId="0" quotePrefix="1" applyNumberFormat="1" applyFont="1" applyAlignment="1">
      <alignment horizontal="left" vertical="center" wrapText="1"/>
    </xf>
    <xf numFmtId="1" fontId="5" fillId="0" borderId="0" xfId="0" applyNumberFormat="1" applyFont="1" applyAlignment="1">
      <alignment horizontal="left" vertical="center" wrapText="1"/>
    </xf>
    <xf numFmtId="1" fontId="7" fillId="4" borderId="0" xfId="0" applyNumberFormat="1" applyFont="1" applyFill="1" applyAlignment="1">
      <alignment horizontal="left" wrapText="1"/>
    </xf>
    <xf numFmtId="1" fontId="5" fillId="4" borderId="0" xfId="0" applyNumberFormat="1" applyFont="1" applyFill="1" applyAlignment="1">
      <alignment horizontal="left" wrapText="1"/>
    </xf>
    <xf numFmtId="168" fontId="11" fillId="4" borderId="0" xfId="0" applyNumberFormat="1" applyFont="1" applyFill="1" applyAlignment="1">
      <alignment horizontal="center" vertical="center" wrapText="1"/>
    </xf>
    <xf numFmtId="168" fontId="9" fillId="0" borderId="9" xfId="0" applyNumberFormat="1" applyFont="1" applyBorder="1" applyAlignment="1">
      <alignment horizontal="right" vertical="center" wrapText="1"/>
    </xf>
    <xf numFmtId="168" fontId="9" fillId="4" borderId="9" xfId="0" applyNumberFormat="1" applyFont="1" applyFill="1" applyBorder="1" applyAlignment="1">
      <alignment horizontal="center" vertical="center" wrapText="1"/>
    </xf>
    <xf numFmtId="168" fontId="4" fillId="4" borderId="0" xfId="0" applyNumberFormat="1" applyFont="1" applyFill="1" applyAlignment="1">
      <alignment horizontal="center" vertical="center" wrapText="1"/>
    </xf>
    <xf numFmtId="168" fontId="5" fillId="0" borderId="4" xfId="0" applyNumberFormat="1" applyFont="1" applyBorder="1" applyAlignment="1">
      <alignment horizontal="center" vertical="center" wrapText="1"/>
    </xf>
    <xf numFmtId="0" fontId="11" fillId="4" borderId="0" xfId="0" applyFont="1" applyFill="1" applyAlignment="1">
      <alignment horizontal="center" wrapText="1"/>
    </xf>
    <xf numFmtId="0" fontId="11" fillId="4" borderId="0" xfId="0" applyFont="1" applyFill="1" applyAlignment="1">
      <alignment horizontal="center"/>
    </xf>
    <xf numFmtId="0" fontId="11" fillId="4" borderId="0" xfId="0" applyFont="1" applyFill="1" applyAlignment="1">
      <alignment horizontal="center" vertical="center" wrapText="1"/>
    </xf>
    <xf numFmtId="168" fontId="6" fillId="5" borderId="1" xfId="0" applyNumberFormat="1" applyFont="1" applyFill="1" applyBorder="1" applyAlignment="1">
      <alignment horizontal="center" vertical="center" wrapText="1"/>
    </xf>
    <xf numFmtId="0" fontId="7" fillId="2" borderId="0" xfId="0" applyFont="1" applyFill="1" applyAlignment="1">
      <alignment horizontal="left" vertical="center"/>
    </xf>
    <xf numFmtId="0" fontId="7" fillId="4" borderId="0" xfId="0" applyFont="1" applyFill="1" applyAlignment="1">
      <alignment horizontal="left" vertical="center"/>
    </xf>
    <xf numFmtId="1" fontId="24" fillId="0" borderId="0" xfId="0" applyNumberFormat="1" applyFont="1" applyAlignment="1">
      <alignment horizontal="left" vertical="center" wrapText="1"/>
    </xf>
    <xf numFmtId="1" fontId="2" fillId="2" borderId="0" xfId="0" applyNumberFormat="1" applyFont="1" applyFill="1" applyAlignment="1">
      <alignment horizontal="left" wrapText="1"/>
    </xf>
    <xf numFmtId="1" fontId="2" fillId="0" borderId="0" xfId="0" applyNumberFormat="1" applyFont="1" applyAlignment="1">
      <alignment horizontal="left" wrapText="1"/>
    </xf>
    <xf numFmtId="168" fontId="8" fillId="2" borderId="0" xfId="0" applyNumberFormat="1" applyFont="1" applyFill="1" applyAlignment="1">
      <alignment horizontal="right" vertical="center" wrapText="1"/>
    </xf>
    <xf numFmtId="168" fontId="8" fillId="0" borderId="0" xfId="0" applyNumberFormat="1" applyFont="1" applyAlignment="1">
      <alignment horizontal="right" vertical="center" wrapText="1"/>
    </xf>
    <xf numFmtId="168" fontId="3" fillId="2" borderId="0" xfId="0" applyNumberFormat="1" applyFont="1" applyFill="1" applyAlignment="1">
      <alignment horizontal="center" vertical="center" wrapText="1"/>
    </xf>
    <xf numFmtId="168" fontId="3" fillId="0" borderId="0" xfId="0" applyNumberFormat="1" applyFont="1" applyAlignment="1">
      <alignment horizontal="center" vertical="center" wrapText="1"/>
    </xf>
    <xf numFmtId="168" fontId="7" fillId="2" borderId="11" xfId="0" applyNumberFormat="1" applyFont="1" applyFill="1" applyBorder="1" applyAlignment="1">
      <alignment horizontal="center" wrapText="1"/>
    </xf>
    <xf numFmtId="0" fontId="64" fillId="0" borderId="0" xfId="0" applyFont="1" applyAlignment="1">
      <alignment horizontal="center" vertical="center"/>
    </xf>
    <xf numFmtId="0" fontId="64" fillId="0" borderId="32" xfId="0" applyFont="1" applyBorder="1" applyAlignment="1">
      <alignment horizontal="right" vertical="center"/>
    </xf>
    <xf numFmtId="49" fontId="6" fillId="0" borderId="29" xfId="0" applyNumberFormat="1" applyFont="1" applyBorder="1" applyAlignment="1">
      <alignment horizontal="center" vertical="center" wrapText="1"/>
    </xf>
    <xf numFmtId="49" fontId="6" fillId="0" borderId="89" xfId="0" applyNumberFormat="1" applyFont="1" applyBorder="1" applyAlignment="1">
      <alignment horizontal="center" vertical="center" wrapText="1"/>
    </xf>
    <xf numFmtId="49" fontId="6" fillId="0" borderId="51" xfId="0" applyNumberFormat="1" applyFont="1" applyBorder="1" applyAlignment="1">
      <alignment horizontal="center" vertical="center" wrapText="1"/>
    </xf>
    <xf numFmtId="49" fontId="6" fillId="0" borderId="82" xfId="0" applyNumberFormat="1" applyFont="1" applyBorder="1" applyAlignment="1">
      <alignment horizontal="center" vertical="center" wrapText="1"/>
    </xf>
    <xf numFmtId="0" fontId="6" fillId="0" borderId="29" xfId="0" applyFont="1" applyBorder="1" applyAlignment="1">
      <alignment horizontal="center" vertical="center" wrapText="1"/>
    </xf>
    <xf numFmtId="49" fontId="14" fillId="0" borderId="0" xfId="0" quotePrefix="1" applyNumberFormat="1" applyFont="1" applyAlignment="1">
      <alignment horizontal="left" vertical="center" wrapText="1"/>
    </xf>
    <xf numFmtId="0" fontId="390" fillId="0" borderId="0" xfId="0" applyFont="1" applyAlignment="1">
      <alignment horizontal="right"/>
    </xf>
    <xf numFmtId="0" fontId="64" fillId="0" borderId="0" xfId="20" applyNumberFormat="1" applyFont="1" applyFill="1" applyBorder="1" applyAlignment="1">
      <alignment horizontal="center" vertical="center" wrapText="1"/>
    </xf>
    <xf numFmtId="49" fontId="388"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49" fontId="7" fillId="0" borderId="29" xfId="0" applyNumberFormat="1" applyFont="1" applyBorder="1" applyAlignment="1">
      <alignment horizontal="center" vertical="center" wrapText="1"/>
    </xf>
    <xf numFmtId="0" fontId="10" fillId="0" borderId="0" xfId="0" applyFont="1" applyAlignment="1">
      <alignment horizontal="right"/>
    </xf>
    <xf numFmtId="0" fontId="372" fillId="0" borderId="0" xfId="0" applyFont="1" applyAlignment="1">
      <alignment horizontal="center" vertical="center"/>
    </xf>
    <xf numFmtId="0" fontId="372" fillId="0" borderId="32" xfId="0" applyFont="1" applyBorder="1" applyAlignment="1">
      <alignment horizontal="right"/>
    </xf>
    <xf numFmtId="0" fontId="7" fillId="0" borderId="29" xfId="0" applyFont="1" applyBorder="1" applyAlignment="1">
      <alignment horizontal="center" vertical="center"/>
    </xf>
    <xf numFmtId="0" fontId="11" fillId="0" borderId="88" xfId="0" applyFont="1" applyBorder="1" applyAlignment="1">
      <alignment horizontal="center" vertical="center"/>
    </xf>
    <xf numFmtId="0" fontId="11" fillId="0" borderId="82" xfId="0" applyFont="1" applyBorder="1" applyAlignment="1">
      <alignment horizontal="center" vertical="center"/>
    </xf>
    <xf numFmtId="0" fontId="3" fillId="0" borderId="0" xfId="0" applyFont="1" applyAlignment="1">
      <alignment horizontal="center"/>
    </xf>
    <xf numFmtId="238" fontId="389" fillId="0" borderId="0" xfId="0" applyNumberFormat="1" applyFont="1" applyAlignment="1">
      <alignment horizontal="center" vertical="center" wrapText="1"/>
    </xf>
    <xf numFmtId="0" fontId="372" fillId="0" borderId="0" xfId="0" applyFont="1" applyAlignment="1">
      <alignment horizontal="center" vertical="top"/>
    </xf>
    <xf numFmtId="0" fontId="14" fillId="0" borderId="0" xfId="0" applyFont="1" applyAlignment="1">
      <alignment horizontal="center" vertical="top"/>
    </xf>
    <xf numFmtId="0" fontId="14" fillId="0" borderId="88" xfId="0" applyFont="1" applyBorder="1" applyAlignment="1">
      <alignment horizontal="center" vertical="center"/>
    </xf>
    <xf numFmtId="0" fontId="14" fillId="0" borderId="82" xfId="0" applyFont="1" applyBorder="1" applyAlignment="1">
      <alignment horizontal="center" vertical="center"/>
    </xf>
    <xf numFmtId="0" fontId="11" fillId="0" borderId="88" xfId="0" applyFont="1" applyBorder="1" applyAlignment="1">
      <alignment horizontal="center" vertical="center" wrapText="1"/>
    </xf>
    <xf numFmtId="0" fontId="11" fillId="0" borderId="82" xfId="0" applyFont="1" applyBorder="1" applyAlignment="1">
      <alignment horizontal="center" vertical="center" wrapText="1"/>
    </xf>
  </cellXfs>
  <cellStyles count="11005">
    <cellStyle name="_x0001_" xfId="21"/>
    <cellStyle name="          _x000d__x000a_shell=progman.exe_x000d__x000a_m" xfId="22"/>
    <cellStyle name="          _x000d__x000a_shell=progman.exe_x000d__x000a_m 2" xfId="23"/>
    <cellStyle name="          _x000d__x000a_shell=progman.exe_x000d__x000a_m 2 2" xfId="24"/>
    <cellStyle name="_x0001_ 2" xfId="25"/>
    <cellStyle name="_x000d__x000a_JournalTemplate=C:\COMFO\CTALK\JOURSTD.TPL_x000d__x000a_LbStateAddress=3 3 0 251 1 89 2 311_x000d__x000a_LbStateJou" xfId="26"/>
    <cellStyle name="_x000d__x000a_JournalTemplate=C:\COMFO\CTALK\JOURSTD.TPL_x000d__x000a_LbStateAddress=3 3 0 251 1 89 2 311_x000d__x000a_LbStateJou 2" xfId="27"/>
    <cellStyle name="# ##0" xfId="28"/>
    <cellStyle name="#,##0" xfId="29"/>
    <cellStyle name="#,##0 2" xfId="30"/>
    <cellStyle name="%" xfId="31"/>
    <cellStyle name="% 2" xfId="32"/>
    <cellStyle name="." xfId="33"/>
    <cellStyle name=". 2" xfId="34"/>
    <cellStyle name=". 3" xfId="35"/>
    <cellStyle name=".d©y" xfId="36"/>
    <cellStyle name=".d©y 2" xfId="37"/>
    <cellStyle name=".d©y 3" xfId="38"/>
    <cellStyle name="??" xfId="39"/>
    <cellStyle name="?? [0.00]_ Att. 1- Cover" xfId="40"/>
    <cellStyle name="?? [0]" xfId="41"/>
    <cellStyle name="?? [0] 2" xfId="42"/>
    <cellStyle name="?? [0] 3" xfId="43"/>
    <cellStyle name="?? [0] 4" xfId="44"/>
    <cellStyle name="?? 10" xfId="45"/>
    <cellStyle name="?? 11" xfId="46"/>
    <cellStyle name="?? 12" xfId="47"/>
    <cellStyle name="?? 13" xfId="48"/>
    <cellStyle name="?? 14" xfId="49"/>
    <cellStyle name="?? 15" xfId="50"/>
    <cellStyle name="?? 16" xfId="51"/>
    <cellStyle name="?? 17" xfId="52"/>
    <cellStyle name="?? 18" xfId="53"/>
    <cellStyle name="?? 19" xfId="54"/>
    <cellStyle name="?? 2" xfId="55"/>
    <cellStyle name="?? 20" xfId="56"/>
    <cellStyle name="?? 21" xfId="57"/>
    <cellStyle name="?? 22" xfId="58"/>
    <cellStyle name="?? 23" xfId="59"/>
    <cellStyle name="?? 24" xfId="60"/>
    <cellStyle name="?? 25" xfId="61"/>
    <cellStyle name="?? 26" xfId="62"/>
    <cellStyle name="?? 27" xfId="63"/>
    <cellStyle name="?? 28" xfId="64"/>
    <cellStyle name="?? 29" xfId="65"/>
    <cellStyle name="?? 3" xfId="66"/>
    <cellStyle name="?? 30" xfId="67"/>
    <cellStyle name="?? 31" xfId="68"/>
    <cellStyle name="?? 32" xfId="69"/>
    <cellStyle name="?? 33" xfId="70"/>
    <cellStyle name="?? 34" xfId="71"/>
    <cellStyle name="?? 35" xfId="72"/>
    <cellStyle name="?? 36" xfId="73"/>
    <cellStyle name="?? 37" xfId="74"/>
    <cellStyle name="?? 38" xfId="75"/>
    <cellStyle name="?? 39" xfId="76"/>
    <cellStyle name="?? 4" xfId="77"/>
    <cellStyle name="?? 40" xfId="78"/>
    <cellStyle name="?? 41" xfId="79"/>
    <cellStyle name="?? 42" xfId="80"/>
    <cellStyle name="?? 43" xfId="81"/>
    <cellStyle name="?? 44" xfId="82"/>
    <cellStyle name="?? 45" xfId="83"/>
    <cellStyle name="?? 46" xfId="84"/>
    <cellStyle name="?? 47" xfId="85"/>
    <cellStyle name="?? 48" xfId="86"/>
    <cellStyle name="?? 49" xfId="87"/>
    <cellStyle name="?? 5" xfId="88"/>
    <cellStyle name="?? 50" xfId="89"/>
    <cellStyle name="?? 51" xfId="90"/>
    <cellStyle name="?? 52" xfId="91"/>
    <cellStyle name="?? 53" xfId="92"/>
    <cellStyle name="?? 54" xfId="93"/>
    <cellStyle name="?? 55" xfId="94"/>
    <cellStyle name="?? 56" xfId="95"/>
    <cellStyle name="?? 57" xfId="96"/>
    <cellStyle name="?? 58" xfId="97"/>
    <cellStyle name="?? 6" xfId="98"/>
    <cellStyle name="?? 7" xfId="99"/>
    <cellStyle name="?? 8" xfId="100"/>
    <cellStyle name="?? 9" xfId="101"/>
    <cellStyle name="?_x001d_??%U©÷u&amp;H©÷9_x0008_? s_x000a__x0007__x0001__x0001_" xfId="102"/>
    <cellStyle name="?_x001d_??%U©÷u&amp;H©÷9_x0008_? s_x000a__x0007__x0001__x0001_ 2" xfId="103"/>
    <cellStyle name="?_x001d_??%U©÷u&amp;H©÷9_x0008_? s_x000a__x0007__x0001__x0001_?_x0002_???????????????_x0001_(_x0002_u_x000d_?????_x001f_????????_x0007_????????????????!???????????           ?????           ?????????_x000d_C:\WINDOWS\country.sys_x000d_??????????????????????????????????????????????????????????????????????????????????????????????" xfId="104"/>
    <cellStyle name="?_x001d_??%U©÷u&amp;H©÷9_x0008_? s_x000a__x0007__x0001__x0001_?_x0002_???????????????_x0001_(_x0002_u_x000d_?????_x001f_????????_x0007_????????????????!???????????           ?????           ?????????_x000d_C:\WINDOWS\country.sys_x000d_?????????????????????????????????????????????????????????????????????????????????????????????? 2" xfId="105"/>
    <cellStyle name="?_x001d_??%U©÷u&amp;H©÷9_x0008_?_x0009_s_x000a__x0007__x0001__x0001_" xfId="106"/>
    <cellStyle name="?_x001d_??%U²u&amp;H²9_x0008_? s_x000a__x0007__x0001__x0001_" xfId="107"/>
    <cellStyle name="?_x001d_??%U²u&amp;H²9_x0008_? s_x000a__x0007__x0001__x0001_ 2" xfId="108"/>
    <cellStyle name="???? [0.00]_      " xfId="109"/>
    <cellStyle name="??????" xfId="110"/>
    <cellStyle name="?????? 2" xfId="111"/>
    <cellStyle name="????[0]_Sheet1" xfId="112"/>
    <cellStyle name="????_      " xfId="113"/>
    <cellStyle name="???[0]_?? DI" xfId="114"/>
    <cellStyle name="???_?? DI" xfId="115"/>
    <cellStyle name="??[0]_BRE" xfId="116"/>
    <cellStyle name="??_      " xfId="117"/>
    <cellStyle name="??A? [0]_laroux_1_¸???™? " xfId="118"/>
    <cellStyle name="??A?_laroux_1_¸???™? " xfId="119"/>
    <cellStyle name="?_x005f_x001d_??%U©÷u&amp;H©÷9_x005f_x0008_? s_x005f_x000a__x005f_x0007__x005f_x0001__x005f_x0001_?_x005f_x0002_??????" xfId="120"/>
    <cellStyle name="?_x005f_x001d_??%U©÷u&amp;H©÷9_x005f_x0008_? s_x005f_x000a__x005f_x0007__x005f_x0001__x005f_x0001_?_x005f_x0002_?????? 2" xfId="121"/>
    <cellStyle name="?¡±¢¥?_?¨ù??¢´¢¥_¢¬???¢â? " xfId="122"/>
    <cellStyle name="?”´?_?¼??¤´_¸???™? " xfId="123"/>
    <cellStyle name="?ðÇ%U?&amp;H?_x0008_?s_x000a__x0007__x0001__x0001_" xfId="124"/>
    <cellStyle name="?ðÇ%U?&amp;H?_x0008_?s_x000a__x0007__x0001__x0001_ 2" xfId="125"/>
    <cellStyle name="?ðÇ%U?&amp;H?_x0008_?s_x000a__x0007__x0001__x0001_?_x0002_ÿÿÿÿÿÿÿÿÿÿÿÿÿÿÿ_x0001_(_x0002_?€????ÿÿÿÿ????_x0007_??????????????????????????           ?????           ?????????_x000d_C:\WINDOWS\country.sys_x000d_??????????????????????????????????????????????????????????????????????????????????????????????" xfId="126"/>
    <cellStyle name="?ðÇ%U?&amp;H?_x0008_?s_x000a__x0007__x0001__x0001_?_x0002_ÿÿÿÿÿÿÿÿÿÿÿÿÿÿÿ_x0001_(_x0002_?€????ÿÿÿÿ????_x0007_??????????????????????????           ?????           ?????????_x000d_C:\WINDOWS\country.sys_x000d_?????????????????????????????????????????????????????????????????????????????????????????????? 2" xfId="127"/>
    <cellStyle name="?I?I?_x0001_??j?_x0008_?h_x0001__x000c__x000c__x0002__x0002__x000c_!Comma [0]_Chi phÝ kh¸c_B¶ng 1 (2)?G_x001d_Comma [0]_Chi phÝ kh¸c_B¶ng 2?G$Comma [0]_Ch" xfId="128"/>
    <cellStyle name="?曹%U?&amp;H?_x0008_?s_x000a__x0007__x0001__x0001_" xfId="129"/>
    <cellStyle name="?曹%U?&amp;H?_x0008_?s_x000a__x0007__x0001__x0001_ 2" xfId="130"/>
    <cellStyle name="@ET_Style?.xl99" xfId="131"/>
    <cellStyle name="[0]_Chi phÝ kh¸c_V" xfId="132"/>
    <cellStyle name="_(DT Moi) PTVLMN" xfId="133"/>
    <cellStyle name="_(DT Moi) PTVLMN 2" xfId="134"/>
    <cellStyle name="_(DT Moi) PTVLMN 3" xfId="135"/>
    <cellStyle name="_(DT Moi) PTVLMN_BIEU KE HOACH  2015 (KTN 6.11 sua)" xfId="136"/>
    <cellStyle name="_1 TONG HOP - CA NA" xfId="137"/>
    <cellStyle name="_1 TONG HOP - CA NA 2" xfId="138"/>
    <cellStyle name="_123_DONG_THANH_Moi" xfId="139"/>
    <cellStyle name="_13_Tra loi KH ben ngoai" xfId="140"/>
    <cellStyle name="_13_Tra loi KH ben ngoai 2" xfId="141"/>
    <cellStyle name="_Bang bieu" xfId="142"/>
    <cellStyle name="_Bang bieu 2" xfId="143"/>
    <cellStyle name="_Bang bieu 2 2" xfId="144"/>
    <cellStyle name="_Bang bieu 3" xfId="145"/>
    <cellStyle name="_Bang bieu_BIEU KE HOACH  2015 (KTN 6.11 sua)" xfId="146"/>
    <cellStyle name="_Bang Chi tieu (2)" xfId="147"/>
    <cellStyle name="_Bang Chi tieu (2) 2" xfId="148"/>
    <cellStyle name="_Bang Chi tieu (2)?_x001c_Comma [0]_Chi phÝ kh¸c_Book1?!Comma [0]_Chi phÝ kh¸c_Liªn ChiÓu?b_x001e_Comma [0]_Chi" xfId="149"/>
    <cellStyle name="_Bang Chi tieu (2)?_x001c_Comma [0]_Chi phÝ kh¸c_Book1?!Comma [0]_Chi phÝ kh¸c_Liªn ChiÓu?b_x001e_Comma [0]_Chi 2" xfId="150"/>
    <cellStyle name="_Bang Chi tieu (2)?_x001c_Comma [0]_Chi phÝ kh¸c_Book1?!Comma [0]_Chi phÝ kh¸c_Liªn ChiÓu?b_x001e_Comma [0]_Chi 2 2" xfId="151"/>
    <cellStyle name="_Bang Chi tieu (2)?_x001c_Comma [0]_Chi phÝ kh¸c_Book1?!Comma [0]_Chi phÝ kh¸c_Liªn ChiÓu?b_x001e_Comma [0]_Chi 3" xfId="152"/>
    <cellStyle name="_Bang Chi tieu (2)?_x001c_Comma [0]_Chi phÝ kh¸c_Book1?!Comma [0]_Chi phÝ kh¸c_Liªn ChiÓu?b_x001e_Comma [0]_Chi_BIEU KE HOACH  2015 (KTN 6.11 sua)" xfId="153"/>
    <cellStyle name="_Bao cao danh muc cac cong trinh tren dia ban huyen 4-2010" xfId="154"/>
    <cellStyle name="_Bao cao danh muc cac cong trinh tren dia ban huyen 4-2010 2" xfId="155"/>
    <cellStyle name="_Bao cao tai NPP PHAN DUNG 22-7" xfId="156"/>
    <cellStyle name="_Bao cao tai NPP PHAN DUNG 22-7 2" xfId="157"/>
    <cellStyle name="_Bao cao tai NPP PHAN DUNG 22-7 3" xfId="158"/>
    <cellStyle name="_Bao cao tai NPP PHAN DUNG 22-7_BIEU KE HOACH  2015 (KTN 6.11 sua)" xfId="159"/>
    <cellStyle name="_BAO CAO THUE T09- 2007(h)" xfId="160"/>
    <cellStyle name="_BAO GIA NGAY 24-10-08 (co dam)" xfId="161"/>
    <cellStyle name="_BAO GIA NGAY 24-10-08 (co dam) 2" xfId="162"/>
    <cellStyle name="_BC CV 6403 BKHĐT" xfId="163"/>
    <cellStyle name="_Bieu bao cao giam sat 6 thang 2011" xfId="164"/>
    <cellStyle name="_Bieu chi tieu KH 2014 (Huy-04-11)" xfId="165"/>
    <cellStyle name="_bieu tong hop doi ung ODA" xfId="168"/>
    <cellStyle name="_bieu tong hop lai kh von 2011 gui phong TH-KTDN" xfId="169"/>
    <cellStyle name="_bieu tong hop lai kh von 2011 gui phong TH-KTDN 2" xfId="170"/>
    <cellStyle name="_BIEU THAM TRA " xfId="166"/>
    <cellStyle name="_bieumau 1" xfId="172"/>
    <cellStyle name="_Biểu tiêu chí toàn tỉnh 2011-2020" xfId="167"/>
    <cellStyle name="_BIỂU TỔNG HỢP LẦN CUỐI SỬA THEO NGHI QUYẾT SỐ 81" xfId="171"/>
    <cellStyle name="_Book1" xfId="173"/>
    <cellStyle name="_Book1 2" xfId="174"/>
    <cellStyle name="_Book1 3" xfId="175"/>
    <cellStyle name="_Book1_1" xfId="176"/>
    <cellStyle name="_Book1_1 2" xfId="177"/>
    <cellStyle name="_Book1_1 3" xfId="178"/>
    <cellStyle name="_Book1_1_Bao cao 9 thang  XDCB" xfId="179"/>
    <cellStyle name="_Book1_1_Bao cao 9 thang  XDCB 2" xfId="180"/>
    <cellStyle name="_Book1_1_Bao cáo giai ngân 2012 (SKH thang 9)" xfId="181"/>
    <cellStyle name="_Book1_1_Bao cao phòng lao động phụ lục 3" xfId="182"/>
    <cellStyle name="_Book1_1_Bao cao phòng lao động phụ lục 3 2" xfId="183"/>
    <cellStyle name="_Book1_1_bieumau 1" xfId="184"/>
    <cellStyle name="_Book1_1_Book1" xfId="185"/>
    <cellStyle name="_Book1_1_Book1 2" xfId="186"/>
    <cellStyle name="_Book1_1_Book1 2 2" xfId="187"/>
    <cellStyle name="_Book1_1_Book1 3" xfId="188"/>
    <cellStyle name="_Book1_1_Book1_1" xfId="189"/>
    <cellStyle name="_Book1_1_Book1_BIEU KE HOACH  2015 (KTN 6.11 sua)" xfId="190"/>
    <cellStyle name="_Book1_1_KH Von 2012 gui BKH 1" xfId="191"/>
    <cellStyle name="_Book1_1_KH Von 2012 gui BKH 1 2" xfId="192"/>
    <cellStyle name="_Book1_1_KH Von 2012 gui BKH 2" xfId="193"/>
    <cellStyle name="_Book1_1_KH Von 2012 gui BKH 2 2" xfId="194"/>
    <cellStyle name="_Book1_1_Ra soat KH von 2011 (Huy-11-11-11)" xfId="195"/>
    <cellStyle name="_Book1_1_Ra soat KH von 2011 (Huy-11-11-11) 2" xfId="196"/>
    <cellStyle name="_Book1_1_Ra soat KH von 2011 (Huy-11-11-11) 2 2" xfId="197"/>
    <cellStyle name="_Book1_1_Ra soat KH von 2011 (Huy-11-11-11) 3" xfId="198"/>
    <cellStyle name="_Book1_1_Ra soat KH von 2011 (Huy-11-11-11)_BIEU KE HOACH  2015 (KTN 6.11 sua)" xfId="199"/>
    <cellStyle name="_Book1_1_TONG HOP HOAN THUE NAM 2011" xfId="200"/>
    <cellStyle name="_Book1_1_Viec Huy dang lam" xfId="201"/>
    <cellStyle name="_Book1_2" xfId="202"/>
    <cellStyle name="_Book1_2 2" xfId="203"/>
    <cellStyle name="_Book1_2 3" xfId="204"/>
    <cellStyle name="_Book1_2 4" xfId="205"/>
    <cellStyle name="_Book1_2_BIEU KE HOACH  2015 (KTN 6.11 sua)" xfId="206"/>
    <cellStyle name="_Book1_2_dự toán 30a 2013" xfId="207"/>
    <cellStyle name="_Book1_2_Ke hoach 2010 (theo doi 11-8-2010)" xfId="208"/>
    <cellStyle name="_Book1_2_Ke hoach 2010 (theo doi 11-8-2010) 2" xfId="209"/>
    <cellStyle name="_Book1_2_Ra soat KH von 2011 (Huy-11-11-11)" xfId="210"/>
    <cellStyle name="_Book1_2_Ra soat KH von 2011 (Huy-11-11-11) 2" xfId="211"/>
    <cellStyle name="_Book1_2_Ra soat KH von 2011 (Huy-11-11-11) 2 2" xfId="212"/>
    <cellStyle name="_Book1_2_Ra soat KH von 2011 (Huy-11-11-11) 3" xfId="213"/>
    <cellStyle name="_Book1_2_Ra soat KH von 2011 (Huy-11-11-11)_BIEU KE HOACH  2015 (KTN 6.11 sua)" xfId="214"/>
    <cellStyle name="_Book1_2_Viec Huy dang lam" xfId="215"/>
    <cellStyle name="_Book1_Bieu chi tieu KH 2014 (Huy-04-11)" xfId="216"/>
    <cellStyle name="_Book1_BIỂU TỔNG HỢP LẦN CUỐI SỬA THEO NGHI QUYẾT SỐ 81" xfId="217"/>
    <cellStyle name="_Book1_cong hang rao" xfId="218"/>
    <cellStyle name="_Book1_dự toán 30a 2013" xfId="219"/>
    <cellStyle name="_Book1_IN" xfId="220"/>
    <cellStyle name="_Book1_Kh ql62 (2010) 11-09" xfId="221"/>
    <cellStyle name="_Book1_Kh ql62 (2010) 11-09 2" xfId="222"/>
    <cellStyle name="_Book1_Khung 2012" xfId="223"/>
    <cellStyle name="_Book1_phu luc tong ket tinh hinh TH giai doan 03-10 (ngay 30)" xfId="224"/>
    <cellStyle name="_Book1_Ra soat KH von 2011 (Huy-11-11-11)" xfId="225"/>
    <cellStyle name="_Book1_Ra soat KH von 2011 (Huy-11-11-11) 2" xfId="226"/>
    <cellStyle name="_Book1_Ra soat KH von 2011 (Huy-11-11-11) 3" xfId="227"/>
    <cellStyle name="_Book1_Ra soat KH von 2011 (Huy-11-11-11)_BIEU KE HOACH  2015 (KTN 6.11 sua)" xfId="228"/>
    <cellStyle name="_Book1_Viec Huy dang lam" xfId="229"/>
    <cellStyle name="_Book1_Viec Huy dang lam_CT 134" xfId="230"/>
    <cellStyle name="_C.cong+B.luong-Sanluong" xfId="231"/>
    <cellStyle name="_C.cong+B.luong-Sanluong 2" xfId="232"/>
    <cellStyle name="_cong hang rao" xfId="239"/>
    <cellStyle name="_Copy of Biểu BC điều chỉnh chỉ tiêu NN các huyện chia tách 404 ngay 23.5" xfId="240"/>
    <cellStyle name="_Copy of KH PHAN BO VON ĐỐI ỨNG NAM 2011 (30 TY phuong án gop WB)" xfId="241"/>
    <cellStyle name="_Copy of KH PHAN BO VON ĐỐI ỨNG NAM 2011 (30 TY phuong án gop WB) 2" xfId="242"/>
    <cellStyle name="_Chi tieu KH nam 2009" xfId="233"/>
    <cellStyle name="_Chi tieu KH nam 2009 2" xfId="234"/>
    <cellStyle name="_Chi tieu KH nam 2009 3" xfId="235"/>
    <cellStyle name="_Chi tieu KH nam 2009_BIEU KE HOACH  2015 (KTN 6.11 sua)" xfId="236"/>
    <cellStyle name="_Chuẩn bị đầu tư 2011 (sep Hung)" xfId="237"/>
    <cellStyle name="_Chuẩn bị đầu tư 2011 (sep Hung) 2" xfId="238"/>
    <cellStyle name="_dang vien mói" xfId="243"/>
    <cellStyle name="_dang vien mói 2" xfId="244"/>
    <cellStyle name="_Danh sach CBNV" xfId="245"/>
    <cellStyle name="_Danh Sach ho ngheo" xfId="246"/>
    <cellStyle name="_Danh Sach ho ngheo 2" xfId="247"/>
    <cellStyle name="_dien chieu sang" xfId="248"/>
    <cellStyle name="_DM 1" xfId="249"/>
    <cellStyle name="_DM 1 2" xfId="250"/>
    <cellStyle name="_DM 1 3" xfId="251"/>
    <cellStyle name="_DM 1_BIEU KE HOACH  2015 (KTN 6.11 sua)" xfId="252"/>
    <cellStyle name="_DO-D1500-KHONG CO TRONG DT" xfId="253"/>
    <cellStyle name="_DO-D1500-KHONG CO TRONG DT 2" xfId="254"/>
    <cellStyle name="_DT 1751 Muong Khoa" xfId="255"/>
    <cellStyle name="_DT 1751 Muong Khoa 2" xfId="256"/>
    <cellStyle name="_DT 1751 Muong Khoa 2 2" xfId="257"/>
    <cellStyle name="_DT 1751 Muong Khoa 3" xfId="258"/>
    <cellStyle name="_DT 1751 Muong Khoa_BIEU KE HOACH  2015 (KTN 6.11 sua)" xfId="259"/>
    <cellStyle name="_DT Nam vai" xfId="260"/>
    <cellStyle name="_DT Nam vai 2" xfId="261"/>
    <cellStyle name="_DT Nam vai 3" xfId="262"/>
    <cellStyle name="_DT Nam vai_bieu ke hoach dau thau" xfId="263"/>
    <cellStyle name="_DT Nam vai_bieu ke hoach dau thau 2" xfId="264"/>
    <cellStyle name="_DT Nam vai_bieu ke hoach dau thau 2 2" xfId="265"/>
    <cellStyle name="_DT Nam vai_bieu ke hoach dau thau 3" xfId="266"/>
    <cellStyle name="_DT Nam vai_bieu ke hoach dau thau truong mam non SKH" xfId="267"/>
    <cellStyle name="_DT Nam vai_bieu ke hoach dau thau truong mam non SKH 2" xfId="268"/>
    <cellStyle name="_DT Nam vai_bieu ke hoach dau thau truong mam non SKH 2 2" xfId="269"/>
    <cellStyle name="_DT Nam vai_bieu ke hoach dau thau truong mam non SKH 3" xfId="270"/>
    <cellStyle name="_DT Nam vai_bieu ke hoach dau thau truong mam non SKH_BIEU KE HOACH  2015 (KTN 6.11 sua)" xfId="271"/>
    <cellStyle name="_DT Nam vai_bieu ke hoach dau thau_BIEU KE HOACH  2015 (KTN 6.11 sua)" xfId="272"/>
    <cellStyle name="_DT Nam vai_Book1" xfId="273"/>
    <cellStyle name="_DT Nam vai_Book1 2" xfId="274"/>
    <cellStyle name="_DT Nam vai_Book1 3" xfId="275"/>
    <cellStyle name="_DT Nam vai_Book1_CT 134" xfId="276"/>
    <cellStyle name="_DT Nam vai_CT 134" xfId="277"/>
    <cellStyle name="_DT Nam vai_DTTD chieng chan Tham lai 29-9-2009" xfId="278"/>
    <cellStyle name="_DT Nam vai_DTTD chieng chan Tham lai 29-9-2009 2" xfId="279"/>
    <cellStyle name="_DT Nam vai_DTTD chieng chan Tham lai 29-9-2009 3" xfId="280"/>
    <cellStyle name="_DT Nam vai_DTTD chieng chan Tham lai 29-9-2009_CT 134" xfId="281"/>
    <cellStyle name="_DT Nam vai_Ke hoach 2010 (theo doi 11-8-2010)" xfId="282"/>
    <cellStyle name="_DT Nam vai_Ke hoach 2010 (theo doi 11-8-2010) 2" xfId="283"/>
    <cellStyle name="_DT Nam vai_Ke hoach 2010 (theo doi 11-8-2010) 2 2" xfId="284"/>
    <cellStyle name="_DT Nam vai_Ke hoach 2010 (theo doi 11-8-2010) 3" xfId="285"/>
    <cellStyle name="_DT Nam vai_Ke hoach 2010 (theo doi 11-8-2010)_BIEU KE HOACH  2015 (KTN 6.11 sua)" xfId="286"/>
    <cellStyle name="_DT Nam vai_ke hoach dau thau 30-6-2010" xfId="287"/>
    <cellStyle name="_DT Nam vai_ke hoach dau thau 30-6-2010 2" xfId="288"/>
    <cellStyle name="_DT Nam vai_ke hoach dau thau 30-6-2010 2 2" xfId="289"/>
    <cellStyle name="_DT Nam vai_ke hoach dau thau 30-6-2010 3" xfId="290"/>
    <cellStyle name="_DT Nam vai_ke hoach dau thau 30-6-2010_BIEU KE HOACH  2015 (KTN 6.11 sua)" xfId="291"/>
    <cellStyle name="_DT Nam vai_QD ke hoach dau thau" xfId="292"/>
    <cellStyle name="_DT Nam vai_QD ke hoach dau thau 2" xfId="293"/>
    <cellStyle name="_DT Nam vai_QD ke hoach dau thau 2 2" xfId="294"/>
    <cellStyle name="_DT Nam vai_QD ke hoach dau thau 3" xfId="295"/>
    <cellStyle name="_DT Nam vai_QD ke hoach dau thau_BIEU KE HOACH  2015 (KTN 6.11 sua)" xfId="296"/>
    <cellStyle name="_DT Nam vai_tinh toan hoang ha" xfId="297"/>
    <cellStyle name="_DT Nam vai_tinh toan hoang ha 2" xfId="298"/>
    <cellStyle name="_DT Nam vai_tinh toan hoang ha 2 2" xfId="299"/>
    <cellStyle name="_DT Nam vai_tinh toan hoang ha 3" xfId="300"/>
    <cellStyle name="_DT Nam vai_tinh toan hoang ha_BIEU KE HOACH  2015 (KTN 6.11 sua)" xfId="301"/>
    <cellStyle name="_DT truong THPT  quyet thang tinh 04-3-09" xfId="302"/>
    <cellStyle name="_DT truong THPT  quyet thang tinh 04-3-09 2" xfId="303"/>
    <cellStyle name="_DTnha cong vu Dung C" xfId="304"/>
    <cellStyle name="_DTnha cong vu Dung C 2" xfId="305"/>
    <cellStyle name="_Du toan" xfId="307"/>
    <cellStyle name="_Du toan 2" xfId="308"/>
    <cellStyle name="_Du toan_bieu ke hoach dau thau" xfId="310"/>
    <cellStyle name="_Du toan_bieu ke hoach dau thau 2" xfId="311"/>
    <cellStyle name="_Du toan_bieu ke hoach dau thau truong mam non SKH" xfId="312"/>
    <cellStyle name="_Du toan_bieu ke hoach dau thau truong mam non SKH 2" xfId="313"/>
    <cellStyle name="_Du toan_bieu tong hop lai kh von 2011 gui phong TH-KTDN" xfId="314"/>
    <cellStyle name="_Du toan_bieu tong hop lai kh von 2011 gui phong TH-KTDN 2" xfId="315"/>
    <cellStyle name="_Du toan_Book1" xfId="316"/>
    <cellStyle name="_Du toan_Book1 2" xfId="317"/>
    <cellStyle name="_Du toan_Book1_Ke hoach 2010 (theo doi 11-8-2010)" xfId="318"/>
    <cellStyle name="_Du toan_Book1_Ke hoach 2010 (theo doi 11-8-2010) 2" xfId="319"/>
    <cellStyle name="_Du toan_Book1_ke hoach dau thau 30-6-2010" xfId="320"/>
    <cellStyle name="_Du toan_Book1_ke hoach dau thau 30-6-2010 2" xfId="321"/>
    <cellStyle name="_Du toan_Copy of KH PHAN BO VON ĐỐI ỨNG NAM 2011 (30 TY phuong án gop WB)" xfId="322"/>
    <cellStyle name="_Du toan_Copy of KH PHAN BO VON ĐỐI ỨNG NAM 2011 (30 TY phuong án gop WB) 2" xfId="323"/>
    <cellStyle name="_Du toan_DTTD chieng chan Tham lai 29-9-2009" xfId="324"/>
    <cellStyle name="_Du toan_DTTD chieng chan Tham lai 29-9-2009 2" xfId="325"/>
    <cellStyle name="_Du toan_Du toan nuoc San Thang (GD2)" xfId="327"/>
    <cellStyle name="_Du toan_Du toan nuoc San Thang (GD2) 2" xfId="328"/>
    <cellStyle name="_Du toan_dự toán 30a 2013" xfId="326"/>
    <cellStyle name="_Du toan_Ke hoach 2010 (theo doi 11-8-2010)" xfId="329"/>
    <cellStyle name="_Du toan_Ke hoach 2010 (theo doi 11-8-2010) 2" xfId="330"/>
    <cellStyle name="_Du toan_ke hoach dau thau 30-6-2010" xfId="331"/>
    <cellStyle name="_Du toan_ke hoach dau thau 30-6-2010 2" xfId="332"/>
    <cellStyle name="_Du toan_KH Von 2012 gui BKH 1" xfId="333"/>
    <cellStyle name="_Du toan_KH Von 2012 gui BKH 1 2" xfId="334"/>
    <cellStyle name="_Du toan_phân loại nguồn vốn" xfId="335"/>
    <cellStyle name="_Du toan_QD ke hoach dau thau" xfId="336"/>
    <cellStyle name="_Du toan_QD ke hoach dau thau 2" xfId="337"/>
    <cellStyle name="_Du toan_tinh toan hoang ha" xfId="338"/>
    <cellStyle name="_Du toan_tinh toan hoang ha 2" xfId="339"/>
    <cellStyle name="_Du toan_Tong von ĐTPT" xfId="340"/>
    <cellStyle name="_Du toan_Tong von ĐTPT 2" xfId="341"/>
    <cellStyle name="_DU THAO BCKT LChâu" xfId="306"/>
    <cellStyle name="_DUTOAN goi 20(PTNT)" xfId="342"/>
    <cellStyle name="_DUTOAN goi 20(PTNT) 2" xfId="343"/>
    <cellStyle name="_DUTOAN goi 20(PTNT) 3" xfId="344"/>
    <cellStyle name="_DUTOAN goi 20(PTNT)_BIEU KE HOACH  2015 (KTN 6.11 sua)" xfId="345"/>
    <cellStyle name="_DuToan92009Luong650" xfId="346"/>
    <cellStyle name="_DuToan92009Luong650 2" xfId="347"/>
    <cellStyle name="_DuToan92009Luong650 3" xfId="348"/>
    <cellStyle name="_DuToan92009Luong650_BIEU KE HOACH  2015 (KTN 6.11 sua)" xfId="349"/>
    <cellStyle name="_Duyet TK thay đôi" xfId="350"/>
    <cellStyle name="_Duyet TK thay đôi 2" xfId="351"/>
    <cellStyle name="_Duyet TK thay đôi 3" xfId="352"/>
    <cellStyle name="_Duyet TK thay đôi_BIEU KE HOACH  2015 (KTN 6.11 sua)" xfId="353"/>
    <cellStyle name="_dự toán 30a 2013" xfId="309"/>
    <cellStyle name="_F4-6" xfId="354"/>
    <cellStyle name="_F4-6 2" xfId="355"/>
    <cellStyle name="_F4-6 3" xfId="356"/>
    <cellStyle name="_F4-6_BIEU KE HOACH  2015 (KTN 6.11 sua)" xfId="357"/>
    <cellStyle name="_GOITHAUSO2" xfId="358"/>
    <cellStyle name="_GOITHAUSO2 2" xfId="359"/>
    <cellStyle name="_GOITHAUSO3" xfId="360"/>
    <cellStyle name="_GOITHAUSO3 2" xfId="361"/>
    <cellStyle name="_GOITHAUSO4" xfId="362"/>
    <cellStyle name="_GOITHAUSO4 2" xfId="363"/>
    <cellStyle name="_Gui Phai TTra TRUONG PTTH Ka Lang Hieu bo+Phu 17-8-09-" xfId="364"/>
    <cellStyle name="_Gui Phai TTra TRUONG PTTH Ka Lang Hieu bo+Phu 17-8-09- 2" xfId="365"/>
    <cellStyle name="_HaHoa_TDT_DienCSang" xfId="366"/>
    <cellStyle name="_HaHoa_TDT_DienCSang 2" xfId="367"/>
    <cellStyle name="_HaHoa_TDT_DienCSang 3" xfId="368"/>
    <cellStyle name="_HaHoa19-5-07" xfId="369"/>
    <cellStyle name="_HaHoa19-5-07 2" xfId="370"/>
    <cellStyle name="_HaHoa19-5-07 3" xfId="371"/>
    <cellStyle name="_Huong CHI tieu Nhiem vu CTMTQG 2014(1)" xfId="372"/>
    <cellStyle name="_IN" xfId="373"/>
    <cellStyle name="_Ke hoach 2010 ngay 14.4.10" xfId="374"/>
    <cellStyle name="_Ke hoach 2010 ngay 14.4.10 2" xfId="375"/>
    <cellStyle name="_Ke hoach 2010 ngay 14.4.10 3" xfId="376"/>
    <cellStyle name="_Ke hoach 2010 ngay 14.4.10_BIEU KE HOACH  2015 (KTN 6.11 sua)" xfId="377"/>
    <cellStyle name="_Ke hoạch thuc hien goi thau" xfId="378"/>
    <cellStyle name="_KT (2)" xfId="383"/>
    <cellStyle name="_KT (2) 2" xfId="384"/>
    <cellStyle name="_KT (2)_1" xfId="385"/>
    <cellStyle name="_KT (2)_1 2" xfId="386"/>
    <cellStyle name="_KT (2)_1_Lora-tungchau" xfId="387"/>
    <cellStyle name="_KT (2)_1_Qt-HT3PQ1(CauKho)" xfId="388"/>
    <cellStyle name="_KT (2)_2" xfId="389"/>
    <cellStyle name="_KT (2)_2 2" xfId="390"/>
    <cellStyle name="_KT (2)_2_TG-TH" xfId="391"/>
    <cellStyle name="_KT (2)_2_TG-TH 2" xfId="392"/>
    <cellStyle name="_KT (2)_2_TG-TH_ApGiaVatTu_cayxanh_latgach" xfId="393"/>
    <cellStyle name="_KT (2)_2_TG-TH_BANG TONG HOP TINH HINH THANH QUYET TOAN (MOI I)" xfId="394"/>
    <cellStyle name="_KT (2)_2_TG-TH_BANG TONG HOP TINH HINH THANH QUYET TOAN (MOI I) 2" xfId="395"/>
    <cellStyle name="_KT (2)_2_TG-TH_BAO GIA NGAY 24-10-08 (co dam)" xfId="396"/>
    <cellStyle name="_KT (2)_2_TG-TH_BAO GIA NGAY 24-10-08 (co dam) 2" xfId="397"/>
    <cellStyle name="_KT (2)_2_TG-TH_BC CV 6403 BKHĐT" xfId="398"/>
    <cellStyle name="_KT (2)_2_TG-TH_BC NQ11-CP - chinh sua lai" xfId="399"/>
    <cellStyle name="_KT (2)_2_TG-TH_BC NQ11-CP-Quynh sau bieu so3" xfId="400"/>
    <cellStyle name="_KT (2)_2_TG-TH_BC_NQ11-CP_-_Thao_sua_lai" xfId="401"/>
    <cellStyle name="_KT (2)_2_TG-TH_bieumau 1" xfId="403"/>
    <cellStyle name="_KT (2)_2_TG-TH_BIỂU TỔNG HỢP LẦN CUỐI SỬA THEO NGHI QUYẾT SỐ 81" xfId="402"/>
    <cellStyle name="_KT (2)_2_TG-TH_Book1" xfId="404"/>
    <cellStyle name="_KT (2)_2_TG-TH_Book1 2" xfId="405"/>
    <cellStyle name="_KT (2)_2_TG-TH_Book1_1" xfId="406"/>
    <cellStyle name="_KT (2)_2_TG-TH_Book1_1 2" xfId="407"/>
    <cellStyle name="_KT (2)_2_TG-TH_Book1_1_BC CV 6403 BKHĐT" xfId="408"/>
    <cellStyle name="_KT (2)_2_TG-TH_Book1_1_Luy ke von ung nam 2011 -Thoa gui ngay 12-8-2012" xfId="409"/>
    <cellStyle name="_KT (2)_2_TG-TH_Book1_2" xfId="410"/>
    <cellStyle name="_KT (2)_2_TG-TH_Book1_2_BC CV 6403 BKHĐT" xfId="411"/>
    <cellStyle name="_KT (2)_2_TG-TH_Book1_2_Luy ke von ung nam 2011 -Thoa gui ngay 12-8-2012" xfId="412"/>
    <cellStyle name="_KT (2)_2_TG-TH_Book1_BC CV 6403 BKHĐT" xfId="413"/>
    <cellStyle name="_KT (2)_2_TG-TH_Book1_Luy ke von ung nam 2011 -Thoa gui ngay 12-8-2012" xfId="414"/>
    <cellStyle name="_KT (2)_2_TG-TH_CAU Khanh Nam(Thi Cong)" xfId="415"/>
    <cellStyle name="_KT (2)_2_TG-TH_CAU Khanh Nam(Thi Cong) 2" xfId="416"/>
    <cellStyle name="_KT (2)_2_TG-TH_CoCauPhi (version 1)" xfId="418"/>
    <cellStyle name="_KT (2)_2_TG-TH_ChiHuong_ApGia" xfId="417"/>
    <cellStyle name="_KT (2)_2_TG-TH_DAU NOI PL-CL TAI PHU LAMHC" xfId="419"/>
    <cellStyle name="_KT (2)_2_TG-TH_DU TRU VAT TU" xfId="420"/>
    <cellStyle name="_KT (2)_2_TG-TH_DU TRU VAT TU 2" xfId="421"/>
    <cellStyle name="_KT (2)_2_TG-TH_Ket du ung NS" xfId="422"/>
    <cellStyle name="_KT (2)_2_TG-TH_Ket du ung NS 2" xfId="423"/>
    <cellStyle name="_KT (2)_2_TG-TH_KH Von 2012 gui BKH 1" xfId="424"/>
    <cellStyle name="_KT (2)_2_TG-TH_KH Von 2012 gui BKH 1 2" xfId="425"/>
    <cellStyle name="_KT (2)_2_TG-TH_KH Von 2012 gui BKH 2" xfId="426"/>
    <cellStyle name="_KT (2)_2_TG-TH_KH Von 2012 gui BKH 2 2" xfId="427"/>
    <cellStyle name="_KT (2)_2_TG-TH_Lora-tungchau" xfId="428"/>
    <cellStyle name="_KT (2)_2_TG-TH_Luy ke von ung nam 2011 -Thoa gui ngay 12-8-2012" xfId="429"/>
    <cellStyle name="_KT (2)_2_TG-TH_NhanCong" xfId="430"/>
    <cellStyle name="_KT (2)_2_TG-TH_phu luc tong ket tinh hinh TH giai doan 03-10 (ngay 30)" xfId="431"/>
    <cellStyle name="_KT (2)_2_TG-TH_Qt-HT3PQ1(CauKho)" xfId="432"/>
    <cellStyle name="_KT (2)_2_TG-TH_Sheet1" xfId="433"/>
    <cellStyle name="_KT (2)_2_TG-TH_ÿÿÿÿÿ" xfId="434"/>
    <cellStyle name="_KT (2)_2_TG-TH_ÿÿÿÿÿ 2" xfId="435"/>
    <cellStyle name="_KT (2)_3" xfId="436"/>
    <cellStyle name="_KT (2)_3 2" xfId="437"/>
    <cellStyle name="_KT (2)_3_TG-TH" xfId="438"/>
    <cellStyle name="_KT (2)_3_TG-TH 2" xfId="439"/>
    <cellStyle name="_KT (2)_3_TG-TH_bieumau 1" xfId="440"/>
    <cellStyle name="_KT (2)_3_TG-TH_Book1" xfId="441"/>
    <cellStyle name="_KT (2)_3_TG-TH_Ket du ung NS" xfId="442"/>
    <cellStyle name="_KT (2)_3_TG-TH_Ket du ung NS 2" xfId="443"/>
    <cellStyle name="_KT (2)_3_TG-TH_KH Von 2012 gui BKH 1" xfId="444"/>
    <cellStyle name="_KT (2)_3_TG-TH_KH Von 2012 gui BKH 1 2" xfId="445"/>
    <cellStyle name="_KT (2)_3_TG-TH_KH Von 2012 gui BKH 2" xfId="446"/>
    <cellStyle name="_KT (2)_3_TG-TH_KH Von 2012 gui BKH 2 2" xfId="447"/>
    <cellStyle name="_KT (2)_3_TG-TH_Lora-tungchau" xfId="448"/>
    <cellStyle name="_KT (2)_3_TG-TH_PERSONAL" xfId="449"/>
    <cellStyle name="_KT (2)_3_TG-TH_PERSONAL 2" xfId="450"/>
    <cellStyle name="_KT (2)_3_TG-TH_PERSONAL_BC CV 6403 BKHĐT" xfId="451"/>
    <cellStyle name="_KT (2)_3_TG-TH_PERSONAL_Book1" xfId="452"/>
    <cellStyle name="_KT (2)_3_TG-TH_PERSONAL_Book1 2" xfId="453"/>
    <cellStyle name="_KT (2)_3_TG-TH_PERSONAL_Luy ke von ung nam 2011 -Thoa gui ngay 12-8-2012" xfId="454"/>
    <cellStyle name="_KT (2)_3_TG-TH_PERSONAL_Tong hop KHCB 2001" xfId="455"/>
    <cellStyle name="_KT (2)_3_TG-TH_PERSONAL_Tong hop KHCB 2001 2" xfId="456"/>
    <cellStyle name="_KT (2)_3_TG-TH_Qt-HT3PQ1(CauKho)" xfId="457"/>
    <cellStyle name="_KT (2)_4" xfId="458"/>
    <cellStyle name="_KT (2)_4 2" xfId="459"/>
    <cellStyle name="_KT (2)_4_ApGiaVatTu_cayxanh_latgach" xfId="460"/>
    <cellStyle name="_KT (2)_4_BANG TONG HOP TINH HINH THANH QUYET TOAN (MOI I)" xfId="461"/>
    <cellStyle name="_KT (2)_4_BANG TONG HOP TINH HINH THANH QUYET TOAN (MOI I) 2" xfId="462"/>
    <cellStyle name="_KT (2)_4_BAO GIA NGAY 24-10-08 (co dam)" xfId="463"/>
    <cellStyle name="_KT (2)_4_BAO GIA NGAY 24-10-08 (co dam) 2" xfId="464"/>
    <cellStyle name="_KT (2)_4_BC CV 6403 BKHĐT" xfId="465"/>
    <cellStyle name="_KT (2)_4_BC NQ11-CP - chinh sua lai" xfId="466"/>
    <cellStyle name="_KT (2)_4_BC NQ11-CP-Quynh sau bieu so3" xfId="467"/>
    <cellStyle name="_KT (2)_4_BC_NQ11-CP_-_Thao_sua_lai" xfId="468"/>
    <cellStyle name="_KT (2)_4_bieumau 1" xfId="470"/>
    <cellStyle name="_KT (2)_4_BIỂU TỔNG HỢP LẦN CUỐI SỬA THEO NGHI QUYẾT SỐ 81" xfId="469"/>
    <cellStyle name="_KT (2)_4_Book1" xfId="471"/>
    <cellStyle name="_KT (2)_4_Book1 2" xfId="472"/>
    <cellStyle name="_KT (2)_4_Book1_1" xfId="473"/>
    <cellStyle name="_KT (2)_4_Book1_1 2" xfId="474"/>
    <cellStyle name="_KT (2)_4_Book1_1_BC CV 6403 BKHĐT" xfId="475"/>
    <cellStyle name="_KT (2)_4_Book1_1_Luy ke von ung nam 2011 -Thoa gui ngay 12-8-2012" xfId="476"/>
    <cellStyle name="_KT (2)_4_Book1_2" xfId="477"/>
    <cellStyle name="_KT (2)_4_Book1_2_BC CV 6403 BKHĐT" xfId="478"/>
    <cellStyle name="_KT (2)_4_Book1_2_Luy ke von ung nam 2011 -Thoa gui ngay 12-8-2012" xfId="479"/>
    <cellStyle name="_KT (2)_4_Book1_BC CV 6403 BKHĐT" xfId="480"/>
    <cellStyle name="_KT (2)_4_Book1_Luy ke von ung nam 2011 -Thoa gui ngay 12-8-2012" xfId="481"/>
    <cellStyle name="_KT (2)_4_CAU Khanh Nam(Thi Cong)" xfId="482"/>
    <cellStyle name="_KT (2)_4_CAU Khanh Nam(Thi Cong) 2" xfId="483"/>
    <cellStyle name="_KT (2)_4_CoCauPhi (version 1)" xfId="485"/>
    <cellStyle name="_KT (2)_4_ChiHuong_ApGia" xfId="484"/>
    <cellStyle name="_KT (2)_4_DAU NOI PL-CL TAI PHU LAMHC" xfId="486"/>
    <cellStyle name="_KT (2)_4_DU TRU VAT TU" xfId="487"/>
    <cellStyle name="_KT (2)_4_DU TRU VAT TU 2" xfId="488"/>
    <cellStyle name="_KT (2)_4_Ket du ung NS" xfId="489"/>
    <cellStyle name="_KT (2)_4_Ket du ung NS 2" xfId="490"/>
    <cellStyle name="_KT (2)_4_KH Von 2012 gui BKH 1" xfId="491"/>
    <cellStyle name="_KT (2)_4_KH Von 2012 gui BKH 1 2" xfId="492"/>
    <cellStyle name="_KT (2)_4_KH Von 2012 gui BKH 2" xfId="493"/>
    <cellStyle name="_KT (2)_4_KH Von 2012 gui BKH 2 2" xfId="494"/>
    <cellStyle name="_KT (2)_4_Lora-tungchau" xfId="495"/>
    <cellStyle name="_KT (2)_4_Luy ke von ung nam 2011 -Thoa gui ngay 12-8-2012" xfId="496"/>
    <cellStyle name="_KT (2)_4_NhanCong" xfId="497"/>
    <cellStyle name="_KT (2)_4_phu luc tong ket tinh hinh TH giai doan 03-10 (ngay 30)" xfId="498"/>
    <cellStyle name="_KT (2)_4_Qt-HT3PQ1(CauKho)" xfId="499"/>
    <cellStyle name="_KT (2)_4_Sheet1" xfId="500"/>
    <cellStyle name="_KT (2)_4_TG-TH" xfId="501"/>
    <cellStyle name="_KT (2)_4_TG-TH 2" xfId="502"/>
    <cellStyle name="_KT (2)_4_ÿÿÿÿÿ" xfId="503"/>
    <cellStyle name="_KT (2)_4_ÿÿÿÿÿ 2" xfId="504"/>
    <cellStyle name="_KT (2)_5" xfId="505"/>
    <cellStyle name="_KT (2)_5 2" xfId="506"/>
    <cellStyle name="_KT (2)_5_ApGiaVatTu_cayxanh_latgach" xfId="507"/>
    <cellStyle name="_KT (2)_5_BANG TONG HOP TINH HINH THANH QUYET TOAN (MOI I)" xfId="508"/>
    <cellStyle name="_KT (2)_5_BANG TONG HOP TINH HINH THANH QUYET TOAN (MOI I) 2" xfId="509"/>
    <cellStyle name="_KT (2)_5_BAO GIA NGAY 24-10-08 (co dam)" xfId="510"/>
    <cellStyle name="_KT (2)_5_BAO GIA NGAY 24-10-08 (co dam) 2" xfId="511"/>
    <cellStyle name="_KT (2)_5_BC CV 6403 BKHĐT" xfId="512"/>
    <cellStyle name="_KT (2)_5_BC NQ11-CP - chinh sua lai" xfId="513"/>
    <cellStyle name="_KT (2)_5_BC NQ11-CP-Quynh sau bieu so3" xfId="514"/>
    <cellStyle name="_KT (2)_5_BC_NQ11-CP_-_Thao_sua_lai" xfId="515"/>
    <cellStyle name="_KT (2)_5_bieumau 1" xfId="517"/>
    <cellStyle name="_KT (2)_5_BIỂU TỔNG HỢP LẦN CUỐI SỬA THEO NGHI QUYẾT SỐ 81" xfId="516"/>
    <cellStyle name="_KT (2)_5_Book1" xfId="518"/>
    <cellStyle name="_KT (2)_5_Book1 2" xfId="519"/>
    <cellStyle name="_KT (2)_5_Book1_1" xfId="520"/>
    <cellStyle name="_KT (2)_5_Book1_1 2" xfId="521"/>
    <cellStyle name="_KT (2)_5_Book1_1_BC CV 6403 BKHĐT" xfId="522"/>
    <cellStyle name="_KT (2)_5_Book1_1_Luy ke von ung nam 2011 -Thoa gui ngay 12-8-2012" xfId="523"/>
    <cellStyle name="_KT (2)_5_Book1_2" xfId="524"/>
    <cellStyle name="_KT (2)_5_Book1_2_BC CV 6403 BKHĐT" xfId="525"/>
    <cellStyle name="_KT (2)_5_Book1_2_Luy ke von ung nam 2011 -Thoa gui ngay 12-8-2012" xfId="526"/>
    <cellStyle name="_KT (2)_5_Book1_BC CV 6403 BKHĐT" xfId="527"/>
    <cellStyle name="_KT (2)_5_Book1_Luy ke von ung nam 2011 -Thoa gui ngay 12-8-2012" xfId="528"/>
    <cellStyle name="_KT (2)_5_CAU Khanh Nam(Thi Cong)" xfId="529"/>
    <cellStyle name="_KT (2)_5_CAU Khanh Nam(Thi Cong) 2" xfId="530"/>
    <cellStyle name="_KT (2)_5_CoCauPhi (version 1)" xfId="532"/>
    <cellStyle name="_KT (2)_5_ChiHuong_ApGia" xfId="531"/>
    <cellStyle name="_KT (2)_5_DAU NOI PL-CL TAI PHU LAMHC" xfId="533"/>
    <cellStyle name="_KT (2)_5_DU TRU VAT TU" xfId="534"/>
    <cellStyle name="_KT (2)_5_DU TRU VAT TU 2" xfId="535"/>
    <cellStyle name="_KT (2)_5_Ket du ung NS" xfId="536"/>
    <cellStyle name="_KT (2)_5_Ket du ung NS 2" xfId="537"/>
    <cellStyle name="_KT (2)_5_KH Von 2012 gui BKH 1" xfId="538"/>
    <cellStyle name="_KT (2)_5_KH Von 2012 gui BKH 1 2" xfId="539"/>
    <cellStyle name="_KT (2)_5_KH Von 2012 gui BKH 2" xfId="540"/>
    <cellStyle name="_KT (2)_5_KH Von 2012 gui BKH 2 2" xfId="541"/>
    <cellStyle name="_KT (2)_5_Lora-tungchau" xfId="542"/>
    <cellStyle name="_KT (2)_5_Luy ke von ung nam 2011 -Thoa gui ngay 12-8-2012" xfId="543"/>
    <cellStyle name="_KT (2)_5_NhanCong" xfId="544"/>
    <cellStyle name="_KT (2)_5_phu luc tong ket tinh hinh TH giai doan 03-10 (ngay 30)" xfId="545"/>
    <cellStyle name="_KT (2)_5_Qt-HT3PQ1(CauKho)" xfId="546"/>
    <cellStyle name="_KT (2)_5_Sheet1" xfId="547"/>
    <cellStyle name="_KT (2)_5_ÿÿÿÿÿ" xfId="548"/>
    <cellStyle name="_KT (2)_5_ÿÿÿÿÿ 2" xfId="549"/>
    <cellStyle name="_KT (2)_bieumau 1" xfId="550"/>
    <cellStyle name="_KT (2)_Book1" xfId="551"/>
    <cellStyle name="_KT (2)_Ket du ung NS" xfId="552"/>
    <cellStyle name="_KT (2)_Ket du ung NS 2" xfId="553"/>
    <cellStyle name="_KT (2)_KH Von 2012 gui BKH 1" xfId="554"/>
    <cellStyle name="_KT (2)_KH Von 2012 gui BKH 1 2" xfId="555"/>
    <cellStyle name="_KT (2)_KH Von 2012 gui BKH 2" xfId="556"/>
    <cellStyle name="_KT (2)_KH Von 2012 gui BKH 2 2" xfId="557"/>
    <cellStyle name="_KT (2)_Lora-tungchau" xfId="558"/>
    <cellStyle name="_KT (2)_PERSONAL" xfId="559"/>
    <cellStyle name="_KT (2)_PERSONAL 2" xfId="560"/>
    <cellStyle name="_KT (2)_PERSONAL_BC CV 6403 BKHĐT" xfId="561"/>
    <cellStyle name="_KT (2)_PERSONAL_Book1" xfId="562"/>
    <cellStyle name="_KT (2)_PERSONAL_Book1 2" xfId="563"/>
    <cellStyle name="_KT (2)_PERSONAL_Luy ke von ung nam 2011 -Thoa gui ngay 12-8-2012" xfId="564"/>
    <cellStyle name="_KT (2)_PERSONAL_Tong hop KHCB 2001" xfId="565"/>
    <cellStyle name="_KT (2)_PERSONAL_Tong hop KHCB 2001 2" xfId="566"/>
    <cellStyle name="_KT (2)_Qt-HT3PQ1(CauKho)" xfId="567"/>
    <cellStyle name="_KT (2)_TG-TH" xfId="568"/>
    <cellStyle name="_KT (2)_TG-TH 2" xfId="569"/>
    <cellStyle name="_KT_TG" xfId="570"/>
    <cellStyle name="_KT_TG 2" xfId="571"/>
    <cellStyle name="_KT_TG_1" xfId="572"/>
    <cellStyle name="_KT_TG_1 2" xfId="573"/>
    <cellStyle name="_KT_TG_1_ApGiaVatTu_cayxanh_latgach" xfId="574"/>
    <cellStyle name="_KT_TG_1_BANG TONG HOP TINH HINH THANH QUYET TOAN (MOI I)" xfId="575"/>
    <cellStyle name="_KT_TG_1_BANG TONG HOP TINH HINH THANH QUYET TOAN (MOI I) 2" xfId="576"/>
    <cellStyle name="_KT_TG_1_BAO GIA NGAY 24-10-08 (co dam)" xfId="577"/>
    <cellStyle name="_KT_TG_1_BAO GIA NGAY 24-10-08 (co dam) 2" xfId="578"/>
    <cellStyle name="_KT_TG_1_BC CV 6403 BKHĐT" xfId="579"/>
    <cellStyle name="_KT_TG_1_BC NQ11-CP - chinh sua lai" xfId="580"/>
    <cellStyle name="_KT_TG_1_BC NQ11-CP-Quynh sau bieu so3" xfId="581"/>
    <cellStyle name="_KT_TG_1_BC_NQ11-CP_-_Thao_sua_lai" xfId="582"/>
    <cellStyle name="_KT_TG_1_bieumau 1" xfId="584"/>
    <cellStyle name="_KT_TG_1_BIỂU TỔNG HỢP LẦN CUỐI SỬA THEO NGHI QUYẾT SỐ 81" xfId="583"/>
    <cellStyle name="_KT_TG_1_Book1" xfId="585"/>
    <cellStyle name="_KT_TG_1_Book1 2" xfId="586"/>
    <cellStyle name="_KT_TG_1_Book1_1" xfId="587"/>
    <cellStyle name="_KT_TG_1_Book1_1 2" xfId="588"/>
    <cellStyle name="_KT_TG_1_Book1_1_BC CV 6403 BKHĐT" xfId="589"/>
    <cellStyle name="_KT_TG_1_Book1_1_Luy ke von ung nam 2011 -Thoa gui ngay 12-8-2012" xfId="590"/>
    <cellStyle name="_KT_TG_1_Book1_2" xfId="591"/>
    <cellStyle name="_KT_TG_1_Book1_2_BC CV 6403 BKHĐT" xfId="592"/>
    <cellStyle name="_KT_TG_1_Book1_2_Luy ke von ung nam 2011 -Thoa gui ngay 12-8-2012" xfId="593"/>
    <cellStyle name="_KT_TG_1_Book1_BC CV 6403 BKHĐT" xfId="594"/>
    <cellStyle name="_KT_TG_1_Book1_Luy ke von ung nam 2011 -Thoa gui ngay 12-8-2012" xfId="595"/>
    <cellStyle name="_KT_TG_1_CAU Khanh Nam(Thi Cong)" xfId="596"/>
    <cellStyle name="_KT_TG_1_CAU Khanh Nam(Thi Cong) 2" xfId="597"/>
    <cellStyle name="_KT_TG_1_CoCauPhi (version 1)" xfId="599"/>
    <cellStyle name="_KT_TG_1_ChiHuong_ApGia" xfId="598"/>
    <cellStyle name="_KT_TG_1_DAU NOI PL-CL TAI PHU LAMHC" xfId="600"/>
    <cellStyle name="_KT_TG_1_DU TRU VAT TU" xfId="601"/>
    <cellStyle name="_KT_TG_1_DU TRU VAT TU 2" xfId="602"/>
    <cellStyle name="_KT_TG_1_Ket du ung NS" xfId="603"/>
    <cellStyle name="_KT_TG_1_Ket du ung NS 2" xfId="604"/>
    <cellStyle name="_KT_TG_1_KH Von 2012 gui BKH 1" xfId="605"/>
    <cellStyle name="_KT_TG_1_KH Von 2012 gui BKH 1 2" xfId="606"/>
    <cellStyle name="_KT_TG_1_KH Von 2012 gui BKH 2" xfId="607"/>
    <cellStyle name="_KT_TG_1_KH Von 2012 gui BKH 2 2" xfId="608"/>
    <cellStyle name="_KT_TG_1_Lora-tungchau" xfId="609"/>
    <cellStyle name="_KT_TG_1_Luy ke von ung nam 2011 -Thoa gui ngay 12-8-2012" xfId="610"/>
    <cellStyle name="_KT_TG_1_NhanCong" xfId="611"/>
    <cellStyle name="_KT_TG_1_phu luc tong ket tinh hinh TH giai doan 03-10 (ngay 30)" xfId="612"/>
    <cellStyle name="_KT_TG_1_Qt-HT3PQ1(CauKho)" xfId="613"/>
    <cellStyle name="_KT_TG_1_Sheet1" xfId="614"/>
    <cellStyle name="_KT_TG_1_ÿÿÿÿÿ" xfId="615"/>
    <cellStyle name="_KT_TG_1_ÿÿÿÿÿ 2" xfId="616"/>
    <cellStyle name="_KT_TG_2" xfId="617"/>
    <cellStyle name="_KT_TG_2 2" xfId="618"/>
    <cellStyle name="_KT_TG_2_ApGiaVatTu_cayxanh_latgach" xfId="619"/>
    <cellStyle name="_KT_TG_2_BANG TONG HOP TINH HINH THANH QUYET TOAN (MOI I)" xfId="620"/>
    <cellStyle name="_KT_TG_2_BANG TONG HOP TINH HINH THANH QUYET TOAN (MOI I) 2" xfId="621"/>
    <cellStyle name="_KT_TG_2_BAO GIA NGAY 24-10-08 (co dam)" xfId="622"/>
    <cellStyle name="_KT_TG_2_BAO GIA NGAY 24-10-08 (co dam) 2" xfId="623"/>
    <cellStyle name="_KT_TG_2_BC CV 6403 BKHĐT" xfId="624"/>
    <cellStyle name="_KT_TG_2_BC NQ11-CP - chinh sua lai" xfId="625"/>
    <cellStyle name="_KT_TG_2_BC NQ11-CP-Quynh sau bieu so3" xfId="626"/>
    <cellStyle name="_KT_TG_2_BC_NQ11-CP_-_Thao_sua_lai" xfId="627"/>
    <cellStyle name="_KT_TG_2_bieumau 1" xfId="629"/>
    <cellStyle name="_KT_TG_2_BIỂU TỔNG HỢP LẦN CUỐI SỬA THEO NGHI QUYẾT SỐ 81" xfId="628"/>
    <cellStyle name="_KT_TG_2_Book1" xfId="630"/>
    <cellStyle name="_KT_TG_2_Book1 2" xfId="631"/>
    <cellStyle name="_KT_TG_2_Book1_1" xfId="632"/>
    <cellStyle name="_KT_TG_2_Book1_1 2" xfId="633"/>
    <cellStyle name="_KT_TG_2_Book1_1_BC CV 6403 BKHĐT" xfId="634"/>
    <cellStyle name="_KT_TG_2_Book1_1_Luy ke von ung nam 2011 -Thoa gui ngay 12-8-2012" xfId="635"/>
    <cellStyle name="_KT_TG_2_Book1_2" xfId="636"/>
    <cellStyle name="_KT_TG_2_Book1_2_BC CV 6403 BKHĐT" xfId="637"/>
    <cellStyle name="_KT_TG_2_Book1_2_Luy ke von ung nam 2011 -Thoa gui ngay 12-8-2012" xfId="638"/>
    <cellStyle name="_KT_TG_2_Book1_BC CV 6403 BKHĐT" xfId="639"/>
    <cellStyle name="_KT_TG_2_Book1_Luy ke von ung nam 2011 -Thoa gui ngay 12-8-2012" xfId="640"/>
    <cellStyle name="_KT_TG_2_CAU Khanh Nam(Thi Cong)" xfId="641"/>
    <cellStyle name="_KT_TG_2_CAU Khanh Nam(Thi Cong) 2" xfId="642"/>
    <cellStyle name="_KT_TG_2_CoCauPhi (version 1)" xfId="644"/>
    <cellStyle name="_KT_TG_2_ChiHuong_ApGia" xfId="643"/>
    <cellStyle name="_KT_TG_2_DAU NOI PL-CL TAI PHU LAMHC" xfId="645"/>
    <cellStyle name="_KT_TG_2_DU TRU VAT TU" xfId="646"/>
    <cellStyle name="_KT_TG_2_DU TRU VAT TU 2" xfId="647"/>
    <cellStyle name="_KT_TG_2_Ket du ung NS" xfId="648"/>
    <cellStyle name="_KT_TG_2_Ket du ung NS 2" xfId="649"/>
    <cellStyle name="_KT_TG_2_KH Von 2012 gui BKH 1" xfId="650"/>
    <cellStyle name="_KT_TG_2_KH Von 2012 gui BKH 1 2" xfId="651"/>
    <cellStyle name="_KT_TG_2_KH Von 2012 gui BKH 2" xfId="652"/>
    <cellStyle name="_KT_TG_2_KH Von 2012 gui BKH 2 2" xfId="653"/>
    <cellStyle name="_KT_TG_2_Lora-tungchau" xfId="654"/>
    <cellStyle name="_KT_TG_2_Luy ke von ung nam 2011 -Thoa gui ngay 12-8-2012" xfId="655"/>
    <cellStyle name="_KT_TG_2_NhanCong" xfId="656"/>
    <cellStyle name="_KT_TG_2_phu luc tong ket tinh hinh TH giai doan 03-10 (ngay 30)" xfId="657"/>
    <cellStyle name="_KT_TG_2_Qt-HT3PQ1(CauKho)" xfId="658"/>
    <cellStyle name="_KT_TG_2_Sheet1" xfId="659"/>
    <cellStyle name="_KT_TG_2_ÿÿÿÿÿ" xfId="660"/>
    <cellStyle name="_KT_TG_2_ÿÿÿÿÿ 2" xfId="661"/>
    <cellStyle name="_KT_TG_3" xfId="662"/>
    <cellStyle name="_KT_TG_3 2" xfId="663"/>
    <cellStyle name="_KT_TG_4" xfId="664"/>
    <cellStyle name="_KT_TG_4 2" xfId="665"/>
    <cellStyle name="_KT_TG_4_Lora-tungchau" xfId="666"/>
    <cellStyle name="_KT_TG_4_Qt-HT3PQ1(CauKho)" xfId="667"/>
    <cellStyle name="_Kh ql62 (2010) 11-09" xfId="379"/>
    <cellStyle name="_Kh ql62 (2010) 11-09 2" xfId="380"/>
    <cellStyle name="_KH.DTC.gd2016-2020 tinh (T2-2015)" xfId="381"/>
    <cellStyle name="_Khung 2012" xfId="382"/>
    <cellStyle name="_Lora-tungchau" xfId="668"/>
    <cellStyle name="_LuuNgay24-07-2006Bao cao tai NPP PHAN DUNG 22-7" xfId="669"/>
    <cellStyle name="_LuuNgay24-07-2006Bao cao tai NPP PHAN DUNG 22-7 2" xfId="670"/>
    <cellStyle name="_LuuNgay24-07-2006Bao cao tai NPP PHAN DUNG 22-7 3" xfId="671"/>
    <cellStyle name="_LuuNgay24-07-2006Bao cao tai NPP PHAN DUNG 22-7_BIEU KE HOACH  2015 (KTN 6.11 sua)" xfId="672"/>
    <cellStyle name="_Luy ke von ung nam 2011 -Thoa gui ngay 12-8-2012" xfId="673"/>
    <cellStyle name="_mau so 3" xfId="674"/>
    <cellStyle name="_MauThanTKKT-goi7-DonGia2143(vl t7)" xfId="675"/>
    <cellStyle name="_MauThanTKKT-goi7-DonGia2143(vl t7) 2" xfId="676"/>
    <cellStyle name="_MauThanTKKT-goi7-DonGia2143(vl t7) 3" xfId="677"/>
    <cellStyle name="_MauThanTKKT-goi7-DonGia2143(vl t7)_BIEU KE HOACH  2015 (KTN 6.11 sua)" xfId="678"/>
    <cellStyle name="_Nhu cau von ung truoc 2011 Tha h Hoa + Nge An gui TW" xfId="679"/>
    <cellStyle name="_Nhu cau von ung truoc 2011 Tha h Hoa + Nge An gui TW 2" xfId="680"/>
    <cellStyle name="_Nhu cau von ung truoc 2011 Tha h Hoa + Nge An gui TW 3" xfId="681"/>
    <cellStyle name="_Nhu cau von ung truoc 2011 Tha h Hoa + Nge An gui TW_BIEU KE HOACH  2015 (KTN 6.11 sua)" xfId="682"/>
    <cellStyle name="_PERSONAL" xfId="683"/>
    <cellStyle name="_PERSONAL 2" xfId="684"/>
    <cellStyle name="_PERSONAL_BC CV 6403 BKHĐT" xfId="685"/>
    <cellStyle name="_PERSONAL_Book1" xfId="686"/>
    <cellStyle name="_PERSONAL_Book1 2" xfId="687"/>
    <cellStyle name="_PERSONAL_Luy ke von ung nam 2011 -Thoa gui ngay 12-8-2012" xfId="688"/>
    <cellStyle name="_PERSONAL_Tong hop KHCB 2001" xfId="689"/>
    <cellStyle name="_PERSONAL_Tong hop KHCB 2001 2" xfId="690"/>
    <cellStyle name="_Phan bo" xfId="691"/>
    <cellStyle name="_Phan bo 2" xfId="692"/>
    <cellStyle name="_Phan bo 3" xfId="693"/>
    <cellStyle name="_Phan bo_BIEU KE HOACH  2015 (KTN 6.11 sua)" xfId="694"/>
    <cellStyle name="_Phan pha do" xfId="695"/>
    <cellStyle name="_Phan pha do 2" xfId="696"/>
    <cellStyle name="_phong bo mon22" xfId="697"/>
    <cellStyle name="_Phụ biểu 09a" xfId="698"/>
    <cellStyle name="_Phụ biểu 09b" xfId="699"/>
    <cellStyle name="_phu luc tong ket tinh hinh TH giai doan 03-10 (ngay 30)" xfId="700"/>
    <cellStyle name="_Q TOAN  SCTX QL.62 QUI I ( oanh)" xfId="701"/>
    <cellStyle name="_Q TOAN  SCTX QL.62 QUI I ( oanh) 2" xfId="702"/>
    <cellStyle name="_Q TOAN  SCTX QL.62 QUI II ( oanh)" xfId="703"/>
    <cellStyle name="_Q TOAN  SCTX QL.62 QUI II ( oanh) 2" xfId="704"/>
    <cellStyle name="_QĐ 980" xfId="705"/>
    <cellStyle name="_QĐ 980 2" xfId="706"/>
    <cellStyle name="_QT SCTXQL62_QT1 (Cty QL)" xfId="707"/>
    <cellStyle name="_QT SCTXQL62_QT1 (Cty QL) 2" xfId="708"/>
    <cellStyle name="_Qt-HT3PQ1(CauKho)" xfId="709"/>
    <cellStyle name="_Ra soat KH von 2011 (Huy-11-11-11)" xfId="710"/>
    <cellStyle name="_Ra soat KH von 2011 (Huy-11-11-11) 2" xfId="711"/>
    <cellStyle name="_Ra soat KH von 2011 (Huy-11-11-11) 3" xfId="712"/>
    <cellStyle name="_Ra soat KH von 2011 (Huy-11-11-11)_BIEU KE HOACH  2015 (KTN 6.11 sua)" xfId="713"/>
    <cellStyle name="_Sheet1" xfId="714"/>
    <cellStyle name="_Sheet1 2" xfId="715"/>
    <cellStyle name="_Sheet2" xfId="716"/>
    <cellStyle name="_Sheet2 2" xfId="717"/>
    <cellStyle name="_SO T11" xfId="718"/>
    <cellStyle name="_TG-TH" xfId="719"/>
    <cellStyle name="_TG-TH 2" xfId="720"/>
    <cellStyle name="_TG-TH_1" xfId="721"/>
    <cellStyle name="_TG-TH_1 2" xfId="722"/>
    <cellStyle name="_TG-TH_1_ApGiaVatTu_cayxanh_latgach" xfId="723"/>
    <cellStyle name="_TG-TH_1_BANG TONG HOP TINH HINH THANH QUYET TOAN (MOI I)" xfId="724"/>
    <cellStyle name="_TG-TH_1_BANG TONG HOP TINH HINH THANH QUYET TOAN (MOI I) 2" xfId="725"/>
    <cellStyle name="_TG-TH_1_BAO GIA NGAY 24-10-08 (co dam)" xfId="726"/>
    <cellStyle name="_TG-TH_1_BAO GIA NGAY 24-10-08 (co dam) 2" xfId="727"/>
    <cellStyle name="_TG-TH_1_BC CV 6403 BKHĐT" xfId="728"/>
    <cellStyle name="_TG-TH_1_BC NQ11-CP - chinh sua lai" xfId="729"/>
    <cellStyle name="_TG-TH_1_BC NQ11-CP-Quynh sau bieu so3" xfId="730"/>
    <cellStyle name="_TG-TH_1_BC_NQ11-CP_-_Thao_sua_lai" xfId="731"/>
    <cellStyle name="_TG-TH_1_bieumau 1" xfId="733"/>
    <cellStyle name="_TG-TH_1_BIỂU TỔNG HỢP LẦN CUỐI SỬA THEO NGHI QUYẾT SỐ 81" xfId="732"/>
    <cellStyle name="_TG-TH_1_Book1" xfId="734"/>
    <cellStyle name="_TG-TH_1_Book1 2" xfId="735"/>
    <cellStyle name="_TG-TH_1_Book1_1" xfId="736"/>
    <cellStyle name="_TG-TH_1_Book1_1 2" xfId="737"/>
    <cellStyle name="_TG-TH_1_Book1_1_BC CV 6403 BKHĐT" xfId="738"/>
    <cellStyle name="_TG-TH_1_Book1_1_Luy ke von ung nam 2011 -Thoa gui ngay 12-8-2012" xfId="739"/>
    <cellStyle name="_TG-TH_1_Book1_2" xfId="740"/>
    <cellStyle name="_TG-TH_1_Book1_2_BC CV 6403 BKHĐT" xfId="741"/>
    <cellStyle name="_TG-TH_1_Book1_2_Luy ke von ung nam 2011 -Thoa gui ngay 12-8-2012" xfId="742"/>
    <cellStyle name="_TG-TH_1_Book1_BC CV 6403 BKHĐT" xfId="743"/>
    <cellStyle name="_TG-TH_1_Book1_Luy ke von ung nam 2011 -Thoa gui ngay 12-8-2012" xfId="744"/>
    <cellStyle name="_TG-TH_1_CAU Khanh Nam(Thi Cong)" xfId="745"/>
    <cellStyle name="_TG-TH_1_CAU Khanh Nam(Thi Cong) 2" xfId="746"/>
    <cellStyle name="_TG-TH_1_CoCauPhi (version 1)" xfId="748"/>
    <cellStyle name="_TG-TH_1_ChiHuong_ApGia" xfId="747"/>
    <cellStyle name="_TG-TH_1_DAU NOI PL-CL TAI PHU LAMHC" xfId="749"/>
    <cellStyle name="_TG-TH_1_DU TRU VAT TU" xfId="750"/>
    <cellStyle name="_TG-TH_1_DU TRU VAT TU 2" xfId="751"/>
    <cellStyle name="_TG-TH_1_Ket du ung NS" xfId="752"/>
    <cellStyle name="_TG-TH_1_Ket du ung NS 2" xfId="753"/>
    <cellStyle name="_TG-TH_1_KH Von 2012 gui BKH 1" xfId="754"/>
    <cellStyle name="_TG-TH_1_KH Von 2012 gui BKH 1 2" xfId="755"/>
    <cellStyle name="_TG-TH_1_KH Von 2012 gui BKH 2" xfId="756"/>
    <cellStyle name="_TG-TH_1_KH Von 2012 gui BKH 2 2" xfId="757"/>
    <cellStyle name="_TG-TH_1_Lora-tungchau" xfId="758"/>
    <cellStyle name="_TG-TH_1_Luy ke von ung nam 2011 -Thoa gui ngay 12-8-2012" xfId="759"/>
    <cellStyle name="_TG-TH_1_NhanCong" xfId="760"/>
    <cellStyle name="_TG-TH_1_phu luc tong ket tinh hinh TH giai doan 03-10 (ngay 30)" xfId="761"/>
    <cellStyle name="_TG-TH_1_Qt-HT3PQ1(CauKho)" xfId="762"/>
    <cellStyle name="_TG-TH_1_Sheet1" xfId="763"/>
    <cellStyle name="_TG-TH_1_ÿÿÿÿÿ" xfId="764"/>
    <cellStyle name="_TG-TH_1_ÿÿÿÿÿ 2" xfId="765"/>
    <cellStyle name="_TG-TH_2" xfId="766"/>
    <cellStyle name="_TG-TH_2 2" xfId="767"/>
    <cellStyle name="_TG-TH_2_ApGiaVatTu_cayxanh_latgach" xfId="768"/>
    <cellStyle name="_TG-TH_2_BANG TONG HOP TINH HINH THANH QUYET TOAN (MOI I)" xfId="769"/>
    <cellStyle name="_TG-TH_2_BANG TONG HOP TINH HINH THANH QUYET TOAN (MOI I) 2" xfId="770"/>
    <cellStyle name="_TG-TH_2_BAO GIA NGAY 24-10-08 (co dam)" xfId="771"/>
    <cellStyle name="_TG-TH_2_BAO GIA NGAY 24-10-08 (co dam) 2" xfId="772"/>
    <cellStyle name="_TG-TH_2_BC CV 6403 BKHĐT" xfId="773"/>
    <cellStyle name="_TG-TH_2_BC NQ11-CP - chinh sua lai" xfId="774"/>
    <cellStyle name="_TG-TH_2_BC NQ11-CP-Quynh sau bieu so3" xfId="775"/>
    <cellStyle name="_TG-TH_2_BC_NQ11-CP_-_Thao_sua_lai" xfId="776"/>
    <cellStyle name="_TG-TH_2_bieumau 1" xfId="778"/>
    <cellStyle name="_TG-TH_2_BIỂU TỔNG HỢP LẦN CUỐI SỬA THEO NGHI QUYẾT SỐ 81" xfId="777"/>
    <cellStyle name="_TG-TH_2_Book1" xfId="779"/>
    <cellStyle name="_TG-TH_2_Book1 2" xfId="780"/>
    <cellStyle name="_TG-TH_2_Book1_1" xfId="781"/>
    <cellStyle name="_TG-TH_2_Book1_1 2" xfId="782"/>
    <cellStyle name="_TG-TH_2_Book1_1_BC CV 6403 BKHĐT" xfId="783"/>
    <cellStyle name="_TG-TH_2_Book1_1_Luy ke von ung nam 2011 -Thoa gui ngay 12-8-2012" xfId="784"/>
    <cellStyle name="_TG-TH_2_Book1_2" xfId="785"/>
    <cellStyle name="_TG-TH_2_Book1_2_BC CV 6403 BKHĐT" xfId="786"/>
    <cellStyle name="_TG-TH_2_Book1_2_Luy ke von ung nam 2011 -Thoa gui ngay 12-8-2012" xfId="787"/>
    <cellStyle name="_TG-TH_2_Book1_BC CV 6403 BKHĐT" xfId="788"/>
    <cellStyle name="_TG-TH_2_Book1_Luy ke von ung nam 2011 -Thoa gui ngay 12-8-2012" xfId="789"/>
    <cellStyle name="_TG-TH_2_CAU Khanh Nam(Thi Cong)" xfId="790"/>
    <cellStyle name="_TG-TH_2_CAU Khanh Nam(Thi Cong) 2" xfId="791"/>
    <cellStyle name="_TG-TH_2_CoCauPhi (version 1)" xfId="793"/>
    <cellStyle name="_TG-TH_2_ChiHuong_ApGia" xfId="792"/>
    <cellStyle name="_TG-TH_2_DAU NOI PL-CL TAI PHU LAMHC" xfId="794"/>
    <cellStyle name="_TG-TH_2_DU TRU VAT TU" xfId="795"/>
    <cellStyle name="_TG-TH_2_DU TRU VAT TU 2" xfId="796"/>
    <cellStyle name="_TG-TH_2_Ket du ung NS" xfId="797"/>
    <cellStyle name="_TG-TH_2_Ket du ung NS 2" xfId="798"/>
    <cellStyle name="_TG-TH_2_KH Von 2012 gui BKH 1" xfId="799"/>
    <cellStyle name="_TG-TH_2_KH Von 2012 gui BKH 1 2" xfId="800"/>
    <cellStyle name="_TG-TH_2_KH Von 2012 gui BKH 2" xfId="801"/>
    <cellStyle name="_TG-TH_2_KH Von 2012 gui BKH 2 2" xfId="802"/>
    <cellStyle name="_TG-TH_2_Lora-tungchau" xfId="803"/>
    <cellStyle name="_TG-TH_2_Luy ke von ung nam 2011 -Thoa gui ngay 12-8-2012" xfId="804"/>
    <cellStyle name="_TG-TH_2_NhanCong" xfId="805"/>
    <cellStyle name="_TG-TH_2_phu luc tong ket tinh hinh TH giai doan 03-10 (ngay 30)" xfId="806"/>
    <cellStyle name="_TG-TH_2_Qt-HT3PQ1(CauKho)" xfId="807"/>
    <cellStyle name="_TG-TH_2_Sheet1" xfId="808"/>
    <cellStyle name="_TG-TH_2_ÿÿÿÿÿ" xfId="809"/>
    <cellStyle name="_TG-TH_2_ÿÿÿÿÿ 2" xfId="810"/>
    <cellStyle name="_TG-TH_3" xfId="811"/>
    <cellStyle name="_TG-TH_3 2" xfId="812"/>
    <cellStyle name="_TG-TH_3_Lora-tungchau" xfId="813"/>
    <cellStyle name="_TG-TH_3_Qt-HT3PQ1(CauKho)" xfId="814"/>
    <cellStyle name="_TG-TH_4" xfId="815"/>
    <cellStyle name="_TG-TH_4 2" xfId="816"/>
    <cellStyle name="_tien luong" xfId="821"/>
    <cellStyle name="_tien luong 2" xfId="822"/>
    <cellStyle name="_Tien luong chuan 01" xfId="823"/>
    <cellStyle name="_Tien luong chuan 01 2" xfId="824"/>
    <cellStyle name="_Tong dutoan PP LAHAI" xfId="825"/>
    <cellStyle name="_Tong dutoan PP LAHAI 2" xfId="826"/>
    <cellStyle name="_Tong hop  " xfId="827"/>
    <cellStyle name="_Tong hop   2" xfId="828"/>
    <cellStyle name="_Tong hop DS" xfId="829"/>
    <cellStyle name="_Tong hop DS 2" xfId="830"/>
    <cellStyle name="_Tong hop DS_CT 134" xfId="831"/>
    <cellStyle name="_Tong hop may cheu nganh 1" xfId="832"/>
    <cellStyle name="_Tong hop may cheu nganh 1 2" xfId="833"/>
    <cellStyle name="_Tong hop ve 30a" xfId="834"/>
    <cellStyle name="_Tong hop ve 30a 2" xfId="835"/>
    <cellStyle name="_Tong hop ve 30a 3" xfId="836"/>
    <cellStyle name="_Tong hop ve 30a_BIEU KE HOACH  2015 (KTN 6.11 sua)" xfId="837"/>
    <cellStyle name="_Tong von ĐTPT" xfId="838"/>
    <cellStyle name="_Tong von ĐTPT 2" xfId="839"/>
    <cellStyle name="_Tong von ĐTPT 2 2" xfId="840"/>
    <cellStyle name="_Tong von ĐTPT 3" xfId="841"/>
    <cellStyle name="_Tong von ĐTPT_BIEU KE HOACH  2015 (KTN 6.11 sua)" xfId="842"/>
    <cellStyle name="_TPCP GT-24-5-Mien Nui" xfId="843"/>
    <cellStyle name="_TU VAN THUY LOI THAM  PHE" xfId="844"/>
    <cellStyle name="_TU VAN THUY LOI THAM  PHE 2" xfId="845"/>
    <cellStyle name="_TU VAN THUY LOI THAM  PHE 3" xfId="846"/>
    <cellStyle name="_TU VAN THUY LOI THAM  PHE_BIEU KE HOACH  2015 (KTN 6.11 sua)" xfId="847"/>
    <cellStyle name="_TH hien trang MM thi tran TD" xfId="817"/>
    <cellStyle name="_TH hien trang MM thi tran TD 2" xfId="818"/>
    <cellStyle name="_Theo doi tien do cong viec Nam 2009" xfId="819"/>
    <cellStyle name="_Theo doi tien do cong viec Nam 2009 2" xfId="820"/>
    <cellStyle name="_ung truoc 2011 NSTW Thanh Hoa + Nge An gui Thu 12-5" xfId="848"/>
    <cellStyle name="_ung truoc 2011 NSTW Thanh Hoa + Nge An gui Thu 12-5 2" xfId="849"/>
    <cellStyle name="_ung truoc 2011 NSTW Thanh Hoa + Nge An gui Thu 12-5 3" xfId="850"/>
    <cellStyle name="_ung truoc 2011 NSTW Thanh Hoa + Nge An gui Thu 12-5_BIEU KE HOACH  2015 (KTN 6.11 sua)" xfId="851"/>
    <cellStyle name="_ung truoc cua long an (6-5-2010)" xfId="852"/>
    <cellStyle name="_ung truoc cua long an (6-5-2010) 2" xfId="853"/>
    <cellStyle name="_Ung von nam 2011 vung TNB - Doan Cong tac (12-5-2010)" xfId="854"/>
    <cellStyle name="_Ung von nam 2011 vung TNB - Doan Cong tac (12-5-2010) 2" xfId="855"/>
    <cellStyle name="_Ung von nam 2011 vung TNB - Doan Cong tac (12-5-2010) 2 2" xfId="856"/>
    <cellStyle name="_Ung von nam 2011 vung TNB - Doan Cong tac (12-5-2010) 3" xfId="857"/>
    <cellStyle name="_Ung von nam 2011 vung TNB - Doan Cong tac (12-5-2010)_BIEU KE HOACH  2015 (KTN 6.11 sua)" xfId="858"/>
    <cellStyle name="_Ung von nam 2011 vung TNB - Doan Cong tac (12-5-2010)_Cong trinh co y kien LD_Dang_NN_2011-Tay nguyen-9-10" xfId="860"/>
    <cellStyle name="_Ung von nam 2011 vung TNB - Doan Cong tac (12-5-2010)_CT 134" xfId="861"/>
    <cellStyle name="_Ung von nam 2011 vung TNB - Doan Cong tac (12-5-2010)_Chuẩn bị đầu tư 2011 (sep Hung)_KH 2012 (T3-2013) 2" xfId="859"/>
    <cellStyle name="_Ung von nam 2011 vung TNB - Doan Cong tac (12-5-2010)_Ke hoach 2011(15-7)" xfId="862"/>
    <cellStyle name="_Ung von nam 2011 vung TNB - Doan Cong tac (12-5-2010)_Ke hoach 2011(15-7) 2" xfId="863"/>
    <cellStyle name="_Ung von nam 2011 vung TNB - Doan Cong tac (12-5-2010)_Ke hoach 2011(15-7) 2 2" xfId="864"/>
    <cellStyle name="_Ung von nam 2011 vung TNB - Doan Cong tac (12-5-2010)_Ke hoach 2011(15-7) 3" xfId="865"/>
    <cellStyle name="_Ung von nam 2011 vung TNB - Doan Cong tac (12-5-2010)_Ke hoach 2011(15-7)_BIEU KE HOACH  2015 (KTN 6.11 sua)" xfId="866"/>
    <cellStyle name="_Ung von nam 2011 vung TNB - Doan Cong tac (12-5-2010)_Ke hoach 2011(15-7)_CT 134" xfId="867"/>
    <cellStyle name="_Ung von nam 2011 vung TNB - Doan Cong tac (12-5-2010)_KH Von 2012 gui BKH 2" xfId="868"/>
    <cellStyle name="_Ung von nam 2011 vung TNB - Doan Cong tac (12-5-2010)_KH Von 2012 gui BKH 2 2" xfId="869"/>
    <cellStyle name="_Ung von nam 2011 vung TNB - Doan Cong tac (12-5-2010)_KH Von 2012 gui BKH 2 2 2" xfId="870"/>
    <cellStyle name="_Ung von nam 2011 vung TNB - Doan Cong tac (12-5-2010)_KH Von 2012 gui BKH 2 3" xfId="871"/>
    <cellStyle name="_Ung von nam 2011 vung TNB - Doan Cong tac (12-5-2010)_KH Von 2012 gui BKH 2_BIEU KE HOACH  2015 (KTN 6.11 sua)" xfId="872"/>
    <cellStyle name="_Ung von nam 2011 vung TNB - Doan Cong tac (12-5-2010)_KH Von 2012 gui BKH 2_CT 134" xfId="873"/>
    <cellStyle name="_Ung von nam 2011 vung TNB - Doan Cong tac (12-5-2010)_TN - Ho tro khac 2011" xfId="874"/>
    <cellStyle name="_Viec Huy dang lam" xfId="875"/>
    <cellStyle name="_Viec Huy dang lam 2" xfId="876"/>
    <cellStyle name="_VINAMILK" xfId="877"/>
    <cellStyle name="_VINAMILK 2" xfId="878"/>
    <cellStyle name="_VINAMILK 2 2" xfId="879"/>
    <cellStyle name="_VINAMILK 3" xfId="880"/>
    <cellStyle name="_VINAMILK_BIEU KE HOACH  2015 (KTN 6.11 sua)" xfId="881"/>
    <cellStyle name="_VINAMILK_CT 134" xfId="882"/>
    <cellStyle name="_ÿÿÿÿÿ" xfId="883"/>
    <cellStyle name="_ÿÿÿÿÿ 2" xfId="884"/>
    <cellStyle name="_ÿÿÿÿÿ 3" xfId="885"/>
    <cellStyle name="_ÿÿÿÿÿ_BIEU KE HOACH  2015 (KTN 6.11 sua)" xfId="886"/>
    <cellStyle name="_ÿÿÿÿÿ_Kh ql62 (2010) 11-09" xfId="887"/>
    <cellStyle name="_ÿÿÿÿÿ_Kh ql62 (2010) 11-09 2" xfId="888"/>
    <cellStyle name="_ÿÿÿÿÿ_Khung 2012" xfId="889"/>
    <cellStyle name="~1" xfId="890"/>
    <cellStyle name="~1 2" xfId="891"/>
    <cellStyle name="~1 2 2" xfId="892"/>
    <cellStyle name="~1 3" xfId="893"/>
    <cellStyle name="~1?_x000d_Comma [0]_I.1?b_x000d_Comma [0]_I.3?b_x000c_Comma [0]_II?_x0012_Comma [0]_larou" xfId="894"/>
    <cellStyle name="’Ê‰Ý [0.00]_laroux" xfId="895"/>
    <cellStyle name="’Ê‰Ý_laroux" xfId="896"/>
    <cellStyle name="=C:\WINNT\SYSTEM32\COMMAND.COM" xfId="897"/>
    <cellStyle name="»õ±Ò[0]_Sheet1" xfId="898"/>
    <cellStyle name="»õ±Ò_Sheet1" xfId="899"/>
    <cellStyle name="•W?_Format" xfId="900"/>
    <cellStyle name="•W€_’·Šú‰p•¶" xfId="901"/>
    <cellStyle name="•W_¯–ì" xfId="902"/>
    <cellStyle name="W_MARINE" xfId="903"/>
    <cellStyle name="0" xfId="904"/>
    <cellStyle name="0 2" xfId="905"/>
    <cellStyle name="0 3" xfId="906"/>
    <cellStyle name="0%" xfId="907"/>
    <cellStyle name="0% 2" xfId="908"/>
    <cellStyle name="0.0" xfId="909"/>
    <cellStyle name="0.0 2" xfId="910"/>
    <cellStyle name="0.0%" xfId="911"/>
    <cellStyle name="0.0% 2" xfId="912"/>
    <cellStyle name="0.0_BIỂU TỔNG HỢP LẦN CUỐI SỬA THEO NGHI QUYẾT SỐ 81" xfId="913"/>
    <cellStyle name="0.00" xfId="914"/>
    <cellStyle name="0.00 2" xfId="915"/>
    <cellStyle name="0.00%" xfId="916"/>
    <cellStyle name="0.00% 2" xfId="917"/>
    <cellStyle name="0_Bieu chi tieu KH 2014 (Huy-04-11)" xfId="918"/>
    <cellStyle name="0_BIEU KE HOACH  2015 (KTN 6.11 sua)" xfId="919"/>
    <cellStyle name="0_DS cac chau thieu nhi. trung tam" xfId="920"/>
    <cellStyle name="0_dự toán 30a 2013" xfId="921"/>
    <cellStyle name="0_KH 2014" xfId="922"/>
    <cellStyle name="0_Ra soat KH von 2011 (Huy-11-11-11)" xfId="923"/>
    <cellStyle name="0_Ra soat KH von 2011 (Huy-11-11-11) 2" xfId="924"/>
    <cellStyle name="0_Viec Huy dang lam" xfId="925"/>
    <cellStyle name="00" xfId="926"/>
    <cellStyle name="1" xfId="927"/>
    <cellStyle name="1 2" xfId="928"/>
    <cellStyle name="1 2 2" xfId="929"/>
    <cellStyle name="1 3" xfId="930"/>
    <cellStyle name="1 4" xfId="931"/>
    <cellStyle name="1?b_x000d_Comma [0]_CPK?b_x0011_Comma [0]_CP" xfId="932"/>
    <cellStyle name="1_BAO GIA NGAY 24-10-08 (co dam)" xfId="933"/>
    <cellStyle name="1_BAO GIA NGAY 24-10-08 (co dam) 2" xfId="934"/>
    <cellStyle name="1_Bieu bao cao giam sat 6 thang 2011" xfId="935"/>
    <cellStyle name="1_Bieu BC kh 5 năm" xfId="936"/>
    <cellStyle name="1_BIEU KE HOACH  2015 (KTN 6.11 sua)" xfId="937"/>
    <cellStyle name="1_bieu ke hoach dau thau" xfId="938"/>
    <cellStyle name="1_bieu ke hoach dau thau 2" xfId="939"/>
    <cellStyle name="1_bieu ke hoach dau thau truong mam non SKH" xfId="940"/>
    <cellStyle name="1_bieu ke hoach dau thau truong mam non SKH 2" xfId="941"/>
    <cellStyle name="1_bieu tong hop Sinh0" xfId="942"/>
    <cellStyle name="1_Book1" xfId="943"/>
    <cellStyle name="1_Book1 2" xfId="944"/>
    <cellStyle name="1_Book1_1" xfId="945"/>
    <cellStyle name="1_Book1_1 2" xfId="946"/>
    <cellStyle name="1_Book1_1 3" xfId="947"/>
    <cellStyle name="1_Book1_1_BIEU KE HOACH  2015 (KTN 6.11 sua)" xfId="948"/>
    <cellStyle name="1_Cau thuy dien Ban La (Cu Anh)" xfId="949"/>
    <cellStyle name="1_Cau thuy dien Ban La (Cu Anh) 2" xfId="950"/>
    <cellStyle name="1_Cau thuy dien Ban La (Cu Anh) 3" xfId="951"/>
    <cellStyle name="1_Cau thuy dien Ban La (Cu Anh)_BIEU KE HOACH  2015 (KTN 6.11 sua)" xfId="952"/>
    <cellStyle name="1_Cong trinh co y kien LD_Dang_NN_2011-Tay nguyen-9-10" xfId="953"/>
    <cellStyle name="1_Danh Mục KCM trinh BKH 2011 (BS 30A)" xfId="954"/>
    <cellStyle name="1_Danh Mục KCM trinh BKH 2011 (BS 30A) 2" xfId="955"/>
    <cellStyle name="1_DT tieu hoc diem TDC ban Cho 28-02-09" xfId="956"/>
    <cellStyle name="1_DT tieu hoc diem TDC ban Cho 28-02-09 2" xfId="957"/>
    <cellStyle name="1_Du toan" xfId="959"/>
    <cellStyle name="1_Du toan 2" xfId="960"/>
    <cellStyle name="1_Du toan 558 (Km17+508.12 - Km 22)" xfId="961"/>
    <cellStyle name="1_Du toan 558 (Km17+508.12 - Km 22) 2" xfId="962"/>
    <cellStyle name="1_Du toan 558 (Km17+508.12 - Km 22) 3" xfId="963"/>
    <cellStyle name="1_Du toan 558 (Km17+508.12 - Km 22)_BIEU KE HOACH  2015 (KTN 6.11 sua)" xfId="964"/>
    <cellStyle name="1_Du toan nuoc San Thang (GD2)" xfId="965"/>
    <cellStyle name="1_Du toan nuoc San Thang (GD2) 2" xfId="966"/>
    <cellStyle name="1_DuToan92009Luong650" xfId="967"/>
    <cellStyle name="1_DuToan92009Luong650 2" xfId="968"/>
    <cellStyle name="1_Dự kiến danh mục đầu tư NTM năm 2015" xfId="958"/>
    <cellStyle name="1_Gia_VLQL48_duyet " xfId="969"/>
    <cellStyle name="1_Gia_VLQL48_duyet  2" xfId="970"/>
    <cellStyle name="1_Gia_VLQL48_duyet _BIEU KE HOACH  2015 (KTN 6.11 sua)" xfId="971"/>
    <cellStyle name="1_HD TT1" xfId="972"/>
    <cellStyle name="1_HD TT1 2" xfId="973"/>
    <cellStyle name="1_Ke hoach 2010 ngay 31-01" xfId="974"/>
    <cellStyle name="1_Ke hoach 2010 ngay 31-01 2" xfId="975"/>
    <cellStyle name="1_Ke hoach 2011(15-7)" xfId="976"/>
    <cellStyle name="1_Ke hoach 2011(15-7) 2" xfId="977"/>
    <cellStyle name="1_KlQdinhduyet" xfId="983"/>
    <cellStyle name="1_KlQdinhduyet 2" xfId="984"/>
    <cellStyle name="1_KlQdinhduyet 3" xfId="985"/>
    <cellStyle name="1_KlQdinhduyet_BIEU KE HOACH  2015 (KTN 6.11 sua)" xfId="986"/>
    <cellStyle name="1_KH 2012 di BKH" xfId="978"/>
    <cellStyle name="1_KH 2012 di BKH 2" xfId="979"/>
    <cellStyle name="1_Kh ql62 (2010) 11-09" xfId="980"/>
    <cellStyle name="1_Kh ql62 (2010) 11-09 2" xfId="981"/>
    <cellStyle name="1_Khung 2012" xfId="982"/>
    <cellStyle name="1_Nguon von dau tu" xfId="987"/>
    <cellStyle name="1_Nha kham chua benh" xfId="988"/>
    <cellStyle name="1_Nha kham chua benh 2" xfId="989"/>
    <cellStyle name="1_Nha lop hoc 8 P" xfId="990"/>
    <cellStyle name="1_Nha lop hoc 8 P 2" xfId="991"/>
    <cellStyle name="1_Phan bo" xfId="992"/>
    <cellStyle name="1_Phan bo 2" xfId="993"/>
    <cellStyle name="1_Sheet1" xfId="994"/>
    <cellStyle name="1_StartUp" xfId="995"/>
    <cellStyle name="1_TA GIA" xfId="996"/>
    <cellStyle name="1_Ta Gia QHCT 11-2013" xfId="997"/>
    <cellStyle name="1_tien luong" xfId="998"/>
    <cellStyle name="1_tien luong 2" xfId="999"/>
    <cellStyle name="1_Tien luong chuan 01" xfId="1000"/>
    <cellStyle name="1_Tien luong chuan 01 2" xfId="1001"/>
    <cellStyle name="1_Tienluong" xfId="1002"/>
    <cellStyle name="1_Tienluong 2" xfId="1003"/>
    <cellStyle name="1_tinh toan hoang ha" xfId="1004"/>
    <cellStyle name="1_tinh toan hoang ha 2" xfId="1005"/>
    <cellStyle name="1_TN - Ho tro khac 2011" xfId="1006"/>
    <cellStyle name="1_Tong hop  " xfId="1007"/>
    <cellStyle name="1_Tong hop   2" xfId="1008"/>
    <cellStyle name="1_TRUNG PMU 5" xfId="1009"/>
    <cellStyle name="1_TRUNG PMU 5 2" xfId="1010"/>
    <cellStyle name="1_Viec Huy dang lam" xfId="1011"/>
    <cellStyle name="1_ÿÿÿÿÿ" xfId="1012"/>
    <cellStyle name="1_ÿÿÿÿÿ 2" xfId="1013"/>
    <cellStyle name="1_ÿÿÿÿÿ_Bieu tong hop nhu cau ung 2011 da chon loc -Mien nui" xfId="1014"/>
    <cellStyle name="1_ÿÿÿÿÿ_Bieu tong hop nhu cau ung 2011 da chon loc -Mien nui 2" xfId="1015"/>
    <cellStyle name="1_ÿÿÿÿÿ_Kh ql62 (2010) 11-09" xfId="1016"/>
    <cellStyle name="1_ÿÿÿÿÿ_Kh ql62 (2010) 11-09 2" xfId="1017"/>
    <cellStyle name="1_ÿÿÿÿÿ_Khung 2012" xfId="1018"/>
    <cellStyle name="15" xfId="1019"/>
    <cellStyle name="15 2" xfId="1020"/>
    <cellStyle name="18" xfId="1021"/>
    <cellStyle name="18 2" xfId="1022"/>
    <cellStyle name="¹éºÐÀ²_      " xfId="1023"/>
    <cellStyle name="2" xfId="1024"/>
    <cellStyle name="2 2" xfId="1025"/>
    <cellStyle name="2_bieu ke hoach dau thau" xfId="1026"/>
    <cellStyle name="2_bieu ke hoach dau thau 2" xfId="1027"/>
    <cellStyle name="2_bieu ke hoach dau thau truong mam non SKH" xfId="1028"/>
    <cellStyle name="2_bieu ke hoach dau thau truong mam non SKH 2" xfId="1029"/>
    <cellStyle name="2_Book1" xfId="1030"/>
    <cellStyle name="2_Book1 2" xfId="1031"/>
    <cellStyle name="2_Book1_1" xfId="1032"/>
    <cellStyle name="2_Book1_1 2" xfId="1033"/>
    <cellStyle name="2_Book1_1 3" xfId="1034"/>
    <cellStyle name="2_Book1_1_BIEU KE HOACH  2015 (KTN 6.11 sua)" xfId="1035"/>
    <cellStyle name="2_Cau thuy dien Ban La (Cu Anh)" xfId="1036"/>
    <cellStyle name="2_Cau thuy dien Ban La (Cu Anh) 2" xfId="1037"/>
    <cellStyle name="2_Cau thuy dien Ban La (Cu Anh) 3" xfId="1038"/>
    <cellStyle name="2_Cau thuy dien Ban La (Cu Anh)_BIEU KE HOACH  2015 (KTN 6.11 sua)" xfId="1039"/>
    <cellStyle name="2_DT tieu hoc diem TDC ban Cho 28-02-09" xfId="1040"/>
    <cellStyle name="2_DT tieu hoc diem TDC ban Cho 28-02-09 2" xfId="1041"/>
    <cellStyle name="2_Du toan" xfId="1042"/>
    <cellStyle name="2_Du toan 2" xfId="1043"/>
    <cellStyle name="2_Du toan 558 (Km17+508.12 - Km 22)" xfId="1044"/>
    <cellStyle name="2_Du toan 558 (Km17+508.12 - Km 22) 2" xfId="1045"/>
    <cellStyle name="2_Du toan 558 (Km17+508.12 - Km 22) 3" xfId="1046"/>
    <cellStyle name="2_Du toan 558 (Km17+508.12 - Km 22)_BIEU KE HOACH  2015 (KTN 6.11 sua)" xfId="1047"/>
    <cellStyle name="2_Du toan nuoc San Thang (GD2)" xfId="1048"/>
    <cellStyle name="2_Du toan nuoc San Thang (GD2) 2" xfId="1049"/>
    <cellStyle name="2_Gia_VLQL48_duyet " xfId="1050"/>
    <cellStyle name="2_Gia_VLQL48_duyet  2" xfId="1051"/>
    <cellStyle name="2_Gia_VLQL48_duyet _BIEU KE HOACH  2015 (KTN 6.11 sua)" xfId="1052"/>
    <cellStyle name="2_HD TT1" xfId="1053"/>
    <cellStyle name="2_HD TT1 2" xfId="1054"/>
    <cellStyle name="2_KlQdinhduyet" xfId="1055"/>
    <cellStyle name="2_KlQdinhduyet 2" xfId="1056"/>
    <cellStyle name="2_KlQdinhduyet 3" xfId="1057"/>
    <cellStyle name="2_KlQdinhduyet_BIEU KE HOACH  2015 (KTN 6.11 sua)" xfId="1058"/>
    <cellStyle name="2_Nha lop hoc 8 P" xfId="1059"/>
    <cellStyle name="2_Nha lop hoc 8 P 2" xfId="1060"/>
    <cellStyle name="2_Tienluong" xfId="1061"/>
    <cellStyle name="2_Tienluong 2" xfId="1062"/>
    <cellStyle name="2_TRUNG PMU 5" xfId="1063"/>
    <cellStyle name="2_TRUNG PMU 5 2" xfId="1064"/>
    <cellStyle name="2_ÿÿÿÿÿ" xfId="1065"/>
    <cellStyle name="2_ÿÿÿÿÿ 2" xfId="1066"/>
    <cellStyle name="2_ÿÿÿÿÿ_Bieu tong hop nhu cau ung 2011 da chon loc -Mien nui" xfId="1067"/>
    <cellStyle name="2_ÿÿÿÿÿ_Bieu tong hop nhu cau ung 2011 da chon loc -Mien nui 2" xfId="1068"/>
    <cellStyle name="20" xfId="1069"/>
    <cellStyle name="20 2" xfId="1070"/>
    <cellStyle name="20 2 2" xfId="1071"/>
    <cellStyle name="20 3" xfId="1072"/>
    <cellStyle name="20% - Accent1 2" xfId="1073"/>
    <cellStyle name="20% - Accent1 2 2" xfId="1074"/>
    <cellStyle name="20% - Accent1 2 3" xfId="1075"/>
    <cellStyle name="20% - Accent1 3" xfId="1076"/>
    <cellStyle name="20% - Accent1 4" xfId="1077"/>
    <cellStyle name="20% - Accent2 2" xfId="1078"/>
    <cellStyle name="20% - Accent2 2 2" xfId="1079"/>
    <cellStyle name="20% - Accent2 2 3" xfId="1080"/>
    <cellStyle name="20% - Accent2 3" xfId="1081"/>
    <cellStyle name="20% - Accent2 4" xfId="1082"/>
    <cellStyle name="20% - Accent3 2" xfId="1083"/>
    <cellStyle name="20% - Accent3 2 2" xfId="1084"/>
    <cellStyle name="20% - Accent3 2 3" xfId="1085"/>
    <cellStyle name="20% - Accent3 3" xfId="1086"/>
    <cellStyle name="20% - Accent3 4" xfId="1087"/>
    <cellStyle name="20% - Accent4 2" xfId="1088"/>
    <cellStyle name="20% - Accent4 2 2" xfId="1089"/>
    <cellStyle name="20% - Accent4 2 3" xfId="1090"/>
    <cellStyle name="20% - Accent4 3" xfId="1091"/>
    <cellStyle name="20% - Accent4 4" xfId="1092"/>
    <cellStyle name="20% - Accent5 2" xfId="1093"/>
    <cellStyle name="20% - Accent5 2 2" xfId="1094"/>
    <cellStyle name="20% - Accent5 2 3" xfId="1095"/>
    <cellStyle name="20% - Accent5 3" xfId="1096"/>
    <cellStyle name="20% - Accent5 4" xfId="1097"/>
    <cellStyle name="20% - Accent6 2" xfId="1098"/>
    <cellStyle name="20% - Accent6 2 2" xfId="1099"/>
    <cellStyle name="20% - Accent6 2 3" xfId="1100"/>
    <cellStyle name="20% - Accent6 3" xfId="1101"/>
    <cellStyle name="20% - Accent6 4" xfId="1102"/>
    <cellStyle name="-2001" xfId="1103"/>
    <cellStyle name="-2001 2" xfId="1104"/>
    <cellStyle name="-2001 2 2" xfId="1105"/>
    <cellStyle name="-2001 3" xfId="1106"/>
    <cellStyle name="3" xfId="1107"/>
    <cellStyle name="3 2" xfId="1108"/>
    <cellStyle name="3_bieu ke hoach dau thau" xfId="1109"/>
    <cellStyle name="3_bieu ke hoach dau thau 2" xfId="1110"/>
    <cellStyle name="3_bieu ke hoach dau thau truong mam non SKH" xfId="1111"/>
    <cellStyle name="3_bieu ke hoach dau thau truong mam non SKH 2" xfId="1112"/>
    <cellStyle name="3_Book1" xfId="1113"/>
    <cellStyle name="3_Book1 2" xfId="1114"/>
    <cellStyle name="3_Book1_1" xfId="1115"/>
    <cellStyle name="3_Book1_1 2" xfId="1116"/>
    <cellStyle name="3_Book1_1 3" xfId="1117"/>
    <cellStyle name="3_Book1_1_BIEU KE HOACH  2015 (KTN 6.11 sua)" xfId="1118"/>
    <cellStyle name="3_Cau thuy dien Ban La (Cu Anh)" xfId="1119"/>
    <cellStyle name="3_Cau thuy dien Ban La (Cu Anh) 2" xfId="1120"/>
    <cellStyle name="3_Cau thuy dien Ban La (Cu Anh) 3" xfId="1121"/>
    <cellStyle name="3_Cau thuy dien Ban La (Cu Anh)_BIEU KE HOACH  2015 (KTN 6.11 sua)" xfId="1122"/>
    <cellStyle name="3_DT tieu hoc diem TDC ban Cho 28-02-09" xfId="1123"/>
    <cellStyle name="3_DT tieu hoc diem TDC ban Cho 28-02-09 2" xfId="1124"/>
    <cellStyle name="3_Du toan" xfId="1125"/>
    <cellStyle name="3_Du toan 2" xfId="1126"/>
    <cellStyle name="3_Du toan 558 (Km17+508.12 - Km 22)" xfId="1127"/>
    <cellStyle name="3_Du toan 558 (Km17+508.12 - Km 22) 2" xfId="1128"/>
    <cellStyle name="3_Du toan 558 (Km17+508.12 - Km 22) 3" xfId="1129"/>
    <cellStyle name="3_Du toan 558 (Km17+508.12 - Km 22)_BIEU KE HOACH  2015 (KTN 6.11 sua)" xfId="1130"/>
    <cellStyle name="3_Du toan nuoc San Thang (GD2)" xfId="1131"/>
    <cellStyle name="3_Du toan nuoc San Thang (GD2) 2" xfId="1132"/>
    <cellStyle name="3_Gia_VLQL48_duyet " xfId="1133"/>
    <cellStyle name="3_Gia_VLQL48_duyet  2" xfId="1134"/>
    <cellStyle name="3_Gia_VLQL48_duyet _BIEU KE HOACH  2015 (KTN 6.11 sua)" xfId="1135"/>
    <cellStyle name="3_HD TT1" xfId="1136"/>
    <cellStyle name="3_HD TT1 2" xfId="1137"/>
    <cellStyle name="3_KlQdinhduyet" xfId="1138"/>
    <cellStyle name="3_KlQdinhduyet 2" xfId="1139"/>
    <cellStyle name="3_KlQdinhduyet 3" xfId="1140"/>
    <cellStyle name="3_KlQdinhduyet_BIEU KE HOACH  2015 (KTN 6.11 sua)" xfId="1141"/>
    <cellStyle name="3_Nha lop hoc 8 P" xfId="1142"/>
    <cellStyle name="3_Nha lop hoc 8 P 2" xfId="1143"/>
    <cellStyle name="3_Tienluong" xfId="1144"/>
    <cellStyle name="3_Tienluong 2" xfId="1145"/>
    <cellStyle name="3_ÿÿÿÿÿ" xfId="1146"/>
    <cellStyle name="3_ÿÿÿÿÿ 2" xfId="1147"/>
    <cellStyle name="³£¹æ_GZ TV" xfId="1148"/>
    <cellStyle name="4" xfId="1149"/>
    <cellStyle name="4 2" xfId="1150"/>
    <cellStyle name="4_Book1" xfId="1151"/>
    <cellStyle name="4_Book1 2" xfId="1152"/>
    <cellStyle name="4_Book1_1" xfId="1153"/>
    <cellStyle name="4_Book1_1 2" xfId="1154"/>
    <cellStyle name="4_Book1_1 3" xfId="1155"/>
    <cellStyle name="4_Book1_1_BIEU KE HOACH  2015 (KTN 6.11 sua)" xfId="1156"/>
    <cellStyle name="4_Cau thuy dien Ban La (Cu Anh)" xfId="1157"/>
    <cellStyle name="4_Cau thuy dien Ban La (Cu Anh) 2" xfId="1158"/>
    <cellStyle name="4_Cau thuy dien Ban La (Cu Anh) 3" xfId="1159"/>
    <cellStyle name="4_Cau thuy dien Ban La (Cu Anh)_BIEU KE HOACH  2015 (KTN 6.11 sua)" xfId="1160"/>
    <cellStyle name="4_Du toan 558 (Km17+508.12 - Km 22)" xfId="1161"/>
    <cellStyle name="4_Du toan 558 (Km17+508.12 - Km 22) 2" xfId="1162"/>
    <cellStyle name="4_Du toan 558 (Km17+508.12 - Km 22) 3" xfId="1163"/>
    <cellStyle name="4_Du toan 558 (Km17+508.12 - Km 22)_BIEU KE HOACH  2015 (KTN 6.11 sua)" xfId="1164"/>
    <cellStyle name="4_Gia_VLQL48_duyet " xfId="1165"/>
    <cellStyle name="4_Gia_VLQL48_duyet  2" xfId="1166"/>
    <cellStyle name="4_Gia_VLQL48_duyet _BIEU KE HOACH  2015 (KTN 6.11 sua)" xfId="1167"/>
    <cellStyle name="4_KlQdinhduyet" xfId="1168"/>
    <cellStyle name="4_KlQdinhduyet 2" xfId="1169"/>
    <cellStyle name="4_KlQdinhduyet 3" xfId="1170"/>
    <cellStyle name="4_KlQdinhduyet_BIEU KE HOACH  2015 (KTN 6.11 sua)" xfId="1171"/>
    <cellStyle name="4_ÿÿÿÿÿ" xfId="1172"/>
    <cellStyle name="4_ÿÿÿÿÿ 2" xfId="1173"/>
    <cellStyle name="40% - Accent1 2" xfId="1174"/>
    <cellStyle name="40% - Accent1 2 2" xfId="1175"/>
    <cellStyle name="40% - Accent1 2 3" xfId="1176"/>
    <cellStyle name="40% - Accent1 3" xfId="1177"/>
    <cellStyle name="40% - Accent1 4" xfId="1178"/>
    <cellStyle name="40% - Accent2 2" xfId="1179"/>
    <cellStyle name="40% - Accent2 2 2" xfId="1180"/>
    <cellStyle name="40% - Accent2 2 3" xfId="1181"/>
    <cellStyle name="40% - Accent2 3" xfId="1182"/>
    <cellStyle name="40% - Accent2 4" xfId="1183"/>
    <cellStyle name="40% - Accent3 2" xfId="1184"/>
    <cellStyle name="40% - Accent3 2 2" xfId="1185"/>
    <cellStyle name="40% - Accent3 2 3" xfId="1186"/>
    <cellStyle name="40% - Accent3 3" xfId="1187"/>
    <cellStyle name="40% - Accent3 4" xfId="1188"/>
    <cellStyle name="40% - Accent4 2" xfId="1189"/>
    <cellStyle name="40% - Accent4 2 2" xfId="1190"/>
    <cellStyle name="40% - Accent4 2 3" xfId="1191"/>
    <cellStyle name="40% - Accent4 3" xfId="1192"/>
    <cellStyle name="40% - Accent4 4" xfId="1193"/>
    <cellStyle name="40% - Accent5 2" xfId="1194"/>
    <cellStyle name="40% - Accent5 2 2" xfId="1195"/>
    <cellStyle name="40% - Accent5 2 3" xfId="1196"/>
    <cellStyle name="40% - Accent5 3" xfId="1197"/>
    <cellStyle name="40% - Accent5 4" xfId="1198"/>
    <cellStyle name="40% - Accent6 2" xfId="1199"/>
    <cellStyle name="40% - Accent6 2 2" xfId="1200"/>
    <cellStyle name="40% - Accent6 2 3" xfId="1201"/>
    <cellStyle name="40% - Accent6 3" xfId="1202"/>
    <cellStyle name="40% - Accent6 4" xfId="1203"/>
    <cellStyle name="52" xfId="1204"/>
    <cellStyle name="6" xfId="1205"/>
    <cellStyle name="6 2" xfId="1206"/>
    <cellStyle name="6 3" xfId="1207"/>
    <cellStyle name="6???_x0002_¯ög6hÅ‡6???_x0002_¹?ß_x0008_,Ñ‡6???_x0002_…#×&gt;Ò ‡6???_x0002_é_x0007_ß_x0008__x001c__x000b__x001e_?????_x000a_?_x0001_???????_x0014_?_x0001_???????_x001e_?fB_x000f_c????_x0018_I¿_x0008_v_x0010_‡6Ö_x0002_Ÿ6????ía??_x0012_c??????????????_x0001_?????????_x0001_?_x0001_?_x0001_?" xfId="1208"/>
    <cellStyle name="6???_x0002_¯ög6hÅ‡6???_x0002_¹?ß_x0008_,Ñ‡6???_x0002_…#×&gt;Ò ‡6???_x0002_é_x0007_ß_x0008__x001c__x000b__x001e_?????_x000a_?_x0001_???????_x0014_?_x0001_???????_x001e_?fB_x000f_c????_x0018_I¿_x0008_v_x0010_‡6Ö_x0002_Ÿ6????ía??_x0012_c??????????????_x0001_?????????_x0001_?_x0001_?_x0001_? 2" xfId="1209"/>
    <cellStyle name="6???_x0002_¯ög6hÅ‡6???_x0002_¹?ß_x0008_,Ñ‡6???_x0002_…#×&gt;Ò ‡6???_x0002_é_x0007_ß_x0008__x001c__x000b__x001e_?????_x000a_?_x0001_???????_x0014_?_x0001_???????_x001e_?fB_x000f_c????_x0018_I¿_x0008_v_x0010_‡6Ö_x0002_Ÿ6????ía??_x0012_c??????????????_x0001_?????????_x0001_?_x0001_?_x0001_? 3" xfId="1210"/>
    <cellStyle name="6???_x0002_¯ög6hÅ‡6???_x0002_¹?ß_x0008_,Ñ‡6???_x0002_…#×&gt;Ò ‡6???_x0002_é_x0007_ß_x0008__x001c__x000b__x001e_?????_x000a_?_x0001_???????_x0014_?_x0001_???????_x001e_?fB_x000f_c????_x0018_I¿_x0008_v_x0010_‡6Ö_x0002_Ÿ6????_x0015_l??Õm??????????????_x0001_?????????_x0001_?_x0001_?_x0001_?" xfId="1211"/>
    <cellStyle name="6???_x0002_¯ög6hÅ‡6???_x0002_¹?ß_x0008_,Ñ‡6???_x0002_…#×&gt;Ò ‡6???_x0002_é_x0007_ß_x0008__x001c__x000b__x001e_?????_x000a_?_x0001_???????_x0014_?_x0001_???????_x001e_?fB_x000f_c????_x0018_I¿_x0008_v_x0010_‡6Ö_x0002_Ÿ6????_x0015_l??Õm??????????????_x0001_?????????_x0001_?_x0001_?_x0001_? 2" xfId="1212"/>
    <cellStyle name="6???_x0002_¯ög6hÅ‡6???_x0002_¹?ß_x0008_,Ñ‡6???_x0002_…#×&gt;Ò ‡6???_x0002_é_x0007_ß_x0008__x001c__x000b__x001e_?????_x000a_?_x0001_???????_x0014_?_x0001_???????_x001e_?fB_x000f_c????_x0018_I¿_x0008_v_x0010_‡6Ö_x0002_Ÿ6????_x0015_l??Õm??????????????_x0001_?????????_x0001_?_x0001_?_x0001_? 3" xfId="1213"/>
    <cellStyle name="6_BIEU KE HOACH  2015 (KTN 6.11 sua)" xfId="1214"/>
    <cellStyle name="6_Cong trinh co y kien LD_Dang_NN_2011-Tay nguyen-9-10" xfId="1215"/>
    <cellStyle name="6_GVL" xfId="1216"/>
    <cellStyle name="6_GVL 2" xfId="1217"/>
    <cellStyle name="6_GVL 3" xfId="1218"/>
    <cellStyle name="6_GVL_BIEU KE HOACH  2015 (KTN 6.11 sua)" xfId="1219"/>
    <cellStyle name="6_Ke hoach 2010 ngay 31-01" xfId="1220"/>
    <cellStyle name="6_Ke hoach 2010 ngay 31-01 2" xfId="1221"/>
    <cellStyle name="6_Ke hoach 2010 ngay 31-01_CT 134" xfId="1222"/>
    <cellStyle name="6_Ket du ung NS" xfId="1223"/>
    <cellStyle name="6_Ket du ung NS 2" xfId="1224"/>
    <cellStyle name="6_Ket du ung NS_CT 134" xfId="1225"/>
    <cellStyle name="6_TN - Ho tro khac 2011" xfId="1226"/>
    <cellStyle name="60% - Accent1 2" xfId="1227"/>
    <cellStyle name="60% - Accent1 2 2" xfId="1228"/>
    <cellStyle name="60% - Accent1 2 3" xfId="1229"/>
    <cellStyle name="60% - Accent1 3" xfId="1230"/>
    <cellStyle name="60% - Accent1 4" xfId="1231"/>
    <cellStyle name="60% - Accent2 2" xfId="1232"/>
    <cellStyle name="60% - Accent2 2 2" xfId="1233"/>
    <cellStyle name="60% - Accent2 2 3" xfId="1234"/>
    <cellStyle name="60% - Accent2 3" xfId="1235"/>
    <cellStyle name="60% - Accent2 4" xfId="1236"/>
    <cellStyle name="60% - Accent3 2" xfId="1237"/>
    <cellStyle name="60% - Accent3 2 2" xfId="1238"/>
    <cellStyle name="60% - Accent3 2 3" xfId="1239"/>
    <cellStyle name="60% - Accent3 3" xfId="1240"/>
    <cellStyle name="60% - Accent3 4" xfId="1241"/>
    <cellStyle name="60% - Accent4 2" xfId="1242"/>
    <cellStyle name="60% - Accent4 2 2" xfId="1243"/>
    <cellStyle name="60% - Accent4 2 3" xfId="1244"/>
    <cellStyle name="60% - Accent4 3" xfId="1245"/>
    <cellStyle name="60% - Accent4 4" xfId="1246"/>
    <cellStyle name="60% - Accent5 2" xfId="1247"/>
    <cellStyle name="60% - Accent5 2 2" xfId="1248"/>
    <cellStyle name="60% - Accent5 2 3" xfId="1249"/>
    <cellStyle name="60% - Accent5 3" xfId="1250"/>
    <cellStyle name="60% - Accent5 4" xfId="1251"/>
    <cellStyle name="60% - Accent6 2" xfId="1252"/>
    <cellStyle name="60% - Accent6 2 2" xfId="1253"/>
    <cellStyle name="60% - Accent6 2 3" xfId="1254"/>
    <cellStyle name="60% - Accent6 3" xfId="1255"/>
    <cellStyle name="60% - Accent6 4" xfId="1256"/>
    <cellStyle name="9" xfId="1257"/>
    <cellStyle name="9 2" xfId="1258"/>
    <cellStyle name="9 3" xfId="1259"/>
    <cellStyle name="9_BIEU KE HOACH  2015 (KTN 6.11 sua)" xfId="1260"/>
    <cellStyle name="a" xfId="1261"/>
    <cellStyle name="a 2" xfId="1262"/>
    <cellStyle name="Accent1 - 20%" xfId="1263"/>
    <cellStyle name="Accent1 - 40%" xfId="1264"/>
    <cellStyle name="Accent1 - 60%" xfId="1265"/>
    <cellStyle name="Accent1 10" xfId="1266"/>
    <cellStyle name="Accent1 11" xfId="1267"/>
    <cellStyle name="Accent1 12" xfId="1268"/>
    <cellStyle name="Accent1 13" xfId="1269"/>
    <cellStyle name="Accent1 14" xfId="1270"/>
    <cellStyle name="Accent1 15" xfId="1271"/>
    <cellStyle name="Accent1 16" xfId="1272"/>
    <cellStyle name="Accent1 17" xfId="1273"/>
    <cellStyle name="Accent1 18" xfId="1274"/>
    <cellStyle name="Accent1 19" xfId="1275"/>
    <cellStyle name="Accent1 2" xfId="1276"/>
    <cellStyle name="Accent1 2 2" xfId="1277"/>
    <cellStyle name="Accent1 2 3" xfId="1278"/>
    <cellStyle name="Accent1 20" xfId="1279"/>
    <cellStyle name="Accent1 21" xfId="1280"/>
    <cellStyle name="Accent1 22" xfId="1281"/>
    <cellStyle name="Accent1 23" xfId="1282"/>
    <cellStyle name="Accent1 24" xfId="1283"/>
    <cellStyle name="Accent1 25" xfId="1284"/>
    <cellStyle name="Accent1 26" xfId="1285"/>
    <cellStyle name="Accent1 27" xfId="1286"/>
    <cellStyle name="Accent1 28" xfId="1287"/>
    <cellStyle name="Accent1 29" xfId="1288"/>
    <cellStyle name="Accent1 3" xfId="1289"/>
    <cellStyle name="Accent1 30" xfId="1290"/>
    <cellStyle name="Accent1 31" xfId="1291"/>
    <cellStyle name="Accent1 32" xfId="1292"/>
    <cellStyle name="Accent1 33" xfId="1293"/>
    <cellStyle name="Accent1 34" xfId="1294"/>
    <cellStyle name="Accent1 35" xfId="1295"/>
    <cellStyle name="Accent1 36" xfId="1296"/>
    <cellStyle name="Accent1 37" xfId="1297"/>
    <cellStyle name="Accent1 38" xfId="1298"/>
    <cellStyle name="Accent1 39" xfId="1299"/>
    <cellStyle name="Accent1 4" xfId="1300"/>
    <cellStyle name="Accent1 40" xfId="1301"/>
    <cellStyle name="Accent1 41" xfId="1302"/>
    <cellStyle name="Accent1 42" xfId="1303"/>
    <cellStyle name="Accent1 43" xfId="1304"/>
    <cellStyle name="Accent1 44" xfId="1305"/>
    <cellStyle name="Accent1 45" xfId="1306"/>
    <cellStyle name="Accent1 46" xfId="1307"/>
    <cellStyle name="Accent1 47" xfId="1308"/>
    <cellStyle name="Accent1 48" xfId="1309"/>
    <cellStyle name="Accent1 49" xfId="1310"/>
    <cellStyle name="Accent1 5" xfId="1311"/>
    <cellStyle name="Accent1 50" xfId="1312"/>
    <cellStyle name="Accent1 51" xfId="1313"/>
    <cellStyle name="Accent1 52" xfId="1314"/>
    <cellStyle name="Accent1 53" xfId="1315"/>
    <cellStyle name="Accent1 54" xfId="1316"/>
    <cellStyle name="Accent1 55" xfId="1317"/>
    <cellStyle name="Accent1 56" xfId="1318"/>
    <cellStyle name="Accent1 57" xfId="1319"/>
    <cellStyle name="Accent1 58" xfId="1320"/>
    <cellStyle name="Accent1 59" xfId="1321"/>
    <cellStyle name="Accent1 6" xfId="1322"/>
    <cellStyle name="Accent1 60" xfId="1323"/>
    <cellStyle name="Accent1 7" xfId="1324"/>
    <cellStyle name="Accent1 8" xfId="1325"/>
    <cellStyle name="Accent1 9" xfId="1326"/>
    <cellStyle name="Accent2 - 20%" xfId="1327"/>
    <cellStyle name="Accent2 - 40%" xfId="1328"/>
    <cellStyle name="Accent2 - 60%" xfId="1329"/>
    <cellStyle name="Accent2 10" xfId="1330"/>
    <cellStyle name="Accent2 11" xfId="1331"/>
    <cellStyle name="Accent2 12" xfId="1332"/>
    <cellStyle name="Accent2 13" xfId="1333"/>
    <cellStyle name="Accent2 14" xfId="1334"/>
    <cellStyle name="Accent2 15" xfId="1335"/>
    <cellStyle name="Accent2 16" xfId="1336"/>
    <cellStyle name="Accent2 17" xfId="1337"/>
    <cellStyle name="Accent2 18" xfId="1338"/>
    <cellStyle name="Accent2 19" xfId="1339"/>
    <cellStyle name="Accent2 2" xfId="1340"/>
    <cellStyle name="Accent2 2 2" xfId="1341"/>
    <cellStyle name="Accent2 2 3" xfId="1342"/>
    <cellStyle name="Accent2 20" xfId="1343"/>
    <cellStyle name="Accent2 21" xfId="1344"/>
    <cellStyle name="Accent2 22" xfId="1345"/>
    <cellStyle name="Accent2 23" xfId="1346"/>
    <cellStyle name="Accent2 24" xfId="1347"/>
    <cellStyle name="Accent2 25" xfId="1348"/>
    <cellStyle name="Accent2 26" xfId="1349"/>
    <cellStyle name="Accent2 27" xfId="1350"/>
    <cellStyle name="Accent2 28" xfId="1351"/>
    <cellStyle name="Accent2 29" xfId="1352"/>
    <cellStyle name="Accent2 3" xfId="1353"/>
    <cellStyle name="Accent2 30" xfId="1354"/>
    <cellStyle name="Accent2 31" xfId="1355"/>
    <cellStyle name="Accent2 32" xfId="1356"/>
    <cellStyle name="Accent2 33" xfId="1357"/>
    <cellStyle name="Accent2 34" xfId="1358"/>
    <cellStyle name="Accent2 35" xfId="1359"/>
    <cellStyle name="Accent2 36" xfId="1360"/>
    <cellStyle name="Accent2 37" xfId="1361"/>
    <cellStyle name="Accent2 38" xfId="1362"/>
    <cellStyle name="Accent2 39" xfId="1363"/>
    <cellStyle name="Accent2 4" xfId="1364"/>
    <cellStyle name="Accent2 40" xfId="1365"/>
    <cellStyle name="Accent2 41" xfId="1366"/>
    <cellStyle name="Accent2 42" xfId="1367"/>
    <cellStyle name="Accent2 43" xfId="1368"/>
    <cellStyle name="Accent2 44" xfId="1369"/>
    <cellStyle name="Accent2 45" xfId="1370"/>
    <cellStyle name="Accent2 46" xfId="1371"/>
    <cellStyle name="Accent2 47" xfId="1372"/>
    <cellStyle name="Accent2 48" xfId="1373"/>
    <cellStyle name="Accent2 49" xfId="1374"/>
    <cellStyle name="Accent2 5" xfId="1375"/>
    <cellStyle name="Accent2 50" xfId="1376"/>
    <cellStyle name="Accent2 51" xfId="1377"/>
    <cellStyle name="Accent2 52" xfId="1378"/>
    <cellStyle name="Accent2 53" xfId="1379"/>
    <cellStyle name="Accent2 54" xfId="1380"/>
    <cellStyle name="Accent2 55" xfId="1381"/>
    <cellStyle name="Accent2 56" xfId="1382"/>
    <cellStyle name="Accent2 57" xfId="1383"/>
    <cellStyle name="Accent2 58" xfId="1384"/>
    <cellStyle name="Accent2 59" xfId="1385"/>
    <cellStyle name="Accent2 6" xfId="1386"/>
    <cellStyle name="Accent2 60" xfId="1387"/>
    <cellStyle name="Accent2 7" xfId="1388"/>
    <cellStyle name="Accent2 8" xfId="1389"/>
    <cellStyle name="Accent2 9" xfId="1390"/>
    <cellStyle name="Accent3 - 20%" xfId="1391"/>
    <cellStyle name="Accent3 - 40%" xfId="1392"/>
    <cellStyle name="Accent3 - 60%" xfId="1393"/>
    <cellStyle name="Accent3 10" xfId="1394"/>
    <cellStyle name="Accent3 11" xfId="1395"/>
    <cellStyle name="Accent3 12" xfId="1396"/>
    <cellStyle name="Accent3 13" xfId="1397"/>
    <cellStyle name="Accent3 14" xfId="1398"/>
    <cellStyle name="Accent3 15" xfId="1399"/>
    <cellStyle name="Accent3 16" xfId="1400"/>
    <cellStyle name="Accent3 17" xfId="1401"/>
    <cellStyle name="Accent3 18" xfId="1402"/>
    <cellStyle name="Accent3 19" xfId="1403"/>
    <cellStyle name="Accent3 2" xfId="1404"/>
    <cellStyle name="Accent3 2 2" xfId="1405"/>
    <cellStyle name="Accent3 2 3" xfId="1406"/>
    <cellStyle name="Accent3 20" xfId="1407"/>
    <cellStyle name="Accent3 21" xfId="1408"/>
    <cellStyle name="Accent3 22" xfId="1409"/>
    <cellStyle name="Accent3 23" xfId="1410"/>
    <cellStyle name="Accent3 24" xfId="1411"/>
    <cellStyle name="Accent3 25" xfId="1412"/>
    <cellStyle name="Accent3 26" xfId="1413"/>
    <cellStyle name="Accent3 27" xfId="1414"/>
    <cellStyle name="Accent3 28" xfId="1415"/>
    <cellStyle name="Accent3 29" xfId="1416"/>
    <cellStyle name="Accent3 3" xfId="1417"/>
    <cellStyle name="Accent3 30" xfId="1418"/>
    <cellStyle name="Accent3 31" xfId="1419"/>
    <cellStyle name="Accent3 32" xfId="1420"/>
    <cellStyle name="Accent3 33" xfId="1421"/>
    <cellStyle name="Accent3 34" xfId="1422"/>
    <cellStyle name="Accent3 35" xfId="1423"/>
    <cellStyle name="Accent3 36" xfId="1424"/>
    <cellStyle name="Accent3 37" xfId="1425"/>
    <cellStyle name="Accent3 38" xfId="1426"/>
    <cellStyle name="Accent3 39" xfId="1427"/>
    <cellStyle name="Accent3 4" xfId="1428"/>
    <cellStyle name="Accent3 40" xfId="1429"/>
    <cellStyle name="Accent3 41" xfId="1430"/>
    <cellStyle name="Accent3 42" xfId="1431"/>
    <cellStyle name="Accent3 43" xfId="1432"/>
    <cellStyle name="Accent3 44" xfId="1433"/>
    <cellStyle name="Accent3 45" xfId="1434"/>
    <cellStyle name="Accent3 46" xfId="1435"/>
    <cellStyle name="Accent3 47" xfId="1436"/>
    <cellStyle name="Accent3 48" xfId="1437"/>
    <cellStyle name="Accent3 49" xfId="1438"/>
    <cellStyle name="Accent3 5" xfId="1439"/>
    <cellStyle name="Accent3 50" xfId="1440"/>
    <cellStyle name="Accent3 51" xfId="1441"/>
    <cellStyle name="Accent3 52" xfId="1442"/>
    <cellStyle name="Accent3 53" xfId="1443"/>
    <cellStyle name="Accent3 54" xfId="1444"/>
    <cellStyle name="Accent3 55" xfId="1445"/>
    <cellStyle name="Accent3 56" xfId="1446"/>
    <cellStyle name="Accent3 57" xfId="1447"/>
    <cellStyle name="Accent3 58" xfId="1448"/>
    <cellStyle name="Accent3 59" xfId="1449"/>
    <cellStyle name="Accent3 6" xfId="1450"/>
    <cellStyle name="Accent3 60" xfId="1451"/>
    <cellStyle name="Accent3 7" xfId="1452"/>
    <cellStyle name="Accent3 8" xfId="1453"/>
    <cellStyle name="Accent3 9" xfId="1454"/>
    <cellStyle name="Accent4 - 20%" xfId="1455"/>
    <cellStyle name="Accent4 - 40%" xfId="1456"/>
    <cellStyle name="Accent4 - 60%" xfId="1457"/>
    <cellStyle name="Accent4 10" xfId="1458"/>
    <cellStyle name="Accent4 11" xfId="1459"/>
    <cellStyle name="Accent4 12" xfId="1460"/>
    <cellStyle name="Accent4 13" xfId="1461"/>
    <cellStyle name="Accent4 14" xfId="1462"/>
    <cellStyle name="Accent4 15" xfId="1463"/>
    <cellStyle name="Accent4 16" xfId="1464"/>
    <cellStyle name="Accent4 17" xfId="1465"/>
    <cellStyle name="Accent4 18" xfId="1466"/>
    <cellStyle name="Accent4 19" xfId="1467"/>
    <cellStyle name="Accent4 2" xfId="1468"/>
    <cellStyle name="Accent4 2 2" xfId="1469"/>
    <cellStyle name="Accent4 2 3" xfId="1470"/>
    <cellStyle name="Accent4 20" xfId="1471"/>
    <cellStyle name="Accent4 21" xfId="1472"/>
    <cellStyle name="Accent4 22" xfId="1473"/>
    <cellStyle name="Accent4 23" xfId="1474"/>
    <cellStyle name="Accent4 24" xfId="1475"/>
    <cellStyle name="Accent4 25" xfId="1476"/>
    <cellStyle name="Accent4 26" xfId="1477"/>
    <cellStyle name="Accent4 27" xfId="1478"/>
    <cellStyle name="Accent4 28" xfId="1479"/>
    <cellStyle name="Accent4 29" xfId="1480"/>
    <cellStyle name="Accent4 3" xfId="1481"/>
    <cellStyle name="Accent4 30" xfId="1482"/>
    <cellStyle name="Accent4 31" xfId="1483"/>
    <cellStyle name="Accent4 32" xfId="1484"/>
    <cellStyle name="Accent4 33" xfId="1485"/>
    <cellStyle name="Accent4 34" xfId="1486"/>
    <cellStyle name="Accent4 35" xfId="1487"/>
    <cellStyle name="Accent4 36" xfId="1488"/>
    <cellStyle name="Accent4 37" xfId="1489"/>
    <cellStyle name="Accent4 38" xfId="1490"/>
    <cellStyle name="Accent4 39" xfId="1491"/>
    <cellStyle name="Accent4 4" xfId="1492"/>
    <cellStyle name="Accent4 40" xfId="1493"/>
    <cellStyle name="Accent4 41" xfId="1494"/>
    <cellStyle name="Accent4 42" xfId="1495"/>
    <cellStyle name="Accent4 43" xfId="1496"/>
    <cellStyle name="Accent4 44" xfId="1497"/>
    <cellStyle name="Accent4 45" xfId="1498"/>
    <cellStyle name="Accent4 46" xfId="1499"/>
    <cellStyle name="Accent4 47" xfId="1500"/>
    <cellStyle name="Accent4 48" xfId="1501"/>
    <cellStyle name="Accent4 49" xfId="1502"/>
    <cellStyle name="Accent4 5" xfId="1503"/>
    <cellStyle name="Accent4 50" xfId="1504"/>
    <cellStyle name="Accent4 51" xfId="1505"/>
    <cellStyle name="Accent4 52" xfId="1506"/>
    <cellStyle name="Accent4 53" xfId="1507"/>
    <cellStyle name="Accent4 54" xfId="1508"/>
    <cellStyle name="Accent4 55" xfId="1509"/>
    <cellStyle name="Accent4 56" xfId="1510"/>
    <cellStyle name="Accent4 57" xfId="1511"/>
    <cellStyle name="Accent4 58" xfId="1512"/>
    <cellStyle name="Accent4 59" xfId="1513"/>
    <cellStyle name="Accent4 6" xfId="1514"/>
    <cellStyle name="Accent4 60" xfId="1515"/>
    <cellStyle name="Accent4 7" xfId="1516"/>
    <cellStyle name="Accent4 8" xfId="1517"/>
    <cellStyle name="Accent4 9" xfId="1518"/>
    <cellStyle name="Accent5 - 20%" xfId="1519"/>
    <cellStyle name="Accent5 - 40%" xfId="1520"/>
    <cellStyle name="Accent5 - 60%" xfId="1521"/>
    <cellStyle name="Accent5 10" xfId="1522"/>
    <cellStyle name="Accent5 11" xfId="1523"/>
    <cellStyle name="Accent5 12" xfId="1524"/>
    <cellStyle name="Accent5 13" xfId="1525"/>
    <cellStyle name="Accent5 14" xfId="1526"/>
    <cellStyle name="Accent5 15" xfId="1527"/>
    <cellStyle name="Accent5 16" xfId="1528"/>
    <cellStyle name="Accent5 17" xfId="1529"/>
    <cellStyle name="Accent5 18" xfId="1530"/>
    <cellStyle name="Accent5 19" xfId="1531"/>
    <cellStyle name="Accent5 2" xfId="1532"/>
    <cellStyle name="Accent5 2 2" xfId="1533"/>
    <cellStyle name="Accent5 2 3" xfId="1534"/>
    <cellStyle name="Accent5 20" xfId="1535"/>
    <cellStyle name="Accent5 21" xfId="1536"/>
    <cellStyle name="Accent5 22" xfId="1537"/>
    <cellStyle name="Accent5 23" xfId="1538"/>
    <cellStyle name="Accent5 24" xfId="1539"/>
    <cellStyle name="Accent5 25" xfId="1540"/>
    <cellStyle name="Accent5 26" xfId="1541"/>
    <cellStyle name="Accent5 27" xfId="1542"/>
    <cellStyle name="Accent5 28" xfId="1543"/>
    <cellStyle name="Accent5 29" xfId="1544"/>
    <cellStyle name="Accent5 3" xfId="1545"/>
    <cellStyle name="Accent5 30" xfId="1546"/>
    <cellStyle name="Accent5 31" xfId="1547"/>
    <cellStyle name="Accent5 32" xfId="1548"/>
    <cellStyle name="Accent5 33" xfId="1549"/>
    <cellStyle name="Accent5 34" xfId="1550"/>
    <cellStyle name="Accent5 35" xfId="1551"/>
    <cellStyle name="Accent5 36" xfId="1552"/>
    <cellStyle name="Accent5 37" xfId="1553"/>
    <cellStyle name="Accent5 38" xfId="1554"/>
    <cellStyle name="Accent5 39" xfId="1555"/>
    <cellStyle name="Accent5 4" xfId="1556"/>
    <cellStyle name="Accent5 40" xfId="1557"/>
    <cellStyle name="Accent5 41" xfId="1558"/>
    <cellStyle name="Accent5 42" xfId="1559"/>
    <cellStyle name="Accent5 43" xfId="1560"/>
    <cellStyle name="Accent5 44" xfId="1561"/>
    <cellStyle name="Accent5 45" xfId="1562"/>
    <cellStyle name="Accent5 46" xfId="1563"/>
    <cellStyle name="Accent5 47" xfId="1564"/>
    <cellStyle name="Accent5 48" xfId="1565"/>
    <cellStyle name="Accent5 49" xfId="1566"/>
    <cellStyle name="Accent5 5" xfId="1567"/>
    <cellStyle name="Accent5 50" xfId="1568"/>
    <cellStyle name="Accent5 51" xfId="1569"/>
    <cellStyle name="Accent5 52" xfId="1570"/>
    <cellStyle name="Accent5 53" xfId="1571"/>
    <cellStyle name="Accent5 54" xfId="1572"/>
    <cellStyle name="Accent5 55" xfId="1573"/>
    <cellStyle name="Accent5 56" xfId="1574"/>
    <cellStyle name="Accent5 57" xfId="1575"/>
    <cellStyle name="Accent5 58" xfId="1576"/>
    <cellStyle name="Accent5 59" xfId="1577"/>
    <cellStyle name="Accent5 6" xfId="1578"/>
    <cellStyle name="Accent5 60" xfId="1579"/>
    <cellStyle name="Accent5 7" xfId="1580"/>
    <cellStyle name="Accent5 8" xfId="1581"/>
    <cellStyle name="Accent5 9" xfId="1582"/>
    <cellStyle name="Accent6 - 20%" xfId="1583"/>
    <cellStyle name="Accent6 - 40%" xfId="1584"/>
    <cellStyle name="Accent6 - 60%" xfId="1585"/>
    <cellStyle name="Accent6 10" xfId="1586"/>
    <cellStyle name="Accent6 11" xfId="1587"/>
    <cellStyle name="Accent6 12" xfId="1588"/>
    <cellStyle name="Accent6 13" xfId="1589"/>
    <cellStyle name="Accent6 14" xfId="1590"/>
    <cellStyle name="Accent6 15" xfId="1591"/>
    <cellStyle name="Accent6 16" xfId="1592"/>
    <cellStyle name="Accent6 17" xfId="1593"/>
    <cellStyle name="Accent6 18" xfId="1594"/>
    <cellStyle name="Accent6 19" xfId="1595"/>
    <cellStyle name="Accent6 2" xfId="1596"/>
    <cellStyle name="Accent6 2 2" xfId="1597"/>
    <cellStyle name="Accent6 2 3" xfId="1598"/>
    <cellStyle name="Accent6 20" xfId="1599"/>
    <cellStyle name="Accent6 21" xfId="1600"/>
    <cellStyle name="Accent6 22" xfId="1601"/>
    <cellStyle name="Accent6 23" xfId="1602"/>
    <cellStyle name="Accent6 24" xfId="1603"/>
    <cellStyle name="Accent6 25" xfId="1604"/>
    <cellStyle name="Accent6 26" xfId="1605"/>
    <cellStyle name="Accent6 27" xfId="1606"/>
    <cellStyle name="Accent6 28" xfId="1607"/>
    <cellStyle name="Accent6 29" xfId="1608"/>
    <cellStyle name="Accent6 3" xfId="1609"/>
    <cellStyle name="Accent6 30" xfId="1610"/>
    <cellStyle name="Accent6 31" xfId="1611"/>
    <cellStyle name="Accent6 32" xfId="1612"/>
    <cellStyle name="Accent6 33" xfId="1613"/>
    <cellStyle name="Accent6 34" xfId="1614"/>
    <cellStyle name="Accent6 35" xfId="1615"/>
    <cellStyle name="Accent6 36" xfId="1616"/>
    <cellStyle name="Accent6 37" xfId="1617"/>
    <cellStyle name="Accent6 38" xfId="1618"/>
    <cellStyle name="Accent6 39" xfId="1619"/>
    <cellStyle name="Accent6 4" xfId="1620"/>
    <cellStyle name="Accent6 40" xfId="1621"/>
    <cellStyle name="Accent6 41" xfId="1622"/>
    <cellStyle name="Accent6 42" xfId="1623"/>
    <cellStyle name="Accent6 43" xfId="1624"/>
    <cellStyle name="Accent6 44" xfId="1625"/>
    <cellStyle name="Accent6 45" xfId="1626"/>
    <cellStyle name="Accent6 46" xfId="1627"/>
    <cellStyle name="Accent6 47" xfId="1628"/>
    <cellStyle name="Accent6 48" xfId="1629"/>
    <cellStyle name="Accent6 49" xfId="1630"/>
    <cellStyle name="Accent6 5" xfId="1631"/>
    <cellStyle name="Accent6 50" xfId="1632"/>
    <cellStyle name="Accent6 51" xfId="1633"/>
    <cellStyle name="Accent6 52" xfId="1634"/>
    <cellStyle name="Accent6 53" xfId="1635"/>
    <cellStyle name="Accent6 54" xfId="1636"/>
    <cellStyle name="Accent6 55" xfId="1637"/>
    <cellStyle name="Accent6 56" xfId="1638"/>
    <cellStyle name="Accent6 57" xfId="1639"/>
    <cellStyle name="Accent6 58" xfId="1640"/>
    <cellStyle name="Accent6 59" xfId="1641"/>
    <cellStyle name="Accent6 6" xfId="1642"/>
    <cellStyle name="Accent6 60" xfId="1643"/>
    <cellStyle name="Accent6 7" xfId="1644"/>
    <cellStyle name="Accent6 8" xfId="1645"/>
    <cellStyle name="Accent6 9" xfId="1646"/>
    <cellStyle name="active" xfId="1647"/>
    <cellStyle name="ÅëÈ­ [0]_      " xfId="1648"/>
    <cellStyle name="AeE­ [0]_INQUIRY ¿?¾÷AßAø " xfId="1649"/>
    <cellStyle name="ÅëÈ­ [0]_L601CPT" xfId="1650"/>
    <cellStyle name="ÅëÈ­_      " xfId="1651"/>
    <cellStyle name="AeE­_INQUIRY ¿?¾÷AßAø " xfId="1652"/>
    <cellStyle name="ÅëÈ­_L601CPT" xfId="1653"/>
    <cellStyle name="args.style" xfId="1654"/>
    <cellStyle name="args.style 2" xfId="1655"/>
    <cellStyle name="at" xfId="1656"/>
    <cellStyle name="at 2" xfId="1657"/>
    <cellStyle name="ÄÞ¸¶ [0]_      " xfId="1658"/>
    <cellStyle name="AÞ¸¶ [0]_INQUIRY ¿?¾÷AßAø " xfId="1659"/>
    <cellStyle name="ÄÞ¸¶ [0]_L601CPT" xfId="1660"/>
    <cellStyle name="ÄÞ¸¶_      " xfId="1661"/>
    <cellStyle name="AÞ¸¶_INQUIRY ¿?¾÷AßAø " xfId="1662"/>
    <cellStyle name="ÄÞ¸¶_L601CPT" xfId="1663"/>
    <cellStyle name="AutoFormat Options" xfId="1664"/>
    <cellStyle name="AutoFormat Options 2" xfId="1665"/>
    <cellStyle name="Bad 2" xfId="1666"/>
    <cellStyle name="Bad 2 2" xfId="1667"/>
    <cellStyle name="Bad 2 3" xfId="1668"/>
    <cellStyle name="Bad 3" xfId="1669"/>
    <cellStyle name="Bad 4" xfId="1670"/>
    <cellStyle name="Bangchu" xfId="1671"/>
    <cellStyle name="Bangchu 2" xfId="1672"/>
    <cellStyle name="Bình Thường_DS truong Mam non" xfId="1673"/>
    <cellStyle name="Body" xfId="1674"/>
    <cellStyle name="Body 2" xfId="1675"/>
    <cellStyle name="Body 3" xfId="1676"/>
    <cellStyle name="C?AØ_¿?¾÷CoE² " xfId="1677"/>
    <cellStyle name="C~1" xfId="1678"/>
    <cellStyle name="C~1 2" xfId="1679"/>
    <cellStyle name="C~1 3" xfId="1680"/>
    <cellStyle name="Ç¥ÁØ_      " xfId="1681"/>
    <cellStyle name="C￥AØ_¿μ¾÷CoE² " xfId="1682"/>
    <cellStyle name="Ç¥ÁØ_±¸¹Ì´ëÃ¥" xfId="1683"/>
    <cellStyle name="C￥AØ_≫c¾÷ºIº° AN°e " xfId="1684"/>
    <cellStyle name="Ç¥ÁØ_PO0862_bldg_BQ" xfId="1685"/>
    <cellStyle name="C￥AØ_Sheet1_¿μ¾÷CoE² " xfId="1686"/>
    <cellStyle name="Ç¥ÁØ_ÿÿÿÿÿÿ_4_ÃÑÇÕ°è " xfId="1687"/>
    <cellStyle name="Ç§Î»·Ö¸ô[0]_Sheet1" xfId="1688"/>
    <cellStyle name="Ç§Î»·Ö¸ô_Sheet1" xfId="1689"/>
    <cellStyle name="Calc Currency (0)" xfId="1690"/>
    <cellStyle name="Calc Currency (0) 2" xfId="1691"/>
    <cellStyle name="Calc Currency (0) 3" xfId="1692"/>
    <cellStyle name="Calc Currency (2)" xfId="1693"/>
    <cellStyle name="Calc Currency (2) 2" xfId="1694"/>
    <cellStyle name="Calc Percent (0)" xfId="1695"/>
    <cellStyle name="Calc Percent (0) 2" xfId="1696"/>
    <cellStyle name="Calc Percent (1)" xfId="1697"/>
    <cellStyle name="Calc Percent (1) 2" xfId="1698"/>
    <cellStyle name="Calc Percent (2)" xfId="1699"/>
    <cellStyle name="Calc Percent (2) 2" xfId="1700"/>
    <cellStyle name="Calc Percent (2) 2 2" xfId="1701"/>
    <cellStyle name="Calc Percent (2) 3" xfId="1702"/>
    <cellStyle name="Calc Units (0)" xfId="1703"/>
    <cellStyle name="Calc Units (0) 2" xfId="1704"/>
    <cellStyle name="Calc Units (1)" xfId="1705"/>
    <cellStyle name="Calc Units (1) 2" xfId="1706"/>
    <cellStyle name="Calc Units (2)" xfId="1707"/>
    <cellStyle name="Calc Units (2) 2" xfId="1708"/>
    <cellStyle name="Calculation 2" xfId="1709"/>
    <cellStyle name="Calculation 2 2" xfId="1710"/>
    <cellStyle name="Calculation 2 3" xfId="1711"/>
    <cellStyle name="Calculation 3" xfId="1712"/>
    <cellStyle name="Calculation 4" xfId="1713"/>
    <cellStyle name="category" xfId="1714"/>
    <cellStyle name="category 2" xfId="1715"/>
    <cellStyle name="category 3" xfId="1716"/>
    <cellStyle name="CC1" xfId="1717"/>
    <cellStyle name="CC1 2" xfId="1718"/>
    <cellStyle name="CC2" xfId="1719"/>
    <cellStyle name="CC2 2" xfId="1720"/>
    <cellStyle name="Cerrency_Sheet2_XANGDAU" xfId="1721"/>
    <cellStyle name="cg" xfId="1722"/>
    <cellStyle name="cg 2" xfId="1723"/>
    <cellStyle name="Col Heads" xfId="1734"/>
    <cellStyle name="Col Heads 2" xfId="1735"/>
    <cellStyle name="ColLevel_0" xfId="1736"/>
    <cellStyle name="Comma" xfId="1" builtinId="3"/>
    <cellStyle name="Comma  - Style1" xfId="1737"/>
    <cellStyle name="Comma  - Style1 2" xfId="1738"/>
    <cellStyle name="Comma  - Style1 3" xfId="1739"/>
    <cellStyle name="Comma  - Style2" xfId="1740"/>
    <cellStyle name="Comma  - Style2 2" xfId="1741"/>
    <cellStyle name="Comma  - Style2 3" xfId="1742"/>
    <cellStyle name="Comma  - Style3" xfId="1743"/>
    <cellStyle name="Comma  - Style3 2" xfId="1744"/>
    <cellStyle name="Comma  - Style3 3" xfId="1745"/>
    <cellStyle name="Comma  - Style4" xfId="1746"/>
    <cellStyle name="Comma  - Style4 2" xfId="1747"/>
    <cellStyle name="Comma  - Style4 3" xfId="1748"/>
    <cellStyle name="Comma  - Style5" xfId="1749"/>
    <cellStyle name="Comma  - Style5 2" xfId="1750"/>
    <cellStyle name="Comma  - Style5 3" xfId="1751"/>
    <cellStyle name="Comma  - Style6" xfId="1752"/>
    <cellStyle name="Comma  - Style6 2" xfId="1753"/>
    <cellStyle name="Comma  - Style6 3" xfId="1754"/>
    <cellStyle name="Comma  - Style7" xfId="1755"/>
    <cellStyle name="Comma  - Style7 2" xfId="1756"/>
    <cellStyle name="Comma  - Style7 3" xfId="1757"/>
    <cellStyle name="Comma  - Style8" xfId="1758"/>
    <cellStyle name="Comma  - Style8 2" xfId="1759"/>
    <cellStyle name="Comma  - Style8 3" xfId="1760"/>
    <cellStyle name="Comma [ ,]" xfId="1761"/>
    <cellStyle name="Comma [ ,] 2" xfId="1762"/>
    <cellStyle name="Comma [0] 10" xfId="1763"/>
    <cellStyle name="Comma [0] 12" xfId="1764"/>
    <cellStyle name="Comma [0] 2" xfId="1765"/>
    <cellStyle name="Comma [0] 2 2" xfId="1766"/>
    <cellStyle name="Comma [0] 2 3" xfId="1767"/>
    <cellStyle name="Comma [0] 2 4" xfId="1768"/>
    <cellStyle name="Comma [00]" xfId="1769"/>
    <cellStyle name="Comma [00] 2" xfId="1770"/>
    <cellStyle name="Comma 10" xfId="1771"/>
    <cellStyle name="Comma 10 10" xfId="1772"/>
    <cellStyle name="Comma 10 10 10" xfId="1773"/>
    <cellStyle name="Comma 10 10 2" xfId="1774"/>
    <cellStyle name="Comma 10 10 3 2" xfId="11004"/>
    <cellStyle name="Comma 10 10 5" xfId="1775"/>
    <cellStyle name="Comma 10 2" xfId="1776"/>
    <cellStyle name="Comma 10 2 2" xfId="1777"/>
    <cellStyle name="Comma 10 2 3" xfId="1778"/>
    <cellStyle name="Comma 10 3" xfId="1779"/>
    <cellStyle name="Comma 10 4" xfId="1780"/>
    <cellStyle name="Comma 10 5" xfId="1781"/>
    <cellStyle name="Comma 100" xfId="1782"/>
    <cellStyle name="Comma 101" xfId="1783"/>
    <cellStyle name="Comma 102" xfId="1784"/>
    <cellStyle name="Comma 103" xfId="1785"/>
    <cellStyle name="Comma 104" xfId="1786"/>
    <cellStyle name="Comma 105" xfId="1787"/>
    <cellStyle name="Comma 106" xfId="1788"/>
    <cellStyle name="Comma 107" xfId="1789"/>
    <cellStyle name="Comma 108" xfId="1790"/>
    <cellStyle name="Comma 109" xfId="1791"/>
    <cellStyle name="Comma 11" xfId="1792"/>
    <cellStyle name="Comma 11 2" xfId="1793"/>
    <cellStyle name="Comma 11 3" xfId="1794"/>
    <cellStyle name="Comma 110" xfId="1795"/>
    <cellStyle name="Comma 111" xfId="1796"/>
    <cellStyle name="Comma 112" xfId="1797"/>
    <cellStyle name="Comma 113" xfId="1798"/>
    <cellStyle name="Comma 114" xfId="1799"/>
    <cellStyle name="Comma 115" xfId="1800"/>
    <cellStyle name="Comma 116" xfId="1801"/>
    <cellStyle name="Comma 117" xfId="11001"/>
    <cellStyle name="Comma 12" xfId="16"/>
    <cellStyle name="Comma 12 2" xfId="1802"/>
    <cellStyle name="Comma 13" xfId="1803"/>
    <cellStyle name="Comma 13 2" xfId="1804"/>
    <cellStyle name="Comma 14" xfId="1805"/>
    <cellStyle name="Comma 14 2" xfId="9"/>
    <cellStyle name="Comma 14 3" xfId="1806"/>
    <cellStyle name="Comma 15" xfId="1807"/>
    <cellStyle name="Comma 15 2" xfId="1808"/>
    <cellStyle name="Comma 16" xfId="1809"/>
    <cellStyle name="Comma 16 2" xfId="1810"/>
    <cellStyle name="Comma 16 3" xfId="1811"/>
    <cellStyle name="Comma 16 3 2 2 2 3" xfId="1812"/>
    <cellStyle name="Comma 16 3 2 2 2 3 2" xfId="10999"/>
    <cellStyle name="Comma 16 3 8" xfId="1813"/>
    <cellStyle name="Comma 17" xfId="1814"/>
    <cellStyle name="Comma 18" xfId="1815"/>
    <cellStyle name="Comma 18 2" xfId="1816"/>
    <cellStyle name="Comma 19" xfId="1817"/>
    <cellStyle name="Comma 2" xfId="4"/>
    <cellStyle name="Comma 2 10" xfId="1818"/>
    <cellStyle name="Comma 2 2" xfId="14"/>
    <cellStyle name="Comma 2 2 2" xfId="1819"/>
    <cellStyle name="Comma 2 2 2 24" xfId="1820"/>
    <cellStyle name="Comma 2 2 3" xfId="1821"/>
    <cellStyle name="Comma 2 28" xfId="1822"/>
    <cellStyle name="Comma 2 3" xfId="20"/>
    <cellStyle name="Comma 2 3 2" xfId="1823"/>
    <cellStyle name="Comma 2 3 3" xfId="1824"/>
    <cellStyle name="Comma 2 3 4" xfId="10994"/>
    <cellStyle name="Comma 2 32" xfId="1825"/>
    <cellStyle name="Comma 2 6" xfId="1826"/>
    <cellStyle name="Comma 2_bao cao cua UBND tinh quy II - 2011" xfId="1827"/>
    <cellStyle name="Comma 20" xfId="1828"/>
    <cellStyle name="Comma 21" xfId="1829"/>
    <cellStyle name="Comma 21 2" xfId="1830"/>
    <cellStyle name="Comma 22" xfId="1831"/>
    <cellStyle name="Comma 23" xfId="1832"/>
    <cellStyle name="Comma 23 2" xfId="1833"/>
    <cellStyle name="Comma 24" xfId="1834"/>
    <cellStyle name="Comma 24 2" xfId="1835"/>
    <cellStyle name="Comma 24 2 2 3" xfId="1836"/>
    <cellStyle name="Comma 24 2 3" xfId="1837"/>
    <cellStyle name="Comma 25" xfId="1838"/>
    <cellStyle name="Comma 26" xfId="1839"/>
    <cellStyle name="Comma 27" xfId="1840"/>
    <cellStyle name="Comma 28" xfId="1841"/>
    <cellStyle name="Comma 29" xfId="1842"/>
    <cellStyle name="Comma 3" xfId="1843"/>
    <cellStyle name="Comma 3 2" xfId="1844"/>
    <cellStyle name="Comma 3 2 2" xfId="1845"/>
    <cellStyle name="Comma 3 2 3" xfId="1846"/>
    <cellStyle name="Comma 3 2 6" xfId="1847"/>
    <cellStyle name="Comma 3 3" xfId="1848"/>
    <cellStyle name="Comma 3 4" xfId="1849"/>
    <cellStyle name="Comma 3 5" xfId="1850"/>
    <cellStyle name="Comma 3 8" xfId="1851"/>
    <cellStyle name="Comma 3 9" xfId="1852"/>
    <cellStyle name="Comma 30" xfId="1853"/>
    <cellStyle name="Comma 30 2" xfId="1854"/>
    <cellStyle name="Comma 31" xfId="1855"/>
    <cellStyle name="Comma 32" xfId="1856"/>
    <cellStyle name="Comma 33" xfId="1857"/>
    <cellStyle name="Comma 34" xfId="1858"/>
    <cellStyle name="Comma 35" xfId="1859"/>
    <cellStyle name="Comma 36" xfId="1860"/>
    <cellStyle name="Comma 37" xfId="1861"/>
    <cellStyle name="Comma 38" xfId="1862"/>
    <cellStyle name="Comma 39" xfId="1863"/>
    <cellStyle name="Comma 4" xfId="1864"/>
    <cellStyle name="Comma 4 2" xfId="1865"/>
    <cellStyle name="Comma 4 2 2" xfId="1866"/>
    <cellStyle name="Comma 4 2 3" xfId="1867"/>
    <cellStyle name="Comma 4 20" xfId="1868"/>
    <cellStyle name="Comma 4 3" xfId="1869"/>
    <cellStyle name="Comma 4 4" xfId="1870"/>
    <cellStyle name="Comma 40" xfId="1871"/>
    <cellStyle name="Comma 41" xfId="1872"/>
    <cellStyle name="Comma 42" xfId="1873"/>
    <cellStyle name="Comma 43" xfId="1874"/>
    <cellStyle name="Comma 44" xfId="1875"/>
    <cellStyle name="Comma 45" xfId="1876"/>
    <cellStyle name="Comma 46" xfId="1877"/>
    <cellStyle name="Comma 47" xfId="1878"/>
    <cellStyle name="Comma 48" xfId="1879"/>
    <cellStyle name="Comma 49" xfId="1880"/>
    <cellStyle name="Comma 5" xfId="1881"/>
    <cellStyle name="Comma 5 2" xfId="1882"/>
    <cellStyle name="Comma 5 2 2" xfId="1883"/>
    <cellStyle name="Comma 5 2 3" xfId="1884"/>
    <cellStyle name="Comma 5 3" xfId="1885"/>
    <cellStyle name="Comma 50" xfId="1886"/>
    <cellStyle name="Comma 51" xfId="1887"/>
    <cellStyle name="Comma 52" xfId="1888"/>
    <cellStyle name="Comma 52 2" xfId="11002"/>
    <cellStyle name="Comma 53" xfId="1889"/>
    <cellStyle name="Comma 53 2" xfId="1890"/>
    <cellStyle name="Comma 53 5" xfId="1891"/>
    <cellStyle name="Comma 54" xfId="1892"/>
    <cellStyle name="Comma 55" xfId="1893"/>
    <cellStyle name="Comma 56" xfId="1894"/>
    <cellStyle name="Comma 57" xfId="1895"/>
    <cellStyle name="Comma 58" xfId="1896"/>
    <cellStyle name="Comma 59" xfId="1897"/>
    <cellStyle name="Comma 6" xfId="1898"/>
    <cellStyle name="Comma 6 2" xfId="1899"/>
    <cellStyle name="Comma 6 3" xfId="1900"/>
    <cellStyle name="Comma 6 4" xfId="1901"/>
    <cellStyle name="Comma 60" xfId="1902"/>
    <cellStyle name="Comma 61" xfId="1903"/>
    <cellStyle name="Comma 62" xfId="1904"/>
    <cellStyle name="Comma 63" xfId="1905"/>
    <cellStyle name="Comma 64" xfId="1906"/>
    <cellStyle name="Comma 65" xfId="1907"/>
    <cellStyle name="Comma 66" xfId="1908"/>
    <cellStyle name="Comma 67" xfId="1909"/>
    <cellStyle name="Comma 68" xfId="1910"/>
    <cellStyle name="Comma 69" xfId="1911"/>
    <cellStyle name="Comma 7" xfId="2"/>
    <cellStyle name="Comma 7 2" xfId="1912"/>
    <cellStyle name="Comma 7 2 2" xfId="1913"/>
    <cellStyle name="Comma 7 3" xfId="1914"/>
    <cellStyle name="Comma 7 4" xfId="1915"/>
    <cellStyle name="Comma 70" xfId="1916"/>
    <cellStyle name="Comma 71" xfId="1917"/>
    <cellStyle name="Comma 72" xfId="1918"/>
    <cellStyle name="Comma 73" xfId="1919"/>
    <cellStyle name="Comma 74" xfId="1920"/>
    <cellStyle name="Comma 75" xfId="1921"/>
    <cellStyle name="Comma 76" xfId="1922"/>
    <cellStyle name="Comma 77" xfId="1923"/>
    <cellStyle name="Comma 78" xfId="13"/>
    <cellStyle name="Comma 79" xfId="17"/>
    <cellStyle name="Comma 8" xfId="1924"/>
    <cellStyle name="Comma 8 2" xfId="1925"/>
    <cellStyle name="Comma 8 3" xfId="1926"/>
    <cellStyle name="Comma 80" xfId="1927"/>
    <cellStyle name="Comma 81" xfId="1928"/>
    <cellStyle name="Comma 82" xfId="1929"/>
    <cellStyle name="Comma 83" xfId="1930"/>
    <cellStyle name="Comma 84" xfId="1931"/>
    <cellStyle name="Comma 85" xfId="1932"/>
    <cellStyle name="Comma 86" xfId="1933"/>
    <cellStyle name="Comma 87" xfId="1934"/>
    <cellStyle name="Comma 88" xfId="1935"/>
    <cellStyle name="Comma 89" xfId="1936"/>
    <cellStyle name="Comma 9" xfId="1937"/>
    <cellStyle name="Comma 9 2" xfId="1938"/>
    <cellStyle name="Comma 9 2 2" xfId="1939"/>
    <cellStyle name="Comma 9 3" xfId="1940"/>
    <cellStyle name="Comma 9 4" xfId="1941"/>
    <cellStyle name="Comma 90" xfId="1942"/>
    <cellStyle name="Comma 91" xfId="1943"/>
    <cellStyle name="Comma 92" xfId="1944"/>
    <cellStyle name="Comma 93" xfId="1945"/>
    <cellStyle name="Comma 94" xfId="1946"/>
    <cellStyle name="Comma 95" xfId="1947"/>
    <cellStyle name="Comma 96" xfId="1948"/>
    <cellStyle name="Comma 97" xfId="1949"/>
    <cellStyle name="Comma 98" xfId="1950"/>
    <cellStyle name="Comma 99" xfId="1951"/>
    <cellStyle name="comma zerodec" xfId="1952"/>
    <cellStyle name="comma zerodec 2" xfId="1953"/>
    <cellStyle name="comma zerodec 3" xfId="1954"/>
    <cellStyle name="Comma,0" xfId="1955"/>
    <cellStyle name="Comma,0 2" xfId="1956"/>
    <cellStyle name="Comma,1" xfId="1957"/>
    <cellStyle name="Comma,1 2" xfId="1958"/>
    <cellStyle name="Comma,2" xfId="1959"/>
    <cellStyle name="Comma,2 2" xfId="1960"/>
    <cellStyle name="Comma0" xfId="1961"/>
    <cellStyle name="Comma0 2" xfId="1962"/>
    <cellStyle name="Command" xfId="1963"/>
    <cellStyle name="Command 2" xfId="1964"/>
    <cellStyle name="cong" xfId="1965"/>
    <cellStyle name="cong 2" xfId="1966"/>
    <cellStyle name="Copied" xfId="1967"/>
    <cellStyle name="Copied 2" xfId="1968"/>
    <cellStyle name="COST1" xfId="1969"/>
    <cellStyle name="COST1 2" xfId="1970"/>
    <cellStyle name="Co聭ma_Sheet1" xfId="1971"/>
    <cellStyle name="Cࡵrrency_Sheet1_PRODUCTĠ" xfId="1972"/>
    <cellStyle name="CT1" xfId="1973"/>
    <cellStyle name="CT1 2" xfId="1974"/>
    <cellStyle name="CT1 3" xfId="1975"/>
    <cellStyle name="CT2" xfId="1976"/>
    <cellStyle name="CT2 2" xfId="1977"/>
    <cellStyle name="CT2 3" xfId="1978"/>
    <cellStyle name="CT4" xfId="1979"/>
    <cellStyle name="CT4 2" xfId="1980"/>
    <cellStyle name="CT4 3" xfId="1981"/>
    <cellStyle name="CT5" xfId="1982"/>
    <cellStyle name="CT5 2" xfId="1983"/>
    <cellStyle name="CT5 3" xfId="1984"/>
    <cellStyle name="ct7" xfId="1985"/>
    <cellStyle name="ct7 2" xfId="1986"/>
    <cellStyle name="ct7 3" xfId="1987"/>
    <cellStyle name="ct8" xfId="1988"/>
    <cellStyle name="ct8 2" xfId="1989"/>
    <cellStyle name="ct8 3" xfId="1990"/>
    <cellStyle name="cth1" xfId="1991"/>
    <cellStyle name="cth1 2" xfId="1992"/>
    <cellStyle name="cth1 3" xfId="1993"/>
    <cellStyle name="Cthuc" xfId="1994"/>
    <cellStyle name="Cthuc 2" xfId="1995"/>
    <cellStyle name="Cthuc1" xfId="1996"/>
    <cellStyle name="Cthuc1 2" xfId="1997"/>
    <cellStyle name="Currency [00]" xfId="1998"/>
    <cellStyle name="Currency [00] 2" xfId="1999"/>
    <cellStyle name="Currency,0" xfId="2000"/>
    <cellStyle name="Currency,0 2" xfId="2001"/>
    <cellStyle name="Currency,2" xfId="2002"/>
    <cellStyle name="Currency,2 2" xfId="2003"/>
    <cellStyle name="Currency0" xfId="2004"/>
    <cellStyle name="Currency0 2" xfId="2005"/>
    <cellStyle name="Currency1" xfId="2006"/>
    <cellStyle name="Currency1 2" xfId="2007"/>
    <cellStyle name="Currency1 3" xfId="2008"/>
    <cellStyle name="chchuyen" xfId="1724"/>
    <cellStyle name="chchuyen 2" xfId="1725"/>
    <cellStyle name="Check Cell 2" xfId="1726"/>
    <cellStyle name="Check Cell 2 2" xfId="1727"/>
    <cellStyle name="Check Cell 2 3" xfId="1728"/>
    <cellStyle name="Check Cell 3" xfId="1729"/>
    <cellStyle name="Check Cell 4" xfId="1730"/>
    <cellStyle name="Chi phÝ kh¸c_Book1" xfId="1731"/>
    <cellStyle name="CHUONG" xfId="1732"/>
    <cellStyle name="CHUONG 2" xfId="1733"/>
    <cellStyle name="d" xfId="2009"/>
    <cellStyle name="d 2" xfId="2010"/>
    <cellStyle name="d%" xfId="2011"/>
    <cellStyle name="d% 2" xfId="2012"/>
    <cellStyle name="d% 3" xfId="2013"/>
    <cellStyle name="D1" xfId="2014"/>
    <cellStyle name="D1 2" xfId="2015"/>
    <cellStyle name="D1 2 2" xfId="2016"/>
    <cellStyle name="D1 3" xfId="2017"/>
    <cellStyle name="Dan" xfId="2018"/>
    <cellStyle name="Dan 2" xfId="2019"/>
    <cellStyle name="Dan 3" xfId="2020"/>
    <cellStyle name="Date" xfId="2021"/>
    <cellStyle name="Date 2" xfId="2022"/>
    <cellStyle name="Date Short" xfId="2023"/>
    <cellStyle name="Date Short 2" xfId="2024"/>
    <cellStyle name="Date Short 2 2" xfId="2025"/>
    <cellStyle name="Date Short 3" xfId="2026"/>
    <cellStyle name="Date_Báo cáo 2005 theo Văn phòng của A. Quang" xfId="2027"/>
    <cellStyle name="DAUDE" xfId="2028"/>
    <cellStyle name="DAUDE 2" xfId="2029"/>
    <cellStyle name="dd-m" xfId="2030"/>
    <cellStyle name="dd-m 2" xfId="2031"/>
    <cellStyle name="dd-m 2 2" xfId="2032"/>
    <cellStyle name="dd-m 3" xfId="2033"/>
    <cellStyle name="dd-mm" xfId="2034"/>
    <cellStyle name="dd-mm 2" xfId="2035"/>
    <cellStyle name="dd-mm 2 2" xfId="2036"/>
    <cellStyle name="dd-mm 3" xfId="2037"/>
    <cellStyle name="ddmmyy" xfId="2038"/>
    <cellStyle name="DELTA" xfId="2039"/>
    <cellStyle name="DELTA 2" xfId="2040"/>
    <cellStyle name="Dezimal [0]_35ERI8T2gbIEMixb4v26icuOo" xfId="2041"/>
    <cellStyle name="Dezimal_35ERI8T2gbIEMixb4v26icuOo" xfId="2042"/>
    <cellStyle name="Dg" xfId="2043"/>
    <cellStyle name="Dg 2" xfId="2044"/>
    <cellStyle name="Dg 3" xfId="2045"/>
    <cellStyle name="Dgia" xfId="2046"/>
    <cellStyle name="Dgia 2" xfId="2047"/>
    <cellStyle name="Dollar (zero dec)" xfId="2048"/>
    <cellStyle name="Dollar (zero dec) 2" xfId="2049"/>
    <cellStyle name="Dollar (zero dec) 3" xfId="2050"/>
    <cellStyle name="Don gia" xfId="2051"/>
    <cellStyle name="Don gia 2" xfId="2052"/>
    <cellStyle name="Dziesi?tny [0]_Invoices2001Slovakia" xfId="2053"/>
    <cellStyle name="Dziesi?tny_Invoices2001Slovakia" xfId="2054"/>
    <cellStyle name="Dziesietny [0]_Invoices2001Slovakia" xfId="2055"/>
    <cellStyle name="Dziesiętny [0]_Invoices2001Slovakia" xfId="2056"/>
    <cellStyle name="Dziesietny [0]_Invoices2001Slovakia 2" xfId="2057"/>
    <cellStyle name="Dziesiętny [0]_Invoices2001Slovakia 2" xfId="2058"/>
    <cellStyle name="Dziesietny [0]_Invoices2001Slovakia 3" xfId="2059"/>
    <cellStyle name="Dziesiętny [0]_Invoices2001Slovakia 3" xfId="2060"/>
    <cellStyle name="Dziesietny [0]_Invoices2001Slovakia 4" xfId="2061"/>
    <cellStyle name="Dziesiętny [0]_Invoices2001Slovakia 4" xfId="2062"/>
    <cellStyle name="Dziesietny [0]_Invoices2001Slovakia 5" xfId="2063"/>
    <cellStyle name="Dziesiętny [0]_Invoices2001Slovakia 5" xfId="2064"/>
    <cellStyle name="Dziesietny [0]_Invoices2001Slovakia_01_Nha so 1_Dien" xfId="2065"/>
    <cellStyle name="Dziesiętny [0]_Invoices2001Slovakia_01_Nha so 1_Dien" xfId="2066"/>
    <cellStyle name="Dziesietny [0]_Invoices2001Slovakia_01_Nha so 1_Dien 2" xfId="2067"/>
    <cellStyle name="Dziesiętny [0]_Invoices2001Slovakia_01_Nha so 1_Dien 2" xfId="2068"/>
    <cellStyle name="Dziesietny [0]_Invoices2001Slovakia_01_Nha so 1_Dien 3" xfId="2069"/>
    <cellStyle name="Dziesiętny [0]_Invoices2001Slovakia_01_Nha so 1_Dien 3" xfId="2070"/>
    <cellStyle name="Dziesietny [0]_Invoices2001Slovakia_01_Nha so 1_Dien 4" xfId="2071"/>
    <cellStyle name="Dziesiętny [0]_Invoices2001Slovakia_01_Nha so 1_Dien 4" xfId="2072"/>
    <cellStyle name="Dziesietny [0]_Invoices2001Slovakia_01_Nha so 1_Dien 5" xfId="2073"/>
    <cellStyle name="Dziesiętny [0]_Invoices2001Slovakia_01_Nha so 1_Dien 5" xfId="2074"/>
    <cellStyle name="Dziesietny [0]_Invoices2001Slovakia_01_Nha so 1_Dien_bieu ke hoach dau thau" xfId="2075"/>
    <cellStyle name="Dziesiętny [0]_Invoices2001Slovakia_01_Nha so 1_Dien_bieu ke hoach dau thau" xfId="2076"/>
    <cellStyle name="Dziesietny [0]_Invoices2001Slovakia_01_Nha so 1_Dien_bieu ke hoach dau thau 2" xfId="2077"/>
    <cellStyle name="Dziesiętny [0]_Invoices2001Slovakia_01_Nha so 1_Dien_bieu ke hoach dau thau 2" xfId="2078"/>
    <cellStyle name="Dziesietny [0]_Invoices2001Slovakia_01_Nha so 1_Dien_bieu ke hoach dau thau 2 2" xfId="2079"/>
    <cellStyle name="Dziesiętny [0]_Invoices2001Slovakia_01_Nha so 1_Dien_bieu ke hoach dau thau 2 2" xfId="2080"/>
    <cellStyle name="Dziesietny [0]_Invoices2001Slovakia_01_Nha so 1_Dien_bieu ke hoach dau thau 3" xfId="2081"/>
    <cellStyle name="Dziesiętny [0]_Invoices2001Slovakia_01_Nha so 1_Dien_bieu ke hoach dau thau 3" xfId="2082"/>
    <cellStyle name="Dziesietny [0]_Invoices2001Slovakia_01_Nha so 1_Dien_bieu ke hoach dau thau 3 2" xfId="2083"/>
    <cellStyle name="Dziesiętny [0]_Invoices2001Slovakia_01_Nha so 1_Dien_bieu ke hoach dau thau 3 2" xfId="2084"/>
    <cellStyle name="Dziesietny [0]_Invoices2001Slovakia_01_Nha so 1_Dien_bieu ke hoach dau thau 4" xfId="2085"/>
    <cellStyle name="Dziesiętny [0]_Invoices2001Slovakia_01_Nha so 1_Dien_bieu ke hoach dau thau 4" xfId="2086"/>
    <cellStyle name="Dziesietny [0]_Invoices2001Slovakia_01_Nha so 1_Dien_bieu ke hoach dau thau 5" xfId="2087"/>
    <cellStyle name="Dziesiętny [0]_Invoices2001Slovakia_01_Nha so 1_Dien_bieu ke hoach dau thau 5" xfId="2088"/>
    <cellStyle name="Dziesietny [0]_Invoices2001Slovakia_01_Nha so 1_Dien_bieu ke hoach dau thau truong mam non SKH" xfId="2089"/>
    <cellStyle name="Dziesiętny [0]_Invoices2001Slovakia_01_Nha so 1_Dien_bieu ke hoach dau thau truong mam non SKH" xfId="2090"/>
    <cellStyle name="Dziesietny [0]_Invoices2001Slovakia_01_Nha so 1_Dien_bieu ke hoach dau thau truong mam non SKH 2" xfId="2091"/>
    <cellStyle name="Dziesiętny [0]_Invoices2001Slovakia_01_Nha so 1_Dien_bieu ke hoach dau thau truong mam non SKH 2" xfId="2092"/>
    <cellStyle name="Dziesietny [0]_Invoices2001Slovakia_01_Nha so 1_Dien_bieu ke hoach dau thau truong mam non SKH 2 2" xfId="2093"/>
    <cellStyle name="Dziesiętny [0]_Invoices2001Slovakia_01_Nha so 1_Dien_bieu ke hoach dau thau truong mam non SKH 2 2" xfId="2094"/>
    <cellStyle name="Dziesietny [0]_Invoices2001Slovakia_01_Nha so 1_Dien_bieu ke hoach dau thau truong mam non SKH 3" xfId="2095"/>
    <cellStyle name="Dziesiętny [0]_Invoices2001Slovakia_01_Nha so 1_Dien_bieu ke hoach dau thau truong mam non SKH 3" xfId="2096"/>
    <cellStyle name="Dziesietny [0]_Invoices2001Slovakia_01_Nha so 1_Dien_bieu ke hoach dau thau truong mam non SKH 3 2" xfId="2097"/>
    <cellStyle name="Dziesiętny [0]_Invoices2001Slovakia_01_Nha so 1_Dien_bieu ke hoach dau thau truong mam non SKH 3 2" xfId="2098"/>
    <cellStyle name="Dziesietny [0]_Invoices2001Slovakia_01_Nha so 1_Dien_bieu ke hoach dau thau truong mam non SKH 4" xfId="2099"/>
    <cellStyle name="Dziesiętny [0]_Invoices2001Slovakia_01_Nha so 1_Dien_bieu ke hoach dau thau truong mam non SKH 4" xfId="2100"/>
    <cellStyle name="Dziesietny [0]_Invoices2001Slovakia_01_Nha so 1_Dien_bieu ke hoach dau thau truong mam non SKH 5" xfId="2101"/>
    <cellStyle name="Dziesiętny [0]_Invoices2001Slovakia_01_Nha so 1_Dien_bieu ke hoach dau thau truong mam non SKH 5" xfId="2102"/>
    <cellStyle name="Dziesietny [0]_Invoices2001Slovakia_01_Nha so 1_Dien_bieu tong hop lai kh von 2011 gui phong TH-KTDN" xfId="2103"/>
    <cellStyle name="Dziesiętny [0]_Invoices2001Slovakia_01_Nha so 1_Dien_bieu tong hop lai kh von 2011 gui phong TH-KTDN" xfId="2104"/>
    <cellStyle name="Dziesietny [0]_Invoices2001Slovakia_01_Nha so 1_Dien_bieu tong hop lai kh von 2011 gui phong TH-KTDN 2" xfId="2105"/>
    <cellStyle name="Dziesiętny [0]_Invoices2001Slovakia_01_Nha so 1_Dien_bieu tong hop lai kh von 2011 gui phong TH-KTDN 2" xfId="2106"/>
    <cellStyle name="Dziesietny [0]_Invoices2001Slovakia_01_Nha so 1_Dien_bieu tong hop lai kh von 2011 gui phong TH-KTDN 2 2" xfId="2107"/>
    <cellStyle name="Dziesiętny [0]_Invoices2001Slovakia_01_Nha so 1_Dien_bieu tong hop lai kh von 2011 gui phong TH-KTDN 2 2" xfId="2108"/>
    <cellStyle name="Dziesietny [0]_Invoices2001Slovakia_01_Nha so 1_Dien_bieu tong hop lai kh von 2011 gui phong TH-KTDN 3" xfId="2109"/>
    <cellStyle name="Dziesiętny [0]_Invoices2001Slovakia_01_Nha so 1_Dien_bieu tong hop lai kh von 2011 gui phong TH-KTDN 3" xfId="2110"/>
    <cellStyle name="Dziesietny [0]_Invoices2001Slovakia_01_Nha so 1_Dien_bieu tong hop lai kh von 2011 gui phong TH-KTDN 3 2" xfId="2111"/>
    <cellStyle name="Dziesiętny [0]_Invoices2001Slovakia_01_Nha so 1_Dien_bieu tong hop lai kh von 2011 gui phong TH-KTDN 3 2" xfId="2112"/>
    <cellStyle name="Dziesietny [0]_Invoices2001Slovakia_01_Nha so 1_Dien_bieu tong hop lai kh von 2011 gui phong TH-KTDN 4" xfId="2113"/>
    <cellStyle name="Dziesiętny [0]_Invoices2001Slovakia_01_Nha so 1_Dien_bieu tong hop lai kh von 2011 gui phong TH-KTDN 4" xfId="2114"/>
    <cellStyle name="Dziesietny [0]_Invoices2001Slovakia_01_Nha so 1_Dien_bieu tong hop lai kh von 2011 gui phong TH-KTDN_BIEU KE HOACH  2015 (KTN 6.11 sua)" xfId="2115"/>
    <cellStyle name="Dziesiętny [0]_Invoices2001Slovakia_01_Nha so 1_Dien_bieu tong hop lai kh von 2011 gui phong TH-KTDN_BIEU KE HOACH  2015 (KTN 6.11 sua)" xfId="2116"/>
    <cellStyle name="Dziesietny [0]_Invoices2001Slovakia_01_Nha so 1_Dien_Book1" xfId="2117"/>
    <cellStyle name="Dziesiętny [0]_Invoices2001Slovakia_01_Nha so 1_Dien_Book1" xfId="2118"/>
    <cellStyle name="Dziesietny [0]_Invoices2001Slovakia_01_Nha so 1_Dien_Book1 2" xfId="2119"/>
    <cellStyle name="Dziesiętny [0]_Invoices2001Slovakia_01_Nha so 1_Dien_Book1 2" xfId="2120"/>
    <cellStyle name="Dziesietny [0]_Invoices2001Slovakia_01_Nha so 1_Dien_Book1 2 2" xfId="2121"/>
    <cellStyle name="Dziesiętny [0]_Invoices2001Slovakia_01_Nha so 1_Dien_Book1 2 2" xfId="2122"/>
    <cellStyle name="Dziesietny [0]_Invoices2001Slovakia_01_Nha so 1_Dien_Book1 3" xfId="2123"/>
    <cellStyle name="Dziesiętny [0]_Invoices2001Slovakia_01_Nha so 1_Dien_Book1 3" xfId="2124"/>
    <cellStyle name="Dziesietny [0]_Invoices2001Slovakia_01_Nha so 1_Dien_Book1 3 2" xfId="2125"/>
    <cellStyle name="Dziesiętny [0]_Invoices2001Slovakia_01_Nha so 1_Dien_Book1 3 2" xfId="2126"/>
    <cellStyle name="Dziesietny [0]_Invoices2001Slovakia_01_Nha so 1_Dien_Book1 4" xfId="2127"/>
    <cellStyle name="Dziesiętny [0]_Invoices2001Slovakia_01_Nha so 1_Dien_Book1 4" xfId="2128"/>
    <cellStyle name="Dziesietny [0]_Invoices2001Slovakia_01_Nha so 1_Dien_Book1 5" xfId="2129"/>
    <cellStyle name="Dziesiętny [0]_Invoices2001Slovakia_01_Nha so 1_Dien_Book1 5" xfId="2130"/>
    <cellStyle name="Dziesietny [0]_Invoices2001Slovakia_01_Nha so 1_Dien_Book1_Ke hoach 2010 (theo doi 11-8-2010)" xfId="2131"/>
    <cellStyle name="Dziesiętny [0]_Invoices2001Slovakia_01_Nha so 1_Dien_Book1_Ke hoach 2010 (theo doi 11-8-2010)" xfId="2132"/>
    <cellStyle name="Dziesietny [0]_Invoices2001Slovakia_01_Nha so 1_Dien_Book1_Ke hoach 2010 (theo doi 11-8-2010) 2" xfId="2133"/>
    <cellStyle name="Dziesiętny [0]_Invoices2001Slovakia_01_Nha so 1_Dien_Book1_Ke hoach 2010 (theo doi 11-8-2010) 2" xfId="2134"/>
    <cellStyle name="Dziesietny [0]_Invoices2001Slovakia_01_Nha so 1_Dien_Book1_Ke hoach 2010 (theo doi 11-8-2010) 2 2" xfId="2135"/>
    <cellStyle name="Dziesiętny [0]_Invoices2001Slovakia_01_Nha so 1_Dien_Book1_Ke hoach 2010 (theo doi 11-8-2010) 2 2" xfId="2136"/>
    <cellStyle name="Dziesietny [0]_Invoices2001Slovakia_01_Nha so 1_Dien_Book1_Ke hoach 2010 (theo doi 11-8-2010) 3" xfId="2137"/>
    <cellStyle name="Dziesiętny [0]_Invoices2001Slovakia_01_Nha so 1_Dien_Book1_Ke hoach 2010 (theo doi 11-8-2010) 3" xfId="2138"/>
    <cellStyle name="Dziesietny [0]_Invoices2001Slovakia_01_Nha so 1_Dien_Book1_Ke hoach 2010 (theo doi 11-8-2010) 3 2" xfId="2139"/>
    <cellStyle name="Dziesiętny [0]_Invoices2001Slovakia_01_Nha so 1_Dien_Book1_Ke hoach 2010 (theo doi 11-8-2010) 3 2" xfId="2140"/>
    <cellStyle name="Dziesietny [0]_Invoices2001Slovakia_01_Nha so 1_Dien_Book1_Ke hoach 2010 (theo doi 11-8-2010) 4" xfId="2141"/>
    <cellStyle name="Dziesiętny [0]_Invoices2001Slovakia_01_Nha so 1_Dien_Book1_Ke hoach 2010 (theo doi 11-8-2010) 4" xfId="2142"/>
    <cellStyle name="Dziesietny [0]_Invoices2001Slovakia_01_Nha so 1_Dien_Book1_Ke hoach 2010 (theo doi 11-8-2010)_BIEU KE HOACH  2015 (KTN 6.11 sua)" xfId="2143"/>
    <cellStyle name="Dziesiętny [0]_Invoices2001Slovakia_01_Nha so 1_Dien_Book1_Ke hoach 2010 (theo doi 11-8-2010)_BIEU KE HOACH  2015 (KTN 6.11 sua)" xfId="2144"/>
    <cellStyle name="Dziesietny [0]_Invoices2001Slovakia_01_Nha so 1_Dien_Book1_ke hoach dau thau 30-6-2010" xfId="2145"/>
    <cellStyle name="Dziesiętny [0]_Invoices2001Slovakia_01_Nha so 1_Dien_Book1_ke hoach dau thau 30-6-2010" xfId="2146"/>
    <cellStyle name="Dziesietny [0]_Invoices2001Slovakia_01_Nha so 1_Dien_Book1_ke hoach dau thau 30-6-2010 2" xfId="2147"/>
    <cellStyle name="Dziesiętny [0]_Invoices2001Slovakia_01_Nha so 1_Dien_Book1_ke hoach dau thau 30-6-2010 2" xfId="2148"/>
    <cellStyle name="Dziesietny [0]_Invoices2001Slovakia_01_Nha so 1_Dien_Book1_ke hoach dau thau 30-6-2010 2 2" xfId="2149"/>
    <cellStyle name="Dziesiętny [0]_Invoices2001Slovakia_01_Nha so 1_Dien_Book1_ke hoach dau thau 30-6-2010 2 2" xfId="2150"/>
    <cellStyle name="Dziesietny [0]_Invoices2001Slovakia_01_Nha so 1_Dien_Book1_ke hoach dau thau 30-6-2010 3" xfId="2151"/>
    <cellStyle name="Dziesiętny [0]_Invoices2001Slovakia_01_Nha so 1_Dien_Book1_ke hoach dau thau 30-6-2010 3" xfId="2152"/>
    <cellStyle name="Dziesietny [0]_Invoices2001Slovakia_01_Nha so 1_Dien_Book1_ke hoach dau thau 30-6-2010 3 2" xfId="2153"/>
    <cellStyle name="Dziesiętny [0]_Invoices2001Slovakia_01_Nha so 1_Dien_Book1_ke hoach dau thau 30-6-2010 3 2" xfId="2154"/>
    <cellStyle name="Dziesietny [0]_Invoices2001Slovakia_01_Nha so 1_Dien_Book1_ke hoach dau thau 30-6-2010 4" xfId="2155"/>
    <cellStyle name="Dziesiętny [0]_Invoices2001Slovakia_01_Nha so 1_Dien_Book1_ke hoach dau thau 30-6-2010 4" xfId="2156"/>
    <cellStyle name="Dziesietny [0]_Invoices2001Slovakia_01_Nha so 1_Dien_Book1_ke hoach dau thau 30-6-2010_BIEU KE HOACH  2015 (KTN 6.11 sua)" xfId="2157"/>
    <cellStyle name="Dziesiętny [0]_Invoices2001Slovakia_01_Nha so 1_Dien_Book1_ke hoach dau thau 30-6-2010_BIEU KE HOACH  2015 (KTN 6.11 sua)" xfId="2158"/>
    <cellStyle name="Dziesietny [0]_Invoices2001Slovakia_01_Nha so 1_Dien_Copy of KH PHAN BO VON ĐỐI ỨNG NAM 2011 (30 TY phuong án gop WB)" xfId="2159"/>
    <cellStyle name="Dziesiętny [0]_Invoices2001Slovakia_01_Nha so 1_Dien_Copy of KH PHAN BO VON ĐỐI ỨNG NAM 2011 (30 TY phuong án gop WB)" xfId="2160"/>
    <cellStyle name="Dziesietny [0]_Invoices2001Slovakia_01_Nha so 1_Dien_Copy of KH PHAN BO VON ĐỐI ỨNG NAM 2011 (30 TY phuong án gop WB) 2" xfId="2161"/>
    <cellStyle name="Dziesiętny [0]_Invoices2001Slovakia_01_Nha so 1_Dien_Copy of KH PHAN BO VON ĐỐI ỨNG NAM 2011 (30 TY phuong án gop WB) 2" xfId="2162"/>
    <cellStyle name="Dziesietny [0]_Invoices2001Slovakia_01_Nha so 1_Dien_Copy of KH PHAN BO VON ĐỐI ỨNG NAM 2011 (30 TY phuong án gop WB) 2 2" xfId="2163"/>
    <cellStyle name="Dziesiętny [0]_Invoices2001Slovakia_01_Nha so 1_Dien_Copy of KH PHAN BO VON ĐỐI ỨNG NAM 2011 (30 TY phuong án gop WB) 2 2" xfId="2164"/>
    <cellStyle name="Dziesietny [0]_Invoices2001Slovakia_01_Nha so 1_Dien_Copy of KH PHAN BO VON ĐỐI ỨNG NAM 2011 (30 TY phuong án gop WB) 3" xfId="2165"/>
    <cellStyle name="Dziesiętny [0]_Invoices2001Slovakia_01_Nha so 1_Dien_Copy of KH PHAN BO VON ĐỐI ỨNG NAM 2011 (30 TY phuong án gop WB) 3" xfId="2166"/>
    <cellStyle name="Dziesietny [0]_Invoices2001Slovakia_01_Nha so 1_Dien_Copy of KH PHAN BO VON ĐỐI ỨNG NAM 2011 (30 TY phuong án gop WB) 3 2" xfId="2167"/>
    <cellStyle name="Dziesiętny [0]_Invoices2001Slovakia_01_Nha so 1_Dien_Copy of KH PHAN BO VON ĐỐI ỨNG NAM 2011 (30 TY phuong án gop WB) 3 2" xfId="2168"/>
    <cellStyle name="Dziesietny [0]_Invoices2001Slovakia_01_Nha so 1_Dien_Copy of KH PHAN BO VON ĐỐI ỨNG NAM 2011 (30 TY phuong án gop WB) 4" xfId="2169"/>
    <cellStyle name="Dziesiętny [0]_Invoices2001Slovakia_01_Nha so 1_Dien_Copy of KH PHAN BO VON ĐỐI ỨNG NAM 2011 (30 TY phuong án gop WB) 4" xfId="2170"/>
    <cellStyle name="Dziesietny [0]_Invoices2001Slovakia_01_Nha so 1_Dien_Copy of KH PHAN BO VON ĐỐI ỨNG NAM 2011 (30 TY phuong án gop WB)_BIEU KE HOACH  2015 (KTN 6.11 sua)" xfId="2171"/>
    <cellStyle name="Dziesiętny [0]_Invoices2001Slovakia_01_Nha so 1_Dien_Copy of KH PHAN BO VON ĐỐI ỨNG NAM 2011 (30 TY phuong án gop WB)_BIEU KE HOACH  2015 (KTN 6.11 sua)" xfId="2172"/>
    <cellStyle name="Dziesietny [0]_Invoices2001Slovakia_01_Nha so 1_Dien_DTTD chieng chan Tham lai 29-9-2009" xfId="2173"/>
    <cellStyle name="Dziesiętny [0]_Invoices2001Slovakia_01_Nha so 1_Dien_DTTD chieng chan Tham lai 29-9-2009" xfId="2174"/>
    <cellStyle name="Dziesietny [0]_Invoices2001Slovakia_01_Nha so 1_Dien_DTTD chieng chan Tham lai 29-9-2009 2" xfId="2175"/>
    <cellStyle name="Dziesiętny [0]_Invoices2001Slovakia_01_Nha so 1_Dien_DTTD chieng chan Tham lai 29-9-2009 2" xfId="2176"/>
    <cellStyle name="Dziesietny [0]_Invoices2001Slovakia_01_Nha so 1_Dien_DTTD chieng chan Tham lai 29-9-2009 2 2" xfId="2177"/>
    <cellStyle name="Dziesiętny [0]_Invoices2001Slovakia_01_Nha so 1_Dien_DTTD chieng chan Tham lai 29-9-2009 2 2" xfId="2178"/>
    <cellStyle name="Dziesietny [0]_Invoices2001Slovakia_01_Nha so 1_Dien_DTTD chieng chan Tham lai 29-9-2009 3" xfId="2179"/>
    <cellStyle name="Dziesiętny [0]_Invoices2001Slovakia_01_Nha so 1_Dien_DTTD chieng chan Tham lai 29-9-2009 3" xfId="2180"/>
    <cellStyle name="Dziesietny [0]_Invoices2001Slovakia_01_Nha so 1_Dien_DTTD chieng chan Tham lai 29-9-2009 3 2" xfId="2181"/>
    <cellStyle name="Dziesiętny [0]_Invoices2001Slovakia_01_Nha so 1_Dien_DTTD chieng chan Tham lai 29-9-2009 3 2" xfId="2182"/>
    <cellStyle name="Dziesietny [0]_Invoices2001Slovakia_01_Nha so 1_Dien_DTTD chieng chan Tham lai 29-9-2009 4" xfId="2183"/>
    <cellStyle name="Dziesiętny [0]_Invoices2001Slovakia_01_Nha so 1_Dien_DTTD chieng chan Tham lai 29-9-2009 4" xfId="2184"/>
    <cellStyle name="Dziesietny [0]_Invoices2001Slovakia_01_Nha so 1_Dien_DTTD chieng chan Tham lai 29-9-2009_BIEU KE HOACH  2015 (KTN 6.11 sua)" xfId="2185"/>
    <cellStyle name="Dziesiętny [0]_Invoices2001Slovakia_01_Nha so 1_Dien_DTTD chieng chan Tham lai 29-9-2009_BIEU KE HOACH  2015 (KTN 6.11 sua)" xfId="2186"/>
    <cellStyle name="Dziesietny [0]_Invoices2001Slovakia_01_Nha so 1_Dien_Du toan nuoc San Thang (GD2)" xfId="2187"/>
    <cellStyle name="Dziesiętny [0]_Invoices2001Slovakia_01_Nha so 1_Dien_Du toan nuoc San Thang (GD2)" xfId="2188"/>
    <cellStyle name="Dziesietny [0]_Invoices2001Slovakia_01_Nha so 1_Dien_Du toan nuoc San Thang (GD2) 2" xfId="2189"/>
    <cellStyle name="Dziesiętny [0]_Invoices2001Slovakia_01_Nha so 1_Dien_Du toan nuoc San Thang (GD2) 2" xfId="2190"/>
    <cellStyle name="Dziesietny [0]_Invoices2001Slovakia_01_Nha so 1_Dien_Du toan nuoc San Thang (GD2) 2 2" xfId="2191"/>
    <cellStyle name="Dziesiętny [0]_Invoices2001Slovakia_01_Nha so 1_Dien_Du toan nuoc San Thang (GD2) 2 2" xfId="2192"/>
    <cellStyle name="Dziesietny [0]_Invoices2001Slovakia_01_Nha so 1_Dien_Du toan nuoc San Thang (GD2) 3" xfId="2193"/>
    <cellStyle name="Dziesiętny [0]_Invoices2001Slovakia_01_Nha so 1_Dien_Du toan nuoc San Thang (GD2) 3" xfId="2194"/>
    <cellStyle name="Dziesietny [0]_Invoices2001Slovakia_01_Nha so 1_Dien_Du toan nuoc San Thang (GD2) 3 2" xfId="2195"/>
    <cellStyle name="Dziesiętny [0]_Invoices2001Slovakia_01_Nha so 1_Dien_Du toan nuoc San Thang (GD2) 3 2" xfId="2196"/>
    <cellStyle name="Dziesietny [0]_Invoices2001Slovakia_01_Nha so 1_Dien_Du toan nuoc San Thang (GD2) 4" xfId="2197"/>
    <cellStyle name="Dziesiętny [0]_Invoices2001Slovakia_01_Nha so 1_Dien_Du toan nuoc San Thang (GD2) 4" xfId="2198"/>
    <cellStyle name="Dziesietny [0]_Invoices2001Slovakia_01_Nha so 1_Dien_Du toan nuoc San Thang (GD2) 5" xfId="2199"/>
    <cellStyle name="Dziesiętny [0]_Invoices2001Slovakia_01_Nha so 1_Dien_Du toan nuoc San Thang (GD2) 5" xfId="2200"/>
    <cellStyle name="Dziesietny [0]_Invoices2001Slovakia_01_Nha so 1_Dien_Ke hoach 2010 (theo doi 11-8-2010)" xfId="2201"/>
    <cellStyle name="Dziesiętny [0]_Invoices2001Slovakia_01_Nha so 1_Dien_Ke hoach 2010 (theo doi 11-8-2010)" xfId="2202"/>
    <cellStyle name="Dziesietny [0]_Invoices2001Slovakia_01_Nha so 1_Dien_Ke hoach 2010 (theo doi 11-8-2010) 2" xfId="2203"/>
    <cellStyle name="Dziesiętny [0]_Invoices2001Slovakia_01_Nha so 1_Dien_Ke hoach 2010 (theo doi 11-8-2010) 2" xfId="2204"/>
    <cellStyle name="Dziesietny [0]_Invoices2001Slovakia_01_Nha so 1_Dien_Ke hoach 2010 (theo doi 11-8-2010) 2 2" xfId="2205"/>
    <cellStyle name="Dziesiętny [0]_Invoices2001Slovakia_01_Nha so 1_Dien_Ke hoach 2010 (theo doi 11-8-2010) 2 2" xfId="2206"/>
    <cellStyle name="Dziesietny [0]_Invoices2001Slovakia_01_Nha so 1_Dien_Ke hoach 2010 (theo doi 11-8-2010) 3" xfId="2207"/>
    <cellStyle name="Dziesiętny [0]_Invoices2001Slovakia_01_Nha so 1_Dien_Ke hoach 2010 (theo doi 11-8-2010) 3" xfId="2208"/>
    <cellStyle name="Dziesietny [0]_Invoices2001Slovakia_01_Nha so 1_Dien_Ke hoach 2010 (theo doi 11-8-2010) 3 2" xfId="2209"/>
    <cellStyle name="Dziesiętny [0]_Invoices2001Slovakia_01_Nha so 1_Dien_Ke hoach 2010 (theo doi 11-8-2010) 3 2" xfId="2210"/>
    <cellStyle name="Dziesietny [0]_Invoices2001Slovakia_01_Nha so 1_Dien_Ke hoach 2010 (theo doi 11-8-2010) 4" xfId="2211"/>
    <cellStyle name="Dziesiętny [0]_Invoices2001Slovakia_01_Nha so 1_Dien_Ke hoach 2010 (theo doi 11-8-2010) 4" xfId="2212"/>
    <cellStyle name="Dziesietny [0]_Invoices2001Slovakia_01_Nha so 1_Dien_Ke hoach 2010 (theo doi 11-8-2010) 5" xfId="2213"/>
    <cellStyle name="Dziesiętny [0]_Invoices2001Slovakia_01_Nha so 1_Dien_Ke hoach 2010 (theo doi 11-8-2010) 5" xfId="2214"/>
    <cellStyle name="Dziesietny [0]_Invoices2001Slovakia_01_Nha so 1_Dien_ke hoach dau thau 30-6-2010" xfId="2215"/>
    <cellStyle name="Dziesiętny [0]_Invoices2001Slovakia_01_Nha so 1_Dien_ke hoach dau thau 30-6-2010" xfId="2216"/>
    <cellStyle name="Dziesietny [0]_Invoices2001Slovakia_01_Nha so 1_Dien_ke hoach dau thau 30-6-2010 2" xfId="2217"/>
    <cellStyle name="Dziesiętny [0]_Invoices2001Slovakia_01_Nha so 1_Dien_ke hoach dau thau 30-6-2010 2" xfId="2218"/>
    <cellStyle name="Dziesietny [0]_Invoices2001Slovakia_01_Nha so 1_Dien_ke hoach dau thau 30-6-2010 2 2" xfId="2219"/>
    <cellStyle name="Dziesiętny [0]_Invoices2001Slovakia_01_Nha so 1_Dien_ke hoach dau thau 30-6-2010 2 2" xfId="2220"/>
    <cellStyle name="Dziesietny [0]_Invoices2001Slovakia_01_Nha so 1_Dien_ke hoach dau thau 30-6-2010 3" xfId="2221"/>
    <cellStyle name="Dziesiętny [0]_Invoices2001Slovakia_01_Nha so 1_Dien_ke hoach dau thau 30-6-2010 3" xfId="2222"/>
    <cellStyle name="Dziesietny [0]_Invoices2001Slovakia_01_Nha so 1_Dien_ke hoach dau thau 30-6-2010 3 2" xfId="2223"/>
    <cellStyle name="Dziesiętny [0]_Invoices2001Slovakia_01_Nha so 1_Dien_ke hoach dau thau 30-6-2010 3 2" xfId="2224"/>
    <cellStyle name="Dziesietny [0]_Invoices2001Slovakia_01_Nha so 1_Dien_ke hoach dau thau 30-6-2010 4" xfId="2225"/>
    <cellStyle name="Dziesiętny [0]_Invoices2001Slovakia_01_Nha so 1_Dien_ke hoach dau thau 30-6-2010 4" xfId="2226"/>
    <cellStyle name="Dziesietny [0]_Invoices2001Slovakia_01_Nha so 1_Dien_ke hoach dau thau 30-6-2010 5" xfId="2227"/>
    <cellStyle name="Dziesiętny [0]_Invoices2001Slovakia_01_Nha so 1_Dien_ke hoach dau thau 30-6-2010 5" xfId="2228"/>
    <cellStyle name="Dziesietny [0]_Invoices2001Slovakia_01_Nha so 1_Dien_KH Von 2012 gui BKH 1" xfId="2229"/>
    <cellStyle name="Dziesiętny [0]_Invoices2001Slovakia_01_Nha so 1_Dien_KH Von 2012 gui BKH 1" xfId="2230"/>
    <cellStyle name="Dziesietny [0]_Invoices2001Slovakia_01_Nha so 1_Dien_KH Von 2012 gui BKH 1 2" xfId="2231"/>
    <cellStyle name="Dziesiętny [0]_Invoices2001Slovakia_01_Nha so 1_Dien_KH Von 2012 gui BKH 1 2" xfId="2232"/>
    <cellStyle name="Dziesietny [0]_Invoices2001Slovakia_01_Nha so 1_Dien_KH Von 2012 gui BKH 1 2 2" xfId="2233"/>
    <cellStyle name="Dziesiętny [0]_Invoices2001Slovakia_01_Nha so 1_Dien_KH Von 2012 gui BKH 1 2 2" xfId="2234"/>
    <cellStyle name="Dziesietny [0]_Invoices2001Slovakia_01_Nha so 1_Dien_KH Von 2012 gui BKH 1 3" xfId="2235"/>
    <cellStyle name="Dziesiętny [0]_Invoices2001Slovakia_01_Nha so 1_Dien_KH Von 2012 gui BKH 1 3" xfId="2236"/>
    <cellStyle name="Dziesietny [0]_Invoices2001Slovakia_01_Nha so 1_Dien_KH Von 2012 gui BKH 1 3 2" xfId="2237"/>
    <cellStyle name="Dziesiętny [0]_Invoices2001Slovakia_01_Nha so 1_Dien_KH Von 2012 gui BKH 1 3 2" xfId="2238"/>
    <cellStyle name="Dziesietny [0]_Invoices2001Slovakia_01_Nha so 1_Dien_KH Von 2012 gui BKH 1 4" xfId="2239"/>
    <cellStyle name="Dziesiętny [0]_Invoices2001Slovakia_01_Nha so 1_Dien_KH Von 2012 gui BKH 1 4" xfId="2240"/>
    <cellStyle name="Dziesietny [0]_Invoices2001Slovakia_01_Nha so 1_Dien_KH Von 2012 gui BKH 1_BIEU KE HOACH  2015 (KTN 6.11 sua)" xfId="2241"/>
    <cellStyle name="Dziesiętny [0]_Invoices2001Slovakia_01_Nha so 1_Dien_KH Von 2012 gui BKH 1_BIEU KE HOACH  2015 (KTN 6.11 sua)" xfId="2242"/>
    <cellStyle name="Dziesietny [0]_Invoices2001Slovakia_01_Nha so 1_Dien_QD ke hoach dau thau" xfId="2243"/>
    <cellStyle name="Dziesiętny [0]_Invoices2001Slovakia_01_Nha so 1_Dien_QD ke hoach dau thau" xfId="2244"/>
    <cellStyle name="Dziesietny [0]_Invoices2001Slovakia_01_Nha so 1_Dien_QD ke hoach dau thau 2" xfId="2245"/>
    <cellStyle name="Dziesiętny [0]_Invoices2001Slovakia_01_Nha so 1_Dien_QD ke hoach dau thau 2" xfId="2246"/>
    <cellStyle name="Dziesietny [0]_Invoices2001Slovakia_01_Nha so 1_Dien_QD ke hoach dau thau 2 2" xfId="2247"/>
    <cellStyle name="Dziesiętny [0]_Invoices2001Slovakia_01_Nha so 1_Dien_QD ke hoach dau thau 2 2" xfId="2248"/>
    <cellStyle name="Dziesietny [0]_Invoices2001Slovakia_01_Nha so 1_Dien_QD ke hoach dau thau 3" xfId="2249"/>
    <cellStyle name="Dziesiętny [0]_Invoices2001Slovakia_01_Nha so 1_Dien_QD ke hoach dau thau 3" xfId="2250"/>
    <cellStyle name="Dziesietny [0]_Invoices2001Slovakia_01_Nha so 1_Dien_QD ke hoach dau thau 3 2" xfId="2251"/>
    <cellStyle name="Dziesiętny [0]_Invoices2001Slovakia_01_Nha so 1_Dien_QD ke hoach dau thau 3 2" xfId="2252"/>
    <cellStyle name="Dziesietny [0]_Invoices2001Slovakia_01_Nha so 1_Dien_QD ke hoach dau thau 4" xfId="2253"/>
    <cellStyle name="Dziesiętny [0]_Invoices2001Slovakia_01_Nha so 1_Dien_QD ke hoach dau thau 4" xfId="2254"/>
    <cellStyle name="Dziesietny [0]_Invoices2001Slovakia_01_Nha so 1_Dien_QD ke hoach dau thau 5" xfId="2255"/>
    <cellStyle name="Dziesiętny [0]_Invoices2001Slovakia_01_Nha so 1_Dien_QD ke hoach dau thau 5" xfId="2256"/>
    <cellStyle name="Dziesietny [0]_Invoices2001Slovakia_01_Nha so 1_Dien_tinh toan hoang ha" xfId="2257"/>
    <cellStyle name="Dziesiętny [0]_Invoices2001Slovakia_01_Nha so 1_Dien_tinh toan hoang ha" xfId="2258"/>
    <cellStyle name="Dziesietny [0]_Invoices2001Slovakia_01_Nha so 1_Dien_tinh toan hoang ha 2" xfId="2259"/>
    <cellStyle name="Dziesiętny [0]_Invoices2001Slovakia_01_Nha so 1_Dien_tinh toan hoang ha 2" xfId="2260"/>
    <cellStyle name="Dziesietny [0]_Invoices2001Slovakia_01_Nha so 1_Dien_tinh toan hoang ha 2 2" xfId="2261"/>
    <cellStyle name="Dziesiętny [0]_Invoices2001Slovakia_01_Nha so 1_Dien_tinh toan hoang ha 2 2" xfId="2262"/>
    <cellStyle name="Dziesietny [0]_Invoices2001Slovakia_01_Nha so 1_Dien_tinh toan hoang ha 3" xfId="2263"/>
    <cellStyle name="Dziesiętny [0]_Invoices2001Slovakia_01_Nha so 1_Dien_tinh toan hoang ha 3" xfId="2264"/>
    <cellStyle name="Dziesietny [0]_Invoices2001Slovakia_01_Nha so 1_Dien_tinh toan hoang ha 3 2" xfId="2265"/>
    <cellStyle name="Dziesiętny [0]_Invoices2001Slovakia_01_Nha so 1_Dien_tinh toan hoang ha 3 2" xfId="2266"/>
    <cellStyle name="Dziesietny [0]_Invoices2001Slovakia_01_Nha so 1_Dien_tinh toan hoang ha 4" xfId="2267"/>
    <cellStyle name="Dziesiętny [0]_Invoices2001Slovakia_01_Nha so 1_Dien_tinh toan hoang ha 4" xfId="2268"/>
    <cellStyle name="Dziesietny [0]_Invoices2001Slovakia_01_Nha so 1_Dien_tinh toan hoang ha 5" xfId="2269"/>
    <cellStyle name="Dziesiętny [0]_Invoices2001Slovakia_01_Nha so 1_Dien_tinh toan hoang ha 5" xfId="2270"/>
    <cellStyle name="Dziesietny [0]_Invoices2001Slovakia_01_Nha so 1_Dien_Tong von ĐTPT" xfId="2271"/>
    <cellStyle name="Dziesiętny [0]_Invoices2001Slovakia_01_Nha so 1_Dien_Tong von ĐTPT" xfId="2272"/>
    <cellStyle name="Dziesietny [0]_Invoices2001Slovakia_01_Nha so 1_Dien_Tong von ĐTPT 2" xfId="2273"/>
    <cellStyle name="Dziesiętny [0]_Invoices2001Slovakia_01_Nha so 1_Dien_Tong von ĐTPT 2" xfId="2274"/>
    <cellStyle name="Dziesietny [0]_Invoices2001Slovakia_01_Nha so 1_Dien_Tong von ĐTPT 2 2" xfId="2275"/>
    <cellStyle name="Dziesiętny [0]_Invoices2001Slovakia_01_Nha so 1_Dien_Tong von ĐTPT 2 2" xfId="2276"/>
    <cellStyle name="Dziesietny [0]_Invoices2001Slovakia_01_Nha so 1_Dien_Tong von ĐTPT 3" xfId="2277"/>
    <cellStyle name="Dziesiętny [0]_Invoices2001Slovakia_01_Nha so 1_Dien_Tong von ĐTPT 3" xfId="2278"/>
    <cellStyle name="Dziesietny [0]_Invoices2001Slovakia_01_Nha so 1_Dien_Tong von ĐTPT 3 2" xfId="2279"/>
    <cellStyle name="Dziesiętny [0]_Invoices2001Slovakia_01_Nha so 1_Dien_Tong von ĐTPT 3 2" xfId="2280"/>
    <cellStyle name="Dziesietny [0]_Invoices2001Slovakia_01_Nha so 1_Dien_Tong von ĐTPT 4" xfId="2281"/>
    <cellStyle name="Dziesiętny [0]_Invoices2001Slovakia_01_Nha so 1_Dien_Tong von ĐTPT 4" xfId="2282"/>
    <cellStyle name="Dziesietny [0]_Invoices2001Slovakia_01_Nha so 1_Dien_Tong von ĐTPT 5" xfId="2283"/>
    <cellStyle name="Dziesiętny [0]_Invoices2001Slovakia_01_Nha so 1_Dien_Tong von ĐTPT 5" xfId="2284"/>
    <cellStyle name="Dziesietny [0]_Invoices2001Slovakia_10_Nha so 10_Dien1" xfId="2285"/>
    <cellStyle name="Dziesiętny [0]_Invoices2001Slovakia_10_Nha so 10_Dien1" xfId="2286"/>
    <cellStyle name="Dziesietny [0]_Invoices2001Slovakia_10_Nha so 10_Dien1 2" xfId="2287"/>
    <cellStyle name="Dziesiętny [0]_Invoices2001Slovakia_10_Nha so 10_Dien1 2" xfId="2288"/>
    <cellStyle name="Dziesietny [0]_Invoices2001Slovakia_10_Nha so 10_Dien1 3" xfId="2289"/>
    <cellStyle name="Dziesiętny [0]_Invoices2001Slovakia_10_Nha so 10_Dien1 3" xfId="2290"/>
    <cellStyle name="Dziesietny [0]_Invoices2001Slovakia_10_Nha so 10_Dien1 4" xfId="2291"/>
    <cellStyle name="Dziesiętny [0]_Invoices2001Slovakia_10_Nha so 10_Dien1 4" xfId="2292"/>
    <cellStyle name="Dziesietny [0]_Invoices2001Slovakia_10_Nha so 10_Dien1 5" xfId="2293"/>
    <cellStyle name="Dziesiętny [0]_Invoices2001Slovakia_10_Nha so 10_Dien1 5" xfId="2294"/>
    <cellStyle name="Dziesietny [0]_Invoices2001Slovakia_10_Nha so 10_Dien1_bieu ke hoach dau thau" xfId="2295"/>
    <cellStyle name="Dziesiętny [0]_Invoices2001Slovakia_10_Nha so 10_Dien1_bieu ke hoach dau thau" xfId="2296"/>
    <cellStyle name="Dziesietny [0]_Invoices2001Slovakia_10_Nha so 10_Dien1_bieu ke hoach dau thau 2" xfId="2297"/>
    <cellStyle name="Dziesiętny [0]_Invoices2001Slovakia_10_Nha so 10_Dien1_bieu ke hoach dau thau 2" xfId="2298"/>
    <cellStyle name="Dziesietny [0]_Invoices2001Slovakia_10_Nha so 10_Dien1_bieu ke hoach dau thau 2 2" xfId="2299"/>
    <cellStyle name="Dziesiętny [0]_Invoices2001Slovakia_10_Nha so 10_Dien1_bieu ke hoach dau thau 2 2" xfId="2300"/>
    <cellStyle name="Dziesietny [0]_Invoices2001Slovakia_10_Nha so 10_Dien1_bieu ke hoach dau thau 3" xfId="2301"/>
    <cellStyle name="Dziesiętny [0]_Invoices2001Slovakia_10_Nha so 10_Dien1_bieu ke hoach dau thau 3" xfId="2302"/>
    <cellStyle name="Dziesietny [0]_Invoices2001Slovakia_10_Nha so 10_Dien1_bieu ke hoach dau thau 3 2" xfId="2303"/>
    <cellStyle name="Dziesiętny [0]_Invoices2001Slovakia_10_Nha so 10_Dien1_bieu ke hoach dau thau 3 2" xfId="2304"/>
    <cellStyle name="Dziesietny [0]_Invoices2001Slovakia_10_Nha so 10_Dien1_bieu ke hoach dau thau 4" xfId="2305"/>
    <cellStyle name="Dziesiętny [0]_Invoices2001Slovakia_10_Nha so 10_Dien1_bieu ke hoach dau thau 4" xfId="2306"/>
    <cellStyle name="Dziesietny [0]_Invoices2001Slovakia_10_Nha so 10_Dien1_bieu ke hoach dau thau 5" xfId="2307"/>
    <cellStyle name="Dziesiętny [0]_Invoices2001Slovakia_10_Nha so 10_Dien1_bieu ke hoach dau thau 5" xfId="2308"/>
    <cellStyle name="Dziesietny [0]_Invoices2001Slovakia_10_Nha so 10_Dien1_bieu ke hoach dau thau truong mam non SKH" xfId="2309"/>
    <cellStyle name="Dziesiętny [0]_Invoices2001Slovakia_10_Nha so 10_Dien1_bieu ke hoach dau thau truong mam non SKH" xfId="2310"/>
    <cellStyle name="Dziesietny [0]_Invoices2001Slovakia_10_Nha so 10_Dien1_bieu ke hoach dau thau truong mam non SKH 2" xfId="2311"/>
    <cellStyle name="Dziesiętny [0]_Invoices2001Slovakia_10_Nha so 10_Dien1_bieu ke hoach dau thau truong mam non SKH 2" xfId="2312"/>
    <cellStyle name="Dziesietny [0]_Invoices2001Slovakia_10_Nha so 10_Dien1_bieu ke hoach dau thau truong mam non SKH 2 2" xfId="2313"/>
    <cellStyle name="Dziesiętny [0]_Invoices2001Slovakia_10_Nha so 10_Dien1_bieu ke hoach dau thau truong mam non SKH 2 2" xfId="2314"/>
    <cellStyle name="Dziesietny [0]_Invoices2001Slovakia_10_Nha so 10_Dien1_bieu ke hoach dau thau truong mam non SKH 3" xfId="2315"/>
    <cellStyle name="Dziesiętny [0]_Invoices2001Slovakia_10_Nha so 10_Dien1_bieu ke hoach dau thau truong mam non SKH 3" xfId="2316"/>
    <cellStyle name="Dziesietny [0]_Invoices2001Slovakia_10_Nha so 10_Dien1_bieu ke hoach dau thau truong mam non SKH 3 2" xfId="2317"/>
    <cellStyle name="Dziesiętny [0]_Invoices2001Slovakia_10_Nha so 10_Dien1_bieu ke hoach dau thau truong mam non SKH 3 2" xfId="2318"/>
    <cellStyle name="Dziesietny [0]_Invoices2001Slovakia_10_Nha so 10_Dien1_bieu ke hoach dau thau truong mam non SKH 4" xfId="2319"/>
    <cellStyle name="Dziesiętny [0]_Invoices2001Slovakia_10_Nha so 10_Dien1_bieu ke hoach dau thau truong mam non SKH 4" xfId="2320"/>
    <cellStyle name="Dziesietny [0]_Invoices2001Slovakia_10_Nha so 10_Dien1_bieu ke hoach dau thau truong mam non SKH 5" xfId="2321"/>
    <cellStyle name="Dziesiętny [0]_Invoices2001Slovakia_10_Nha so 10_Dien1_bieu ke hoach dau thau truong mam non SKH 5" xfId="2322"/>
    <cellStyle name="Dziesietny [0]_Invoices2001Slovakia_10_Nha so 10_Dien1_bieu tong hop lai kh von 2011 gui phong TH-KTDN" xfId="2323"/>
    <cellStyle name="Dziesiętny [0]_Invoices2001Slovakia_10_Nha so 10_Dien1_bieu tong hop lai kh von 2011 gui phong TH-KTDN" xfId="2324"/>
    <cellStyle name="Dziesietny [0]_Invoices2001Slovakia_10_Nha so 10_Dien1_bieu tong hop lai kh von 2011 gui phong TH-KTDN 2" xfId="2325"/>
    <cellStyle name="Dziesiętny [0]_Invoices2001Slovakia_10_Nha so 10_Dien1_bieu tong hop lai kh von 2011 gui phong TH-KTDN 2" xfId="2326"/>
    <cellStyle name="Dziesietny [0]_Invoices2001Slovakia_10_Nha so 10_Dien1_bieu tong hop lai kh von 2011 gui phong TH-KTDN 2 2" xfId="2327"/>
    <cellStyle name="Dziesiętny [0]_Invoices2001Slovakia_10_Nha so 10_Dien1_bieu tong hop lai kh von 2011 gui phong TH-KTDN 2 2" xfId="2328"/>
    <cellStyle name="Dziesietny [0]_Invoices2001Slovakia_10_Nha so 10_Dien1_bieu tong hop lai kh von 2011 gui phong TH-KTDN 3" xfId="2329"/>
    <cellStyle name="Dziesiętny [0]_Invoices2001Slovakia_10_Nha so 10_Dien1_bieu tong hop lai kh von 2011 gui phong TH-KTDN 3" xfId="2330"/>
    <cellStyle name="Dziesietny [0]_Invoices2001Slovakia_10_Nha so 10_Dien1_bieu tong hop lai kh von 2011 gui phong TH-KTDN 3 2" xfId="2331"/>
    <cellStyle name="Dziesiętny [0]_Invoices2001Slovakia_10_Nha so 10_Dien1_bieu tong hop lai kh von 2011 gui phong TH-KTDN 3 2" xfId="2332"/>
    <cellStyle name="Dziesietny [0]_Invoices2001Slovakia_10_Nha so 10_Dien1_bieu tong hop lai kh von 2011 gui phong TH-KTDN 4" xfId="2333"/>
    <cellStyle name="Dziesiętny [0]_Invoices2001Slovakia_10_Nha so 10_Dien1_bieu tong hop lai kh von 2011 gui phong TH-KTDN 4" xfId="2334"/>
    <cellStyle name="Dziesietny [0]_Invoices2001Slovakia_10_Nha so 10_Dien1_bieu tong hop lai kh von 2011 gui phong TH-KTDN_BIEU KE HOACH  2015 (KTN 6.11 sua)" xfId="2335"/>
    <cellStyle name="Dziesiętny [0]_Invoices2001Slovakia_10_Nha so 10_Dien1_bieu tong hop lai kh von 2011 gui phong TH-KTDN_BIEU KE HOACH  2015 (KTN 6.11 sua)" xfId="2336"/>
    <cellStyle name="Dziesietny [0]_Invoices2001Slovakia_10_Nha so 10_Dien1_Book1" xfId="2337"/>
    <cellStyle name="Dziesiętny [0]_Invoices2001Slovakia_10_Nha so 10_Dien1_Book1" xfId="2338"/>
    <cellStyle name="Dziesietny [0]_Invoices2001Slovakia_10_Nha so 10_Dien1_Book1 2" xfId="2339"/>
    <cellStyle name="Dziesiętny [0]_Invoices2001Slovakia_10_Nha so 10_Dien1_Book1 2" xfId="2340"/>
    <cellStyle name="Dziesietny [0]_Invoices2001Slovakia_10_Nha so 10_Dien1_Book1 2 2" xfId="2341"/>
    <cellStyle name="Dziesiętny [0]_Invoices2001Slovakia_10_Nha so 10_Dien1_Book1 2 2" xfId="2342"/>
    <cellStyle name="Dziesietny [0]_Invoices2001Slovakia_10_Nha so 10_Dien1_Book1 3" xfId="2343"/>
    <cellStyle name="Dziesiętny [0]_Invoices2001Slovakia_10_Nha so 10_Dien1_Book1 3" xfId="2344"/>
    <cellStyle name="Dziesietny [0]_Invoices2001Slovakia_10_Nha so 10_Dien1_Book1 3 2" xfId="2345"/>
    <cellStyle name="Dziesiętny [0]_Invoices2001Slovakia_10_Nha so 10_Dien1_Book1 3 2" xfId="2346"/>
    <cellStyle name="Dziesietny [0]_Invoices2001Slovakia_10_Nha so 10_Dien1_Book1 4" xfId="2347"/>
    <cellStyle name="Dziesiętny [0]_Invoices2001Slovakia_10_Nha so 10_Dien1_Book1 4" xfId="2348"/>
    <cellStyle name="Dziesietny [0]_Invoices2001Slovakia_10_Nha so 10_Dien1_Book1 5" xfId="2349"/>
    <cellStyle name="Dziesiętny [0]_Invoices2001Slovakia_10_Nha so 10_Dien1_Book1 5" xfId="2350"/>
    <cellStyle name="Dziesietny [0]_Invoices2001Slovakia_10_Nha so 10_Dien1_Book1_Ke hoach 2010 (theo doi 11-8-2010)" xfId="2351"/>
    <cellStyle name="Dziesiętny [0]_Invoices2001Slovakia_10_Nha so 10_Dien1_Book1_Ke hoach 2010 (theo doi 11-8-2010)" xfId="2352"/>
    <cellStyle name="Dziesietny [0]_Invoices2001Slovakia_10_Nha so 10_Dien1_Book1_Ke hoach 2010 (theo doi 11-8-2010) 2" xfId="2353"/>
    <cellStyle name="Dziesiętny [0]_Invoices2001Slovakia_10_Nha so 10_Dien1_Book1_Ke hoach 2010 (theo doi 11-8-2010) 2" xfId="2354"/>
    <cellStyle name="Dziesietny [0]_Invoices2001Slovakia_10_Nha so 10_Dien1_Book1_Ke hoach 2010 (theo doi 11-8-2010) 2 2" xfId="2355"/>
    <cellStyle name="Dziesiętny [0]_Invoices2001Slovakia_10_Nha so 10_Dien1_Book1_Ke hoach 2010 (theo doi 11-8-2010) 2 2" xfId="2356"/>
    <cellStyle name="Dziesietny [0]_Invoices2001Slovakia_10_Nha so 10_Dien1_Book1_Ke hoach 2010 (theo doi 11-8-2010) 3" xfId="2357"/>
    <cellStyle name="Dziesiętny [0]_Invoices2001Slovakia_10_Nha so 10_Dien1_Book1_Ke hoach 2010 (theo doi 11-8-2010) 3" xfId="2358"/>
    <cellStyle name="Dziesietny [0]_Invoices2001Slovakia_10_Nha so 10_Dien1_Book1_Ke hoach 2010 (theo doi 11-8-2010) 3 2" xfId="2359"/>
    <cellStyle name="Dziesiętny [0]_Invoices2001Slovakia_10_Nha so 10_Dien1_Book1_Ke hoach 2010 (theo doi 11-8-2010) 3 2" xfId="2360"/>
    <cellStyle name="Dziesietny [0]_Invoices2001Slovakia_10_Nha so 10_Dien1_Book1_Ke hoach 2010 (theo doi 11-8-2010) 4" xfId="2361"/>
    <cellStyle name="Dziesiętny [0]_Invoices2001Slovakia_10_Nha so 10_Dien1_Book1_Ke hoach 2010 (theo doi 11-8-2010) 4" xfId="2362"/>
    <cellStyle name="Dziesietny [0]_Invoices2001Slovakia_10_Nha so 10_Dien1_Book1_Ke hoach 2010 (theo doi 11-8-2010)_BIEU KE HOACH  2015 (KTN 6.11 sua)" xfId="2363"/>
    <cellStyle name="Dziesiętny [0]_Invoices2001Slovakia_10_Nha so 10_Dien1_Book1_Ke hoach 2010 (theo doi 11-8-2010)_BIEU KE HOACH  2015 (KTN 6.11 sua)" xfId="2364"/>
    <cellStyle name="Dziesietny [0]_Invoices2001Slovakia_10_Nha so 10_Dien1_Book1_ke hoach dau thau 30-6-2010" xfId="2365"/>
    <cellStyle name="Dziesiętny [0]_Invoices2001Slovakia_10_Nha so 10_Dien1_Book1_ke hoach dau thau 30-6-2010" xfId="2366"/>
    <cellStyle name="Dziesietny [0]_Invoices2001Slovakia_10_Nha so 10_Dien1_Book1_ke hoach dau thau 30-6-2010 2" xfId="2367"/>
    <cellStyle name="Dziesiętny [0]_Invoices2001Slovakia_10_Nha so 10_Dien1_Book1_ke hoach dau thau 30-6-2010 2" xfId="2368"/>
    <cellStyle name="Dziesietny [0]_Invoices2001Slovakia_10_Nha so 10_Dien1_Book1_ke hoach dau thau 30-6-2010 2 2" xfId="2369"/>
    <cellStyle name="Dziesiętny [0]_Invoices2001Slovakia_10_Nha so 10_Dien1_Book1_ke hoach dau thau 30-6-2010 2 2" xfId="2370"/>
    <cellStyle name="Dziesietny [0]_Invoices2001Slovakia_10_Nha so 10_Dien1_Book1_ke hoach dau thau 30-6-2010 3" xfId="2371"/>
    <cellStyle name="Dziesiętny [0]_Invoices2001Slovakia_10_Nha so 10_Dien1_Book1_ke hoach dau thau 30-6-2010 3" xfId="2372"/>
    <cellStyle name="Dziesietny [0]_Invoices2001Slovakia_10_Nha so 10_Dien1_Book1_ke hoach dau thau 30-6-2010 3 2" xfId="2373"/>
    <cellStyle name="Dziesiętny [0]_Invoices2001Slovakia_10_Nha so 10_Dien1_Book1_ke hoach dau thau 30-6-2010 3 2" xfId="2374"/>
    <cellStyle name="Dziesietny [0]_Invoices2001Slovakia_10_Nha so 10_Dien1_Book1_ke hoach dau thau 30-6-2010 4" xfId="2375"/>
    <cellStyle name="Dziesiętny [0]_Invoices2001Slovakia_10_Nha so 10_Dien1_Book1_ke hoach dau thau 30-6-2010 4" xfId="2376"/>
    <cellStyle name="Dziesietny [0]_Invoices2001Slovakia_10_Nha so 10_Dien1_Book1_ke hoach dau thau 30-6-2010_BIEU KE HOACH  2015 (KTN 6.11 sua)" xfId="2377"/>
    <cellStyle name="Dziesiętny [0]_Invoices2001Slovakia_10_Nha so 10_Dien1_Book1_ke hoach dau thau 30-6-2010_BIEU KE HOACH  2015 (KTN 6.11 sua)" xfId="2378"/>
    <cellStyle name="Dziesietny [0]_Invoices2001Slovakia_10_Nha so 10_Dien1_Copy of KH PHAN BO VON ĐỐI ỨNG NAM 2011 (30 TY phuong án gop WB)" xfId="2379"/>
    <cellStyle name="Dziesiętny [0]_Invoices2001Slovakia_10_Nha so 10_Dien1_Copy of KH PHAN BO VON ĐỐI ỨNG NAM 2011 (30 TY phuong án gop WB)" xfId="2380"/>
    <cellStyle name="Dziesietny [0]_Invoices2001Slovakia_10_Nha so 10_Dien1_Copy of KH PHAN BO VON ĐỐI ỨNG NAM 2011 (30 TY phuong án gop WB) 2" xfId="2381"/>
    <cellStyle name="Dziesiętny [0]_Invoices2001Slovakia_10_Nha so 10_Dien1_Copy of KH PHAN BO VON ĐỐI ỨNG NAM 2011 (30 TY phuong án gop WB) 2" xfId="2382"/>
    <cellStyle name="Dziesietny [0]_Invoices2001Slovakia_10_Nha so 10_Dien1_Copy of KH PHAN BO VON ĐỐI ỨNG NAM 2011 (30 TY phuong án gop WB) 2 2" xfId="2383"/>
    <cellStyle name="Dziesiętny [0]_Invoices2001Slovakia_10_Nha so 10_Dien1_Copy of KH PHAN BO VON ĐỐI ỨNG NAM 2011 (30 TY phuong án gop WB) 2 2" xfId="2384"/>
    <cellStyle name="Dziesietny [0]_Invoices2001Slovakia_10_Nha so 10_Dien1_Copy of KH PHAN BO VON ĐỐI ỨNG NAM 2011 (30 TY phuong án gop WB) 3" xfId="2385"/>
    <cellStyle name="Dziesiętny [0]_Invoices2001Slovakia_10_Nha so 10_Dien1_Copy of KH PHAN BO VON ĐỐI ỨNG NAM 2011 (30 TY phuong án gop WB) 3" xfId="2386"/>
    <cellStyle name="Dziesietny [0]_Invoices2001Slovakia_10_Nha so 10_Dien1_Copy of KH PHAN BO VON ĐỐI ỨNG NAM 2011 (30 TY phuong án gop WB) 3 2" xfId="2387"/>
    <cellStyle name="Dziesiętny [0]_Invoices2001Slovakia_10_Nha so 10_Dien1_Copy of KH PHAN BO VON ĐỐI ỨNG NAM 2011 (30 TY phuong án gop WB) 3 2" xfId="2388"/>
    <cellStyle name="Dziesietny [0]_Invoices2001Slovakia_10_Nha so 10_Dien1_Copy of KH PHAN BO VON ĐỐI ỨNG NAM 2011 (30 TY phuong án gop WB) 4" xfId="2389"/>
    <cellStyle name="Dziesiętny [0]_Invoices2001Slovakia_10_Nha so 10_Dien1_Copy of KH PHAN BO VON ĐỐI ỨNG NAM 2011 (30 TY phuong án gop WB) 4" xfId="2390"/>
    <cellStyle name="Dziesietny [0]_Invoices2001Slovakia_10_Nha so 10_Dien1_Copy of KH PHAN BO VON ĐỐI ỨNG NAM 2011 (30 TY phuong án gop WB)_BIEU KE HOACH  2015 (KTN 6.11 sua)" xfId="2391"/>
    <cellStyle name="Dziesiętny [0]_Invoices2001Slovakia_10_Nha so 10_Dien1_Copy of KH PHAN BO VON ĐỐI ỨNG NAM 2011 (30 TY phuong án gop WB)_BIEU KE HOACH  2015 (KTN 6.11 sua)" xfId="2392"/>
    <cellStyle name="Dziesietny [0]_Invoices2001Slovakia_10_Nha so 10_Dien1_DTTD chieng chan Tham lai 29-9-2009" xfId="2393"/>
    <cellStyle name="Dziesiętny [0]_Invoices2001Slovakia_10_Nha so 10_Dien1_DTTD chieng chan Tham lai 29-9-2009" xfId="2394"/>
    <cellStyle name="Dziesietny [0]_Invoices2001Slovakia_10_Nha so 10_Dien1_DTTD chieng chan Tham lai 29-9-2009 2" xfId="2395"/>
    <cellStyle name="Dziesiętny [0]_Invoices2001Slovakia_10_Nha so 10_Dien1_DTTD chieng chan Tham lai 29-9-2009 2" xfId="2396"/>
    <cellStyle name="Dziesietny [0]_Invoices2001Slovakia_10_Nha so 10_Dien1_DTTD chieng chan Tham lai 29-9-2009 2 2" xfId="2397"/>
    <cellStyle name="Dziesiętny [0]_Invoices2001Slovakia_10_Nha so 10_Dien1_DTTD chieng chan Tham lai 29-9-2009 2 2" xfId="2398"/>
    <cellStyle name="Dziesietny [0]_Invoices2001Slovakia_10_Nha so 10_Dien1_DTTD chieng chan Tham lai 29-9-2009 3" xfId="2399"/>
    <cellStyle name="Dziesiętny [0]_Invoices2001Slovakia_10_Nha so 10_Dien1_DTTD chieng chan Tham lai 29-9-2009 3" xfId="2400"/>
    <cellStyle name="Dziesietny [0]_Invoices2001Slovakia_10_Nha so 10_Dien1_DTTD chieng chan Tham lai 29-9-2009 3 2" xfId="2401"/>
    <cellStyle name="Dziesiętny [0]_Invoices2001Slovakia_10_Nha so 10_Dien1_DTTD chieng chan Tham lai 29-9-2009 3 2" xfId="2402"/>
    <cellStyle name="Dziesietny [0]_Invoices2001Slovakia_10_Nha so 10_Dien1_DTTD chieng chan Tham lai 29-9-2009 4" xfId="2403"/>
    <cellStyle name="Dziesiętny [0]_Invoices2001Slovakia_10_Nha so 10_Dien1_DTTD chieng chan Tham lai 29-9-2009 4" xfId="2404"/>
    <cellStyle name="Dziesietny [0]_Invoices2001Slovakia_10_Nha so 10_Dien1_DTTD chieng chan Tham lai 29-9-2009_BIEU KE HOACH  2015 (KTN 6.11 sua)" xfId="2405"/>
    <cellStyle name="Dziesiętny [0]_Invoices2001Slovakia_10_Nha so 10_Dien1_DTTD chieng chan Tham lai 29-9-2009_BIEU KE HOACH  2015 (KTN 6.11 sua)" xfId="2406"/>
    <cellStyle name="Dziesietny [0]_Invoices2001Slovakia_10_Nha so 10_Dien1_Du toan nuoc San Thang (GD2)" xfId="2407"/>
    <cellStyle name="Dziesiętny [0]_Invoices2001Slovakia_10_Nha so 10_Dien1_Du toan nuoc San Thang (GD2)" xfId="2408"/>
    <cellStyle name="Dziesietny [0]_Invoices2001Slovakia_10_Nha so 10_Dien1_Du toan nuoc San Thang (GD2) 2" xfId="2409"/>
    <cellStyle name="Dziesiętny [0]_Invoices2001Slovakia_10_Nha so 10_Dien1_Du toan nuoc San Thang (GD2) 2" xfId="2410"/>
    <cellStyle name="Dziesietny [0]_Invoices2001Slovakia_10_Nha so 10_Dien1_Du toan nuoc San Thang (GD2) 2 2" xfId="2411"/>
    <cellStyle name="Dziesiętny [0]_Invoices2001Slovakia_10_Nha so 10_Dien1_Du toan nuoc San Thang (GD2) 2 2" xfId="2412"/>
    <cellStyle name="Dziesietny [0]_Invoices2001Slovakia_10_Nha so 10_Dien1_Du toan nuoc San Thang (GD2) 3" xfId="2413"/>
    <cellStyle name="Dziesiętny [0]_Invoices2001Slovakia_10_Nha so 10_Dien1_Du toan nuoc San Thang (GD2) 3" xfId="2414"/>
    <cellStyle name="Dziesietny [0]_Invoices2001Slovakia_10_Nha so 10_Dien1_Du toan nuoc San Thang (GD2) 3 2" xfId="2415"/>
    <cellStyle name="Dziesiętny [0]_Invoices2001Slovakia_10_Nha so 10_Dien1_Du toan nuoc San Thang (GD2) 3 2" xfId="2416"/>
    <cellStyle name="Dziesietny [0]_Invoices2001Slovakia_10_Nha so 10_Dien1_Du toan nuoc San Thang (GD2) 4" xfId="2417"/>
    <cellStyle name="Dziesiętny [0]_Invoices2001Slovakia_10_Nha so 10_Dien1_Du toan nuoc San Thang (GD2) 4" xfId="2418"/>
    <cellStyle name="Dziesietny [0]_Invoices2001Slovakia_10_Nha so 10_Dien1_Du toan nuoc San Thang (GD2) 5" xfId="2419"/>
    <cellStyle name="Dziesiętny [0]_Invoices2001Slovakia_10_Nha so 10_Dien1_Du toan nuoc San Thang (GD2) 5" xfId="2420"/>
    <cellStyle name="Dziesietny [0]_Invoices2001Slovakia_10_Nha so 10_Dien1_Ke hoach 2010 (theo doi 11-8-2010)" xfId="2421"/>
    <cellStyle name="Dziesiętny [0]_Invoices2001Slovakia_10_Nha so 10_Dien1_Ke hoach 2010 (theo doi 11-8-2010)" xfId="2422"/>
    <cellStyle name="Dziesietny [0]_Invoices2001Slovakia_10_Nha so 10_Dien1_Ke hoach 2010 (theo doi 11-8-2010) 2" xfId="2423"/>
    <cellStyle name="Dziesiętny [0]_Invoices2001Slovakia_10_Nha so 10_Dien1_Ke hoach 2010 (theo doi 11-8-2010) 2" xfId="2424"/>
    <cellStyle name="Dziesietny [0]_Invoices2001Slovakia_10_Nha so 10_Dien1_Ke hoach 2010 (theo doi 11-8-2010) 2 2" xfId="2425"/>
    <cellStyle name="Dziesiętny [0]_Invoices2001Slovakia_10_Nha so 10_Dien1_Ke hoach 2010 (theo doi 11-8-2010) 2 2" xfId="2426"/>
    <cellStyle name="Dziesietny [0]_Invoices2001Slovakia_10_Nha so 10_Dien1_Ke hoach 2010 (theo doi 11-8-2010) 3" xfId="2427"/>
    <cellStyle name="Dziesiętny [0]_Invoices2001Slovakia_10_Nha so 10_Dien1_Ke hoach 2010 (theo doi 11-8-2010) 3" xfId="2428"/>
    <cellStyle name="Dziesietny [0]_Invoices2001Slovakia_10_Nha so 10_Dien1_Ke hoach 2010 (theo doi 11-8-2010) 3 2" xfId="2429"/>
    <cellStyle name="Dziesiętny [0]_Invoices2001Slovakia_10_Nha so 10_Dien1_Ke hoach 2010 (theo doi 11-8-2010) 3 2" xfId="2430"/>
    <cellStyle name="Dziesietny [0]_Invoices2001Slovakia_10_Nha so 10_Dien1_Ke hoach 2010 (theo doi 11-8-2010) 4" xfId="2431"/>
    <cellStyle name="Dziesiętny [0]_Invoices2001Slovakia_10_Nha so 10_Dien1_Ke hoach 2010 (theo doi 11-8-2010) 4" xfId="2432"/>
    <cellStyle name="Dziesietny [0]_Invoices2001Slovakia_10_Nha so 10_Dien1_Ke hoach 2010 (theo doi 11-8-2010) 5" xfId="2433"/>
    <cellStyle name="Dziesiętny [0]_Invoices2001Slovakia_10_Nha so 10_Dien1_Ke hoach 2010 (theo doi 11-8-2010) 5" xfId="2434"/>
    <cellStyle name="Dziesietny [0]_Invoices2001Slovakia_10_Nha so 10_Dien1_ke hoach dau thau 30-6-2010" xfId="2435"/>
    <cellStyle name="Dziesiętny [0]_Invoices2001Slovakia_10_Nha so 10_Dien1_ke hoach dau thau 30-6-2010" xfId="2436"/>
    <cellStyle name="Dziesietny [0]_Invoices2001Slovakia_10_Nha so 10_Dien1_ke hoach dau thau 30-6-2010 2" xfId="2437"/>
    <cellStyle name="Dziesiętny [0]_Invoices2001Slovakia_10_Nha so 10_Dien1_ke hoach dau thau 30-6-2010 2" xfId="2438"/>
    <cellStyle name="Dziesietny [0]_Invoices2001Slovakia_10_Nha so 10_Dien1_ke hoach dau thau 30-6-2010 2 2" xfId="2439"/>
    <cellStyle name="Dziesiętny [0]_Invoices2001Slovakia_10_Nha so 10_Dien1_ke hoach dau thau 30-6-2010 2 2" xfId="2440"/>
    <cellStyle name="Dziesietny [0]_Invoices2001Slovakia_10_Nha so 10_Dien1_ke hoach dau thau 30-6-2010 3" xfId="2441"/>
    <cellStyle name="Dziesiętny [0]_Invoices2001Slovakia_10_Nha so 10_Dien1_ke hoach dau thau 30-6-2010 3" xfId="2442"/>
    <cellStyle name="Dziesietny [0]_Invoices2001Slovakia_10_Nha so 10_Dien1_ke hoach dau thau 30-6-2010 3 2" xfId="2443"/>
    <cellStyle name="Dziesiętny [0]_Invoices2001Slovakia_10_Nha so 10_Dien1_ke hoach dau thau 30-6-2010 3 2" xfId="2444"/>
    <cellStyle name="Dziesietny [0]_Invoices2001Slovakia_10_Nha so 10_Dien1_ke hoach dau thau 30-6-2010 4" xfId="2445"/>
    <cellStyle name="Dziesiętny [0]_Invoices2001Slovakia_10_Nha so 10_Dien1_ke hoach dau thau 30-6-2010 4" xfId="2446"/>
    <cellStyle name="Dziesietny [0]_Invoices2001Slovakia_10_Nha so 10_Dien1_ke hoach dau thau 30-6-2010 5" xfId="2447"/>
    <cellStyle name="Dziesiętny [0]_Invoices2001Slovakia_10_Nha so 10_Dien1_ke hoach dau thau 30-6-2010 5" xfId="2448"/>
    <cellStyle name="Dziesietny [0]_Invoices2001Slovakia_10_Nha so 10_Dien1_KH Von 2012 gui BKH 1" xfId="2449"/>
    <cellStyle name="Dziesiętny [0]_Invoices2001Slovakia_10_Nha so 10_Dien1_KH Von 2012 gui BKH 1" xfId="2450"/>
    <cellStyle name="Dziesietny [0]_Invoices2001Slovakia_10_Nha so 10_Dien1_KH Von 2012 gui BKH 1 2" xfId="2451"/>
    <cellStyle name="Dziesiętny [0]_Invoices2001Slovakia_10_Nha so 10_Dien1_KH Von 2012 gui BKH 1 2" xfId="2452"/>
    <cellStyle name="Dziesietny [0]_Invoices2001Slovakia_10_Nha so 10_Dien1_KH Von 2012 gui BKH 1 2 2" xfId="2453"/>
    <cellStyle name="Dziesiętny [0]_Invoices2001Slovakia_10_Nha so 10_Dien1_KH Von 2012 gui BKH 1 2 2" xfId="2454"/>
    <cellStyle name="Dziesietny [0]_Invoices2001Slovakia_10_Nha so 10_Dien1_KH Von 2012 gui BKH 1 3" xfId="2455"/>
    <cellStyle name="Dziesiętny [0]_Invoices2001Slovakia_10_Nha so 10_Dien1_KH Von 2012 gui BKH 1 3" xfId="2456"/>
    <cellStyle name="Dziesietny [0]_Invoices2001Slovakia_10_Nha so 10_Dien1_KH Von 2012 gui BKH 1 3 2" xfId="2457"/>
    <cellStyle name="Dziesiętny [0]_Invoices2001Slovakia_10_Nha so 10_Dien1_KH Von 2012 gui BKH 1 3 2" xfId="2458"/>
    <cellStyle name="Dziesietny [0]_Invoices2001Slovakia_10_Nha so 10_Dien1_KH Von 2012 gui BKH 1 4" xfId="2459"/>
    <cellStyle name="Dziesiętny [0]_Invoices2001Slovakia_10_Nha so 10_Dien1_KH Von 2012 gui BKH 1 4" xfId="2460"/>
    <cellStyle name="Dziesietny [0]_Invoices2001Slovakia_10_Nha so 10_Dien1_KH Von 2012 gui BKH 1_BIEU KE HOACH  2015 (KTN 6.11 sua)" xfId="2461"/>
    <cellStyle name="Dziesiętny [0]_Invoices2001Slovakia_10_Nha so 10_Dien1_KH Von 2012 gui BKH 1_BIEU KE HOACH  2015 (KTN 6.11 sua)" xfId="2462"/>
    <cellStyle name="Dziesietny [0]_Invoices2001Slovakia_10_Nha so 10_Dien1_QD ke hoach dau thau" xfId="2463"/>
    <cellStyle name="Dziesiętny [0]_Invoices2001Slovakia_10_Nha so 10_Dien1_QD ke hoach dau thau" xfId="2464"/>
    <cellStyle name="Dziesietny [0]_Invoices2001Slovakia_10_Nha so 10_Dien1_QD ke hoach dau thau 2" xfId="2465"/>
    <cellStyle name="Dziesiętny [0]_Invoices2001Slovakia_10_Nha so 10_Dien1_QD ke hoach dau thau 2" xfId="2466"/>
    <cellStyle name="Dziesietny [0]_Invoices2001Slovakia_10_Nha so 10_Dien1_QD ke hoach dau thau 2 2" xfId="2467"/>
    <cellStyle name="Dziesiętny [0]_Invoices2001Slovakia_10_Nha so 10_Dien1_QD ke hoach dau thau 2 2" xfId="2468"/>
    <cellStyle name="Dziesietny [0]_Invoices2001Slovakia_10_Nha so 10_Dien1_QD ke hoach dau thau 3" xfId="2469"/>
    <cellStyle name="Dziesiętny [0]_Invoices2001Slovakia_10_Nha so 10_Dien1_QD ke hoach dau thau 3" xfId="2470"/>
    <cellStyle name="Dziesietny [0]_Invoices2001Slovakia_10_Nha so 10_Dien1_QD ke hoach dau thau 3 2" xfId="2471"/>
    <cellStyle name="Dziesiętny [0]_Invoices2001Slovakia_10_Nha so 10_Dien1_QD ke hoach dau thau 3 2" xfId="2472"/>
    <cellStyle name="Dziesietny [0]_Invoices2001Slovakia_10_Nha so 10_Dien1_QD ke hoach dau thau 4" xfId="2473"/>
    <cellStyle name="Dziesiętny [0]_Invoices2001Slovakia_10_Nha so 10_Dien1_QD ke hoach dau thau 4" xfId="2474"/>
    <cellStyle name="Dziesietny [0]_Invoices2001Slovakia_10_Nha so 10_Dien1_QD ke hoach dau thau 5" xfId="2475"/>
    <cellStyle name="Dziesiętny [0]_Invoices2001Slovakia_10_Nha so 10_Dien1_QD ke hoach dau thau 5" xfId="2476"/>
    <cellStyle name="Dziesietny [0]_Invoices2001Slovakia_10_Nha so 10_Dien1_tinh toan hoang ha" xfId="2477"/>
    <cellStyle name="Dziesiętny [0]_Invoices2001Slovakia_10_Nha so 10_Dien1_tinh toan hoang ha" xfId="2478"/>
    <cellStyle name="Dziesietny [0]_Invoices2001Slovakia_10_Nha so 10_Dien1_tinh toan hoang ha 2" xfId="2479"/>
    <cellStyle name="Dziesiętny [0]_Invoices2001Slovakia_10_Nha so 10_Dien1_tinh toan hoang ha 2" xfId="2480"/>
    <cellStyle name="Dziesietny [0]_Invoices2001Slovakia_10_Nha so 10_Dien1_tinh toan hoang ha 2 2" xfId="2481"/>
    <cellStyle name="Dziesiętny [0]_Invoices2001Slovakia_10_Nha so 10_Dien1_tinh toan hoang ha 2 2" xfId="2482"/>
    <cellStyle name="Dziesietny [0]_Invoices2001Slovakia_10_Nha so 10_Dien1_tinh toan hoang ha 3" xfId="2483"/>
    <cellStyle name="Dziesiętny [0]_Invoices2001Slovakia_10_Nha so 10_Dien1_tinh toan hoang ha 3" xfId="2484"/>
    <cellStyle name="Dziesietny [0]_Invoices2001Slovakia_10_Nha so 10_Dien1_tinh toan hoang ha 3 2" xfId="2485"/>
    <cellStyle name="Dziesiętny [0]_Invoices2001Slovakia_10_Nha so 10_Dien1_tinh toan hoang ha 3 2" xfId="2486"/>
    <cellStyle name="Dziesietny [0]_Invoices2001Slovakia_10_Nha so 10_Dien1_tinh toan hoang ha 4" xfId="2487"/>
    <cellStyle name="Dziesiętny [0]_Invoices2001Slovakia_10_Nha so 10_Dien1_tinh toan hoang ha 4" xfId="2488"/>
    <cellStyle name="Dziesietny [0]_Invoices2001Slovakia_10_Nha so 10_Dien1_tinh toan hoang ha 5" xfId="2489"/>
    <cellStyle name="Dziesiętny [0]_Invoices2001Slovakia_10_Nha so 10_Dien1_tinh toan hoang ha 5" xfId="2490"/>
    <cellStyle name="Dziesietny [0]_Invoices2001Slovakia_10_Nha so 10_Dien1_Tong von ĐTPT" xfId="2491"/>
    <cellStyle name="Dziesiętny [0]_Invoices2001Slovakia_10_Nha so 10_Dien1_Tong von ĐTPT" xfId="2492"/>
    <cellStyle name="Dziesietny [0]_Invoices2001Slovakia_10_Nha so 10_Dien1_Tong von ĐTPT 2" xfId="2493"/>
    <cellStyle name="Dziesiętny [0]_Invoices2001Slovakia_10_Nha so 10_Dien1_Tong von ĐTPT 2" xfId="2494"/>
    <cellStyle name="Dziesietny [0]_Invoices2001Slovakia_10_Nha so 10_Dien1_Tong von ĐTPT 2 2" xfId="2495"/>
    <cellStyle name="Dziesiętny [0]_Invoices2001Slovakia_10_Nha so 10_Dien1_Tong von ĐTPT 2 2" xfId="2496"/>
    <cellStyle name="Dziesietny [0]_Invoices2001Slovakia_10_Nha so 10_Dien1_Tong von ĐTPT 3" xfId="2497"/>
    <cellStyle name="Dziesiętny [0]_Invoices2001Slovakia_10_Nha so 10_Dien1_Tong von ĐTPT 3" xfId="2498"/>
    <cellStyle name="Dziesietny [0]_Invoices2001Slovakia_10_Nha so 10_Dien1_Tong von ĐTPT 3 2" xfId="2499"/>
    <cellStyle name="Dziesiętny [0]_Invoices2001Slovakia_10_Nha so 10_Dien1_Tong von ĐTPT 3 2" xfId="2500"/>
    <cellStyle name="Dziesietny [0]_Invoices2001Slovakia_10_Nha so 10_Dien1_Tong von ĐTPT 4" xfId="2501"/>
    <cellStyle name="Dziesiętny [0]_Invoices2001Slovakia_10_Nha so 10_Dien1_Tong von ĐTPT 4" xfId="2502"/>
    <cellStyle name="Dziesietny [0]_Invoices2001Slovakia_10_Nha so 10_Dien1_Tong von ĐTPT 5" xfId="2503"/>
    <cellStyle name="Dziesiętny [0]_Invoices2001Slovakia_10_Nha so 10_Dien1_Tong von ĐTPT 5" xfId="2504"/>
    <cellStyle name="Dziesietny [0]_Invoices2001Slovakia_bang so sanh gia tri" xfId="2505"/>
    <cellStyle name="Dziesiętny [0]_Invoices2001Slovakia_bao_cao_TH_th_cong_tac_dau_thau_-_ngay251209" xfId="2506"/>
    <cellStyle name="Dziesietny [0]_Invoices2001Slovakia_bieu tong hop lai kh von 2011 gui phong TH-KTDN" xfId="2507"/>
    <cellStyle name="Dziesiętny [0]_Invoices2001Slovakia_bieu tong hop lai kh von 2011 gui phong TH-KTDN" xfId="2508"/>
    <cellStyle name="Dziesietny [0]_Invoices2001Slovakia_bieu tong hop lai kh von 2011 gui phong TH-KTDN 2" xfId="2509"/>
    <cellStyle name="Dziesiętny [0]_Invoices2001Slovakia_bieu tong hop lai kh von 2011 gui phong TH-KTDN 2" xfId="2510"/>
    <cellStyle name="Dziesietny [0]_Invoices2001Slovakia_bieu tong hop lai kh von 2011 gui phong TH-KTDN 2 2" xfId="2511"/>
    <cellStyle name="Dziesiętny [0]_Invoices2001Slovakia_bieu tong hop lai kh von 2011 gui phong TH-KTDN 2 2" xfId="2512"/>
    <cellStyle name="Dziesietny [0]_Invoices2001Slovakia_bieu tong hop lai kh von 2011 gui phong TH-KTDN 3" xfId="2513"/>
    <cellStyle name="Dziesiętny [0]_Invoices2001Slovakia_bieu tong hop lai kh von 2011 gui phong TH-KTDN 3" xfId="2514"/>
    <cellStyle name="Dziesietny [0]_Invoices2001Slovakia_bieu tong hop lai kh von 2011 gui phong TH-KTDN 3 2" xfId="2515"/>
    <cellStyle name="Dziesiętny [0]_Invoices2001Slovakia_bieu tong hop lai kh von 2011 gui phong TH-KTDN 3 2" xfId="2516"/>
    <cellStyle name="Dziesietny [0]_Invoices2001Slovakia_bieu tong hop lai kh von 2011 gui phong TH-KTDN 4" xfId="2517"/>
    <cellStyle name="Dziesiętny [0]_Invoices2001Slovakia_bieu tong hop lai kh von 2011 gui phong TH-KTDN 4" xfId="2518"/>
    <cellStyle name="Dziesietny [0]_Invoices2001Slovakia_bieu tong hop lai kh von 2011 gui phong TH-KTDN_BIEU KE HOACH  2015 (KTN 6.11 sua)" xfId="2519"/>
    <cellStyle name="Dziesiętny [0]_Invoices2001Slovakia_bieu tong hop lai kh von 2011 gui phong TH-KTDN_BIEU KE HOACH  2015 (KTN 6.11 sua)" xfId="2520"/>
    <cellStyle name="Dziesietny [0]_Invoices2001Slovakia_BIỂU TỔNG HỢP LẦN CUỐI SỬA THEO NGHI QUYẾT SỐ 81" xfId="2521"/>
    <cellStyle name="Dziesiętny [0]_Invoices2001Slovakia_Book1" xfId="2522"/>
    <cellStyle name="Dziesietny [0]_Invoices2001Slovakia_Book1_1" xfId="2523"/>
    <cellStyle name="Dziesiętny [0]_Invoices2001Slovakia_Book1_1" xfId="2524"/>
    <cellStyle name="Dziesietny [0]_Invoices2001Slovakia_Book1_1 2" xfId="2525"/>
    <cellStyle name="Dziesiętny [0]_Invoices2001Slovakia_Book1_1 2" xfId="2526"/>
    <cellStyle name="Dziesietny [0]_Invoices2001Slovakia_Book1_1 3" xfId="2527"/>
    <cellStyle name="Dziesiętny [0]_Invoices2001Slovakia_Book1_1 3" xfId="2528"/>
    <cellStyle name="Dziesietny [0]_Invoices2001Slovakia_Book1_1 4" xfId="2529"/>
    <cellStyle name="Dziesiętny [0]_Invoices2001Slovakia_Book1_1 4" xfId="2530"/>
    <cellStyle name="Dziesietny [0]_Invoices2001Slovakia_Book1_1 5" xfId="2531"/>
    <cellStyle name="Dziesiętny [0]_Invoices2001Slovakia_Book1_1 5" xfId="2532"/>
    <cellStyle name="Dziesietny [0]_Invoices2001Slovakia_Book1_1_bieu ke hoach dau thau" xfId="2533"/>
    <cellStyle name="Dziesiętny [0]_Invoices2001Slovakia_Book1_1_bieu ke hoach dau thau" xfId="2534"/>
    <cellStyle name="Dziesietny [0]_Invoices2001Slovakia_Book1_1_bieu ke hoach dau thau 2" xfId="2535"/>
    <cellStyle name="Dziesiętny [0]_Invoices2001Slovakia_Book1_1_bieu ke hoach dau thau 2" xfId="2536"/>
    <cellStyle name="Dziesietny [0]_Invoices2001Slovakia_Book1_1_bieu ke hoach dau thau 2 2" xfId="2537"/>
    <cellStyle name="Dziesiętny [0]_Invoices2001Slovakia_Book1_1_bieu ke hoach dau thau 2 2" xfId="2538"/>
    <cellStyle name="Dziesietny [0]_Invoices2001Slovakia_Book1_1_bieu ke hoach dau thau 3" xfId="2539"/>
    <cellStyle name="Dziesiętny [0]_Invoices2001Slovakia_Book1_1_bieu ke hoach dau thau 3" xfId="2540"/>
    <cellStyle name="Dziesietny [0]_Invoices2001Slovakia_Book1_1_bieu ke hoach dau thau 3 2" xfId="2541"/>
    <cellStyle name="Dziesiętny [0]_Invoices2001Slovakia_Book1_1_bieu ke hoach dau thau 3 2" xfId="2542"/>
    <cellStyle name="Dziesietny [0]_Invoices2001Slovakia_Book1_1_bieu ke hoach dau thau 4" xfId="2543"/>
    <cellStyle name="Dziesiętny [0]_Invoices2001Slovakia_Book1_1_bieu ke hoach dau thau 4" xfId="2544"/>
    <cellStyle name="Dziesietny [0]_Invoices2001Slovakia_Book1_1_bieu ke hoach dau thau 5" xfId="2545"/>
    <cellStyle name="Dziesiętny [0]_Invoices2001Slovakia_Book1_1_bieu ke hoach dau thau 5" xfId="2546"/>
    <cellStyle name="Dziesietny [0]_Invoices2001Slovakia_Book1_1_bieu ke hoach dau thau truong mam non SKH" xfId="2547"/>
    <cellStyle name="Dziesiętny [0]_Invoices2001Slovakia_Book1_1_bieu ke hoach dau thau truong mam non SKH" xfId="2548"/>
    <cellStyle name="Dziesietny [0]_Invoices2001Slovakia_Book1_1_bieu ke hoach dau thau truong mam non SKH 2" xfId="2549"/>
    <cellStyle name="Dziesiętny [0]_Invoices2001Slovakia_Book1_1_bieu ke hoach dau thau truong mam non SKH 2" xfId="2550"/>
    <cellStyle name="Dziesietny [0]_Invoices2001Slovakia_Book1_1_bieu ke hoach dau thau truong mam non SKH 2 2" xfId="2551"/>
    <cellStyle name="Dziesiętny [0]_Invoices2001Slovakia_Book1_1_bieu ke hoach dau thau truong mam non SKH 2 2" xfId="2552"/>
    <cellStyle name="Dziesietny [0]_Invoices2001Slovakia_Book1_1_bieu ke hoach dau thau truong mam non SKH 3" xfId="2553"/>
    <cellStyle name="Dziesiętny [0]_Invoices2001Slovakia_Book1_1_bieu ke hoach dau thau truong mam non SKH 3" xfId="2554"/>
    <cellStyle name="Dziesietny [0]_Invoices2001Slovakia_Book1_1_bieu ke hoach dau thau truong mam non SKH 3 2" xfId="2555"/>
    <cellStyle name="Dziesiętny [0]_Invoices2001Slovakia_Book1_1_bieu ke hoach dau thau truong mam non SKH 3 2" xfId="2556"/>
    <cellStyle name="Dziesietny [0]_Invoices2001Slovakia_Book1_1_bieu ke hoach dau thau truong mam non SKH 4" xfId="2557"/>
    <cellStyle name="Dziesiętny [0]_Invoices2001Slovakia_Book1_1_bieu ke hoach dau thau truong mam non SKH 4" xfId="2558"/>
    <cellStyle name="Dziesietny [0]_Invoices2001Slovakia_Book1_1_bieu ke hoach dau thau truong mam non SKH 5" xfId="2559"/>
    <cellStyle name="Dziesiętny [0]_Invoices2001Slovakia_Book1_1_bieu ke hoach dau thau truong mam non SKH 5" xfId="2560"/>
    <cellStyle name="Dziesietny [0]_Invoices2001Slovakia_Book1_1_bieu tong hop lai kh von 2011 gui phong TH-KTDN" xfId="2561"/>
    <cellStyle name="Dziesiętny [0]_Invoices2001Slovakia_Book1_1_bieu tong hop lai kh von 2011 gui phong TH-KTDN" xfId="2562"/>
    <cellStyle name="Dziesietny [0]_Invoices2001Slovakia_Book1_1_bieu tong hop lai kh von 2011 gui phong TH-KTDN 2" xfId="2563"/>
    <cellStyle name="Dziesiętny [0]_Invoices2001Slovakia_Book1_1_bieu tong hop lai kh von 2011 gui phong TH-KTDN 2" xfId="2564"/>
    <cellStyle name="Dziesietny [0]_Invoices2001Slovakia_Book1_1_bieu tong hop lai kh von 2011 gui phong TH-KTDN 2 2" xfId="2565"/>
    <cellStyle name="Dziesiętny [0]_Invoices2001Slovakia_Book1_1_bieu tong hop lai kh von 2011 gui phong TH-KTDN 2 2" xfId="2566"/>
    <cellStyle name="Dziesietny [0]_Invoices2001Slovakia_Book1_1_bieu tong hop lai kh von 2011 gui phong TH-KTDN 3" xfId="2567"/>
    <cellStyle name="Dziesiętny [0]_Invoices2001Slovakia_Book1_1_bieu tong hop lai kh von 2011 gui phong TH-KTDN 3" xfId="2568"/>
    <cellStyle name="Dziesietny [0]_Invoices2001Slovakia_Book1_1_bieu tong hop lai kh von 2011 gui phong TH-KTDN 3 2" xfId="2569"/>
    <cellStyle name="Dziesiętny [0]_Invoices2001Slovakia_Book1_1_bieu tong hop lai kh von 2011 gui phong TH-KTDN 3 2" xfId="2570"/>
    <cellStyle name="Dziesietny [0]_Invoices2001Slovakia_Book1_1_bieu tong hop lai kh von 2011 gui phong TH-KTDN 4" xfId="2571"/>
    <cellStyle name="Dziesiętny [0]_Invoices2001Slovakia_Book1_1_bieu tong hop lai kh von 2011 gui phong TH-KTDN 4" xfId="2572"/>
    <cellStyle name="Dziesietny [0]_Invoices2001Slovakia_Book1_1_bieu tong hop lai kh von 2011 gui phong TH-KTDN_BIEU KE HOACH  2015 (KTN 6.11 sua)" xfId="2573"/>
    <cellStyle name="Dziesiętny [0]_Invoices2001Slovakia_Book1_1_bieu tong hop lai kh von 2011 gui phong TH-KTDN_BIEU KE HOACH  2015 (KTN 6.11 sua)" xfId="2574"/>
    <cellStyle name="Dziesietny [0]_Invoices2001Slovakia_Book1_1_Book1" xfId="2575"/>
    <cellStyle name="Dziesiętny [0]_Invoices2001Slovakia_Book1_1_Book1" xfId="2576"/>
    <cellStyle name="Dziesietny [0]_Invoices2001Slovakia_Book1_1_Book1 2" xfId="2577"/>
    <cellStyle name="Dziesiętny [0]_Invoices2001Slovakia_Book1_1_Book1 2" xfId="2578"/>
    <cellStyle name="Dziesietny [0]_Invoices2001Slovakia_Book1_1_Book1_1" xfId="2579"/>
    <cellStyle name="Dziesiętny [0]_Invoices2001Slovakia_Book1_1_Book1_1" xfId="2580"/>
    <cellStyle name="Dziesietny [0]_Invoices2001Slovakia_Book1_1_Book1_1 2" xfId="2581"/>
    <cellStyle name="Dziesiętny [0]_Invoices2001Slovakia_Book1_1_Book1_1 2" xfId="2582"/>
    <cellStyle name="Dziesietny [0]_Invoices2001Slovakia_Book1_1_Book1_1 2 2" xfId="2583"/>
    <cellStyle name="Dziesiętny [0]_Invoices2001Slovakia_Book1_1_Book1_1 2 2" xfId="2584"/>
    <cellStyle name="Dziesietny [0]_Invoices2001Slovakia_Book1_1_Book1_1 3" xfId="2585"/>
    <cellStyle name="Dziesiętny [0]_Invoices2001Slovakia_Book1_1_Book1_1 3" xfId="2586"/>
    <cellStyle name="Dziesietny [0]_Invoices2001Slovakia_Book1_1_Book1_1 3 2" xfId="2587"/>
    <cellStyle name="Dziesiętny [0]_Invoices2001Slovakia_Book1_1_Book1_1 3 2" xfId="2588"/>
    <cellStyle name="Dziesietny [0]_Invoices2001Slovakia_Book1_1_Book1_1 4" xfId="2589"/>
    <cellStyle name="Dziesiętny [0]_Invoices2001Slovakia_Book1_1_Book1_1 4" xfId="2590"/>
    <cellStyle name="Dziesietny [0]_Invoices2001Slovakia_Book1_1_Book1_1 5" xfId="2591"/>
    <cellStyle name="Dziesiętny [0]_Invoices2001Slovakia_Book1_1_Book1_1 5" xfId="2592"/>
    <cellStyle name="Dziesietny [0]_Invoices2001Slovakia_Book1_1_Book1_1_Ke hoach 2010 (theo doi 11-8-2010)" xfId="2593"/>
    <cellStyle name="Dziesiętny [0]_Invoices2001Slovakia_Book1_1_Book1_1_Ke hoach 2010 (theo doi 11-8-2010)" xfId="2594"/>
    <cellStyle name="Dziesietny [0]_Invoices2001Slovakia_Book1_1_Book1_1_Ke hoach 2010 (theo doi 11-8-2010) 2" xfId="2595"/>
    <cellStyle name="Dziesiętny [0]_Invoices2001Slovakia_Book1_1_Book1_1_Ke hoach 2010 (theo doi 11-8-2010) 2" xfId="2596"/>
    <cellStyle name="Dziesietny [0]_Invoices2001Slovakia_Book1_1_Book1_1_Ke hoach 2010 (theo doi 11-8-2010) 2 2" xfId="2597"/>
    <cellStyle name="Dziesiętny [0]_Invoices2001Slovakia_Book1_1_Book1_1_Ke hoach 2010 (theo doi 11-8-2010) 2 2" xfId="2598"/>
    <cellStyle name="Dziesietny [0]_Invoices2001Slovakia_Book1_1_Book1_1_Ke hoach 2010 (theo doi 11-8-2010) 3" xfId="2599"/>
    <cellStyle name="Dziesiętny [0]_Invoices2001Slovakia_Book1_1_Book1_1_Ke hoach 2010 (theo doi 11-8-2010) 3" xfId="2600"/>
    <cellStyle name="Dziesietny [0]_Invoices2001Slovakia_Book1_1_Book1_1_Ke hoach 2010 (theo doi 11-8-2010) 3 2" xfId="2601"/>
    <cellStyle name="Dziesiętny [0]_Invoices2001Slovakia_Book1_1_Book1_1_Ke hoach 2010 (theo doi 11-8-2010) 3 2" xfId="2602"/>
    <cellStyle name="Dziesietny [0]_Invoices2001Slovakia_Book1_1_Book1_1_Ke hoach 2010 (theo doi 11-8-2010) 4" xfId="2603"/>
    <cellStyle name="Dziesiętny [0]_Invoices2001Slovakia_Book1_1_Book1_1_Ke hoach 2010 (theo doi 11-8-2010) 4" xfId="2604"/>
    <cellStyle name="Dziesietny [0]_Invoices2001Slovakia_Book1_1_Book1_1_Ke hoach 2010 (theo doi 11-8-2010)_BIEU KE HOACH  2015 (KTN 6.11 sua)" xfId="2605"/>
    <cellStyle name="Dziesiętny [0]_Invoices2001Slovakia_Book1_1_Book1_1_Ke hoach 2010 (theo doi 11-8-2010)_BIEU KE HOACH  2015 (KTN 6.11 sua)" xfId="2606"/>
    <cellStyle name="Dziesietny [0]_Invoices2001Slovakia_Book1_1_Book1_1_ke hoach dau thau 30-6-2010" xfId="2607"/>
    <cellStyle name="Dziesiętny [0]_Invoices2001Slovakia_Book1_1_Book1_1_ke hoach dau thau 30-6-2010" xfId="2608"/>
    <cellStyle name="Dziesietny [0]_Invoices2001Slovakia_Book1_1_Book1_1_ke hoach dau thau 30-6-2010 2" xfId="2609"/>
    <cellStyle name="Dziesiętny [0]_Invoices2001Slovakia_Book1_1_Book1_1_ke hoach dau thau 30-6-2010 2" xfId="2610"/>
    <cellStyle name="Dziesietny [0]_Invoices2001Slovakia_Book1_1_Book1_1_ke hoach dau thau 30-6-2010 2 2" xfId="2611"/>
    <cellStyle name="Dziesiętny [0]_Invoices2001Slovakia_Book1_1_Book1_1_ke hoach dau thau 30-6-2010 2 2" xfId="2612"/>
    <cellStyle name="Dziesietny [0]_Invoices2001Slovakia_Book1_1_Book1_1_ke hoach dau thau 30-6-2010 3" xfId="2613"/>
    <cellStyle name="Dziesiętny [0]_Invoices2001Slovakia_Book1_1_Book1_1_ke hoach dau thau 30-6-2010 3" xfId="2614"/>
    <cellStyle name="Dziesietny [0]_Invoices2001Slovakia_Book1_1_Book1_1_ke hoach dau thau 30-6-2010 3 2" xfId="2615"/>
    <cellStyle name="Dziesiętny [0]_Invoices2001Slovakia_Book1_1_Book1_1_ke hoach dau thau 30-6-2010 3 2" xfId="2616"/>
    <cellStyle name="Dziesietny [0]_Invoices2001Slovakia_Book1_1_Book1_1_ke hoach dau thau 30-6-2010 4" xfId="2617"/>
    <cellStyle name="Dziesiętny [0]_Invoices2001Slovakia_Book1_1_Book1_1_ke hoach dau thau 30-6-2010 4" xfId="2618"/>
    <cellStyle name="Dziesietny [0]_Invoices2001Slovakia_Book1_1_Book1_1_ke hoach dau thau 30-6-2010_BIEU KE HOACH  2015 (KTN 6.11 sua)" xfId="2619"/>
    <cellStyle name="Dziesiętny [0]_Invoices2001Slovakia_Book1_1_Book1_1_ke hoach dau thau 30-6-2010_BIEU KE HOACH  2015 (KTN 6.11 sua)" xfId="2620"/>
    <cellStyle name="Dziesietny [0]_Invoices2001Slovakia_Book1_1_Book1_2" xfId="2621"/>
    <cellStyle name="Dziesiętny [0]_Invoices2001Slovakia_Book1_1_Book1_2" xfId="2622"/>
    <cellStyle name="Dziesietny [0]_Invoices2001Slovakia_Book1_1_Book1_2 2" xfId="2623"/>
    <cellStyle name="Dziesiętny [0]_Invoices2001Slovakia_Book1_1_Book1_2 2" xfId="2624"/>
    <cellStyle name="Dziesietny [0]_Invoices2001Slovakia_Book1_1_Book1_bieu ke hoach dau thau" xfId="2625"/>
    <cellStyle name="Dziesiętny [0]_Invoices2001Slovakia_Book1_1_Book1_bieu ke hoach dau thau" xfId="2626"/>
    <cellStyle name="Dziesietny [0]_Invoices2001Slovakia_Book1_1_Book1_bieu ke hoach dau thau 2" xfId="2627"/>
    <cellStyle name="Dziesiętny [0]_Invoices2001Slovakia_Book1_1_Book1_bieu ke hoach dau thau 2" xfId="2628"/>
    <cellStyle name="Dziesietny [0]_Invoices2001Slovakia_Book1_1_Book1_bieu ke hoach dau thau 2 2" xfId="2629"/>
    <cellStyle name="Dziesiętny [0]_Invoices2001Slovakia_Book1_1_Book1_bieu ke hoach dau thau 2 2" xfId="2630"/>
    <cellStyle name="Dziesietny [0]_Invoices2001Slovakia_Book1_1_Book1_bieu ke hoach dau thau 3" xfId="2631"/>
    <cellStyle name="Dziesiętny [0]_Invoices2001Slovakia_Book1_1_Book1_bieu ke hoach dau thau 3" xfId="2632"/>
    <cellStyle name="Dziesietny [0]_Invoices2001Slovakia_Book1_1_Book1_bieu ke hoach dau thau 3 2" xfId="2633"/>
    <cellStyle name="Dziesiętny [0]_Invoices2001Slovakia_Book1_1_Book1_bieu ke hoach dau thau 3 2" xfId="2634"/>
    <cellStyle name="Dziesietny [0]_Invoices2001Slovakia_Book1_1_Book1_bieu ke hoach dau thau 4" xfId="2635"/>
    <cellStyle name="Dziesiętny [0]_Invoices2001Slovakia_Book1_1_Book1_bieu ke hoach dau thau 4" xfId="2636"/>
    <cellStyle name="Dziesietny [0]_Invoices2001Slovakia_Book1_1_Book1_bieu ke hoach dau thau truong mam non SKH" xfId="2637"/>
    <cellStyle name="Dziesiętny [0]_Invoices2001Slovakia_Book1_1_Book1_bieu ke hoach dau thau truong mam non SKH" xfId="2638"/>
    <cellStyle name="Dziesietny [0]_Invoices2001Slovakia_Book1_1_Book1_bieu ke hoach dau thau truong mam non SKH 2" xfId="2639"/>
    <cellStyle name="Dziesiętny [0]_Invoices2001Slovakia_Book1_1_Book1_bieu ke hoach dau thau truong mam non SKH 2" xfId="2640"/>
    <cellStyle name="Dziesietny [0]_Invoices2001Slovakia_Book1_1_Book1_bieu ke hoach dau thau truong mam non SKH 2 2" xfId="2641"/>
    <cellStyle name="Dziesiętny [0]_Invoices2001Slovakia_Book1_1_Book1_bieu ke hoach dau thau truong mam non SKH 2 2" xfId="2642"/>
    <cellStyle name="Dziesietny [0]_Invoices2001Slovakia_Book1_1_Book1_bieu ke hoach dau thau truong mam non SKH 3" xfId="2643"/>
    <cellStyle name="Dziesiętny [0]_Invoices2001Slovakia_Book1_1_Book1_bieu ke hoach dau thau truong mam non SKH 3" xfId="2644"/>
    <cellStyle name="Dziesietny [0]_Invoices2001Slovakia_Book1_1_Book1_bieu ke hoach dau thau truong mam non SKH 3 2" xfId="2645"/>
    <cellStyle name="Dziesiętny [0]_Invoices2001Slovakia_Book1_1_Book1_bieu ke hoach dau thau truong mam non SKH 3 2" xfId="2646"/>
    <cellStyle name="Dziesietny [0]_Invoices2001Slovakia_Book1_1_Book1_bieu ke hoach dau thau truong mam non SKH 4" xfId="2647"/>
    <cellStyle name="Dziesiętny [0]_Invoices2001Slovakia_Book1_1_Book1_bieu ke hoach dau thau truong mam non SKH 4" xfId="2648"/>
    <cellStyle name="Dziesietny [0]_Invoices2001Slovakia_Book1_1_Book1_bieu tong hop lai kh von 2011 gui phong TH-KTDN" xfId="2649"/>
    <cellStyle name="Dziesiętny [0]_Invoices2001Slovakia_Book1_1_Book1_bieu tong hop lai kh von 2011 gui phong TH-KTDN" xfId="2650"/>
    <cellStyle name="Dziesietny [0]_Invoices2001Slovakia_Book1_1_Book1_bieu tong hop lai kh von 2011 gui phong TH-KTDN 2" xfId="2651"/>
    <cellStyle name="Dziesiętny [0]_Invoices2001Slovakia_Book1_1_Book1_bieu tong hop lai kh von 2011 gui phong TH-KTDN 2" xfId="2652"/>
    <cellStyle name="Dziesietny [0]_Invoices2001Slovakia_Book1_1_Book1_bieu tong hop lai kh von 2011 gui phong TH-KTDN 2 2" xfId="2653"/>
    <cellStyle name="Dziesiętny [0]_Invoices2001Slovakia_Book1_1_Book1_bieu tong hop lai kh von 2011 gui phong TH-KTDN 2 2" xfId="2654"/>
    <cellStyle name="Dziesietny [0]_Invoices2001Slovakia_Book1_1_Book1_bieu tong hop lai kh von 2011 gui phong TH-KTDN 3" xfId="2655"/>
    <cellStyle name="Dziesiętny [0]_Invoices2001Slovakia_Book1_1_Book1_bieu tong hop lai kh von 2011 gui phong TH-KTDN 3" xfId="2656"/>
    <cellStyle name="Dziesietny [0]_Invoices2001Slovakia_Book1_1_Book1_bieu tong hop lai kh von 2011 gui phong TH-KTDN 3 2" xfId="2657"/>
    <cellStyle name="Dziesiętny [0]_Invoices2001Slovakia_Book1_1_Book1_bieu tong hop lai kh von 2011 gui phong TH-KTDN 3 2" xfId="2658"/>
    <cellStyle name="Dziesietny [0]_Invoices2001Slovakia_Book1_1_Book1_bieu tong hop lai kh von 2011 gui phong TH-KTDN 4" xfId="2659"/>
    <cellStyle name="Dziesiętny [0]_Invoices2001Slovakia_Book1_1_Book1_bieu tong hop lai kh von 2011 gui phong TH-KTDN 4" xfId="2660"/>
    <cellStyle name="Dziesietny [0]_Invoices2001Slovakia_Book1_1_Book1_bieu tong hop lai kh von 2011 gui phong TH-KTDN_BIEU KE HOACH  2015 (KTN 6.11 sua)" xfId="2661"/>
    <cellStyle name="Dziesiętny [0]_Invoices2001Slovakia_Book1_1_Book1_bieu tong hop lai kh von 2011 gui phong TH-KTDN_BIEU KE HOACH  2015 (KTN 6.11 sua)" xfId="2662"/>
    <cellStyle name="Dziesietny [0]_Invoices2001Slovakia_Book1_1_Book1_Book1" xfId="2663"/>
    <cellStyle name="Dziesiętny [0]_Invoices2001Slovakia_Book1_1_Book1_Book1" xfId="2664"/>
    <cellStyle name="Dziesietny [0]_Invoices2001Slovakia_Book1_1_Book1_Book1 2" xfId="2665"/>
    <cellStyle name="Dziesiętny [0]_Invoices2001Slovakia_Book1_1_Book1_Book1 2" xfId="2666"/>
    <cellStyle name="Dziesietny [0]_Invoices2001Slovakia_Book1_1_Book1_Book1 2 2" xfId="2667"/>
    <cellStyle name="Dziesiętny [0]_Invoices2001Slovakia_Book1_1_Book1_Book1 2 2" xfId="2668"/>
    <cellStyle name="Dziesietny [0]_Invoices2001Slovakia_Book1_1_Book1_Book1 3" xfId="2669"/>
    <cellStyle name="Dziesiętny [0]_Invoices2001Slovakia_Book1_1_Book1_Book1 3" xfId="2670"/>
    <cellStyle name="Dziesietny [0]_Invoices2001Slovakia_Book1_1_Book1_Book1 3 2" xfId="2671"/>
    <cellStyle name="Dziesiętny [0]_Invoices2001Slovakia_Book1_1_Book1_Book1 3 2" xfId="2672"/>
    <cellStyle name="Dziesietny [0]_Invoices2001Slovakia_Book1_1_Book1_Book1 4" xfId="2673"/>
    <cellStyle name="Dziesiętny [0]_Invoices2001Slovakia_Book1_1_Book1_Book1 4" xfId="2674"/>
    <cellStyle name="Dziesietny [0]_Invoices2001Slovakia_Book1_1_Book1_Book1_Ke hoach 2010 (theo doi 11-8-2010)" xfId="2675"/>
    <cellStyle name="Dziesiętny [0]_Invoices2001Slovakia_Book1_1_Book1_Book1_Ke hoach 2010 (theo doi 11-8-2010)" xfId="2676"/>
    <cellStyle name="Dziesietny [0]_Invoices2001Slovakia_Book1_1_Book1_Book1_Ke hoach 2010 (theo doi 11-8-2010) 2" xfId="2677"/>
    <cellStyle name="Dziesiętny [0]_Invoices2001Slovakia_Book1_1_Book1_Book1_Ke hoach 2010 (theo doi 11-8-2010) 2" xfId="2678"/>
    <cellStyle name="Dziesietny [0]_Invoices2001Slovakia_Book1_1_Book1_Book1_Ke hoach 2010 (theo doi 11-8-2010) 2 2" xfId="2679"/>
    <cellStyle name="Dziesiętny [0]_Invoices2001Slovakia_Book1_1_Book1_Book1_Ke hoach 2010 (theo doi 11-8-2010) 2 2" xfId="2680"/>
    <cellStyle name="Dziesietny [0]_Invoices2001Slovakia_Book1_1_Book1_Book1_Ke hoach 2010 (theo doi 11-8-2010) 3" xfId="2681"/>
    <cellStyle name="Dziesiętny [0]_Invoices2001Slovakia_Book1_1_Book1_Book1_Ke hoach 2010 (theo doi 11-8-2010) 3" xfId="2682"/>
    <cellStyle name="Dziesietny [0]_Invoices2001Slovakia_Book1_1_Book1_Book1_Ke hoach 2010 (theo doi 11-8-2010) 3 2" xfId="2683"/>
    <cellStyle name="Dziesiętny [0]_Invoices2001Slovakia_Book1_1_Book1_Book1_Ke hoach 2010 (theo doi 11-8-2010) 3 2" xfId="2684"/>
    <cellStyle name="Dziesietny [0]_Invoices2001Slovakia_Book1_1_Book1_Book1_Ke hoach 2010 (theo doi 11-8-2010) 4" xfId="2685"/>
    <cellStyle name="Dziesiętny [0]_Invoices2001Slovakia_Book1_1_Book1_Book1_Ke hoach 2010 (theo doi 11-8-2010) 4" xfId="2686"/>
    <cellStyle name="Dziesietny [0]_Invoices2001Slovakia_Book1_1_Book1_Book1_Ke hoach 2010 (theo doi 11-8-2010)_BIEU KE HOACH  2015 (KTN 6.11 sua)" xfId="2687"/>
    <cellStyle name="Dziesiętny [0]_Invoices2001Slovakia_Book1_1_Book1_Book1_Ke hoach 2010 (theo doi 11-8-2010)_BIEU KE HOACH  2015 (KTN 6.11 sua)" xfId="2688"/>
    <cellStyle name="Dziesietny [0]_Invoices2001Slovakia_Book1_1_Book1_Book1_ke hoach dau thau 30-6-2010" xfId="2689"/>
    <cellStyle name="Dziesiętny [0]_Invoices2001Slovakia_Book1_1_Book1_Book1_ke hoach dau thau 30-6-2010" xfId="2690"/>
    <cellStyle name="Dziesietny [0]_Invoices2001Slovakia_Book1_1_Book1_Book1_ke hoach dau thau 30-6-2010 2" xfId="2691"/>
    <cellStyle name="Dziesiętny [0]_Invoices2001Slovakia_Book1_1_Book1_Book1_ke hoach dau thau 30-6-2010 2" xfId="2692"/>
    <cellStyle name="Dziesietny [0]_Invoices2001Slovakia_Book1_1_Book1_Book1_ke hoach dau thau 30-6-2010 2 2" xfId="2693"/>
    <cellStyle name="Dziesiętny [0]_Invoices2001Slovakia_Book1_1_Book1_Book1_ke hoach dau thau 30-6-2010 2 2" xfId="2694"/>
    <cellStyle name="Dziesietny [0]_Invoices2001Slovakia_Book1_1_Book1_Book1_ke hoach dau thau 30-6-2010 3" xfId="2695"/>
    <cellStyle name="Dziesiętny [0]_Invoices2001Slovakia_Book1_1_Book1_Book1_ke hoach dau thau 30-6-2010 3" xfId="2696"/>
    <cellStyle name="Dziesietny [0]_Invoices2001Slovakia_Book1_1_Book1_Book1_ke hoach dau thau 30-6-2010 3 2" xfId="2697"/>
    <cellStyle name="Dziesiętny [0]_Invoices2001Slovakia_Book1_1_Book1_Book1_ke hoach dau thau 30-6-2010 3 2" xfId="2698"/>
    <cellStyle name="Dziesietny [0]_Invoices2001Slovakia_Book1_1_Book1_Book1_ke hoach dau thau 30-6-2010 4" xfId="2699"/>
    <cellStyle name="Dziesiętny [0]_Invoices2001Slovakia_Book1_1_Book1_Book1_ke hoach dau thau 30-6-2010 4" xfId="2700"/>
    <cellStyle name="Dziesietny [0]_Invoices2001Slovakia_Book1_1_Book1_Book1_ke hoach dau thau 30-6-2010_BIEU KE HOACH  2015 (KTN 6.11 sua)" xfId="2701"/>
    <cellStyle name="Dziesiętny [0]_Invoices2001Slovakia_Book1_1_Book1_Book1_ke hoach dau thau 30-6-2010_BIEU KE HOACH  2015 (KTN 6.11 sua)" xfId="2702"/>
    <cellStyle name="Dziesietny [0]_Invoices2001Slovakia_Book1_1_Book1_Copy of KH PHAN BO VON ĐỐI ỨNG NAM 2011 (30 TY phuong án gop WB)" xfId="2703"/>
    <cellStyle name="Dziesiętny [0]_Invoices2001Slovakia_Book1_1_Book1_Copy of KH PHAN BO VON ĐỐI ỨNG NAM 2011 (30 TY phuong án gop WB)" xfId="2704"/>
    <cellStyle name="Dziesietny [0]_Invoices2001Slovakia_Book1_1_Book1_Copy of KH PHAN BO VON ĐỐI ỨNG NAM 2011 (30 TY phuong án gop WB) 2" xfId="2705"/>
    <cellStyle name="Dziesiętny [0]_Invoices2001Slovakia_Book1_1_Book1_Copy of KH PHAN BO VON ĐỐI ỨNG NAM 2011 (30 TY phuong án gop WB) 2" xfId="2706"/>
    <cellStyle name="Dziesietny [0]_Invoices2001Slovakia_Book1_1_Book1_Copy of KH PHAN BO VON ĐỐI ỨNG NAM 2011 (30 TY phuong án gop WB) 2 2" xfId="2707"/>
    <cellStyle name="Dziesiętny [0]_Invoices2001Slovakia_Book1_1_Book1_Copy of KH PHAN BO VON ĐỐI ỨNG NAM 2011 (30 TY phuong án gop WB) 2 2" xfId="2708"/>
    <cellStyle name="Dziesietny [0]_Invoices2001Slovakia_Book1_1_Book1_Copy of KH PHAN BO VON ĐỐI ỨNG NAM 2011 (30 TY phuong án gop WB) 3" xfId="2709"/>
    <cellStyle name="Dziesiętny [0]_Invoices2001Slovakia_Book1_1_Book1_Copy of KH PHAN BO VON ĐỐI ỨNG NAM 2011 (30 TY phuong án gop WB) 3" xfId="2710"/>
    <cellStyle name="Dziesietny [0]_Invoices2001Slovakia_Book1_1_Book1_Copy of KH PHAN BO VON ĐỐI ỨNG NAM 2011 (30 TY phuong án gop WB) 3 2" xfId="2711"/>
    <cellStyle name="Dziesiętny [0]_Invoices2001Slovakia_Book1_1_Book1_Copy of KH PHAN BO VON ĐỐI ỨNG NAM 2011 (30 TY phuong án gop WB) 3 2" xfId="2712"/>
    <cellStyle name="Dziesietny [0]_Invoices2001Slovakia_Book1_1_Book1_Copy of KH PHAN BO VON ĐỐI ỨNG NAM 2011 (30 TY phuong án gop WB) 4" xfId="2713"/>
    <cellStyle name="Dziesiętny [0]_Invoices2001Slovakia_Book1_1_Book1_Copy of KH PHAN BO VON ĐỐI ỨNG NAM 2011 (30 TY phuong án gop WB) 4" xfId="2714"/>
    <cellStyle name="Dziesietny [0]_Invoices2001Slovakia_Book1_1_Book1_Copy of KH PHAN BO VON ĐỐI ỨNG NAM 2011 (30 TY phuong án gop WB)_BIEU KE HOACH  2015 (KTN 6.11 sua)" xfId="2715"/>
    <cellStyle name="Dziesiętny [0]_Invoices2001Slovakia_Book1_1_Book1_Copy of KH PHAN BO VON ĐỐI ỨNG NAM 2011 (30 TY phuong án gop WB)_BIEU KE HOACH  2015 (KTN 6.11 sua)" xfId="2716"/>
    <cellStyle name="Dziesietny [0]_Invoices2001Slovakia_Book1_1_Book1_DTTD chieng chan Tham lai 29-9-2009" xfId="2717"/>
    <cellStyle name="Dziesiętny [0]_Invoices2001Slovakia_Book1_1_Book1_DTTD chieng chan Tham lai 29-9-2009" xfId="2718"/>
    <cellStyle name="Dziesietny [0]_Invoices2001Slovakia_Book1_1_Book1_DTTD chieng chan Tham lai 29-9-2009 2" xfId="2719"/>
    <cellStyle name="Dziesiętny [0]_Invoices2001Slovakia_Book1_1_Book1_DTTD chieng chan Tham lai 29-9-2009 2" xfId="2720"/>
    <cellStyle name="Dziesietny [0]_Invoices2001Slovakia_Book1_1_Book1_DTTD chieng chan Tham lai 29-9-2009 2 2" xfId="2721"/>
    <cellStyle name="Dziesiętny [0]_Invoices2001Slovakia_Book1_1_Book1_DTTD chieng chan Tham lai 29-9-2009 2 2" xfId="2722"/>
    <cellStyle name="Dziesietny [0]_Invoices2001Slovakia_Book1_1_Book1_DTTD chieng chan Tham lai 29-9-2009 3" xfId="2723"/>
    <cellStyle name="Dziesiętny [0]_Invoices2001Slovakia_Book1_1_Book1_DTTD chieng chan Tham lai 29-9-2009 3" xfId="2724"/>
    <cellStyle name="Dziesietny [0]_Invoices2001Slovakia_Book1_1_Book1_DTTD chieng chan Tham lai 29-9-2009 3 2" xfId="2725"/>
    <cellStyle name="Dziesiętny [0]_Invoices2001Slovakia_Book1_1_Book1_DTTD chieng chan Tham lai 29-9-2009 3 2" xfId="2726"/>
    <cellStyle name="Dziesietny [0]_Invoices2001Slovakia_Book1_1_Book1_DTTD chieng chan Tham lai 29-9-2009 4" xfId="2727"/>
    <cellStyle name="Dziesiętny [0]_Invoices2001Slovakia_Book1_1_Book1_DTTD chieng chan Tham lai 29-9-2009 4" xfId="2728"/>
    <cellStyle name="Dziesietny [0]_Invoices2001Slovakia_Book1_1_Book1_DTTD chieng chan Tham lai 29-9-2009_BIEU KE HOACH  2015 (KTN 6.11 sua)" xfId="2729"/>
    <cellStyle name="Dziesiętny [0]_Invoices2001Slovakia_Book1_1_Book1_DTTD chieng chan Tham lai 29-9-2009_BIEU KE HOACH  2015 (KTN 6.11 sua)" xfId="2730"/>
    <cellStyle name="Dziesietny [0]_Invoices2001Slovakia_Book1_1_Book1_Du toan nuoc San Thang (GD2)" xfId="2731"/>
    <cellStyle name="Dziesiętny [0]_Invoices2001Slovakia_Book1_1_Book1_Du toan nuoc San Thang (GD2)" xfId="2732"/>
    <cellStyle name="Dziesietny [0]_Invoices2001Slovakia_Book1_1_Book1_Du toan nuoc San Thang (GD2) 2" xfId="2733"/>
    <cellStyle name="Dziesiętny [0]_Invoices2001Slovakia_Book1_1_Book1_Du toan nuoc San Thang (GD2) 2" xfId="2734"/>
    <cellStyle name="Dziesietny [0]_Invoices2001Slovakia_Book1_1_Book1_Du toan nuoc San Thang (GD2) 2 2" xfId="2735"/>
    <cellStyle name="Dziesiętny [0]_Invoices2001Slovakia_Book1_1_Book1_Du toan nuoc San Thang (GD2) 2 2" xfId="2736"/>
    <cellStyle name="Dziesietny [0]_Invoices2001Slovakia_Book1_1_Book1_Du toan nuoc San Thang (GD2) 3" xfId="2737"/>
    <cellStyle name="Dziesiętny [0]_Invoices2001Slovakia_Book1_1_Book1_Du toan nuoc San Thang (GD2) 3" xfId="2738"/>
    <cellStyle name="Dziesietny [0]_Invoices2001Slovakia_Book1_1_Book1_Du toan nuoc San Thang (GD2) 3 2" xfId="2739"/>
    <cellStyle name="Dziesiętny [0]_Invoices2001Slovakia_Book1_1_Book1_Du toan nuoc San Thang (GD2) 3 2" xfId="2740"/>
    <cellStyle name="Dziesietny [0]_Invoices2001Slovakia_Book1_1_Book1_Du toan nuoc San Thang (GD2) 4" xfId="2741"/>
    <cellStyle name="Dziesiętny [0]_Invoices2001Slovakia_Book1_1_Book1_Du toan nuoc San Thang (GD2) 4" xfId="2742"/>
    <cellStyle name="Dziesietny [0]_Invoices2001Slovakia_Book1_1_Book1_Ke hoach 2010 (theo doi 11-8-2010)" xfId="2743"/>
    <cellStyle name="Dziesiętny [0]_Invoices2001Slovakia_Book1_1_Book1_Ke hoach 2010 (theo doi 11-8-2010)" xfId="2744"/>
    <cellStyle name="Dziesietny [0]_Invoices2001Slovakia_Book1_1_Book1_Ke hoach 2010 (theo doi 11-8-2010) 2" xfId="2745"/>
    <cellStyle name="Dziesiętny [0]_Invoices2001Slovakia_Book1_1_Book1_Ke hoach 2010 (theo doi 11-8-2010) 2" xfId="2746"/>
    <cellStyle name="Dziesietny [0]_Invoices2001Slovakia_Book1_1_Book1_Ke hoach 2010 (theo doi 11-8-2010) 2 2" xfId="2747"/>
    <cellStyle name="Dziesiętny [0]_Invoices2001Slovakia_Book1_1_Book1_Ke hoach 2010 (theo doi 11-8-2010) 2 2" xfId="2748"/>
    <cellStyle name="Dziesietny [0]_Invoices2001Slovakia_Book1_1_Book1_Ke hoach 2010 (theo doi 11-8-2010) 3" xfId="2749"/>
    <cellStyle name="Dziesiętny [0]_Invoices2001Slovakia_Book1_1_Book1_Ke hoach 2010 (theo doi 11-8-2010) 3" xfId="2750"/>
    <cellStyle name="Dziesietny [0]_Invoices2001Slovakia_Book1_1_Book1_Ke hoach 2010 (theo doi 11-8-2010) 3 2" xfId="2751"/>
    <cellStyle name="Dziesiętny [0]_Invoices2001Slovakia_Book1_1_Book1_Ke hoach 2010 (theo doi 11-8-2010) 3 2" xfId="2752"/>
    <cellStyle name="Dziesietny [0]_Invoices2001Slovakia_Book1_1_Book1_Ke hoach 2010 (theo doi 11-8-2010) 4" xfId="2753"/>
    <cellStyle name="Dziesiętny [0]_Invoices2001Slovakia_Book1_1_Book1_Ke hoach 2010 (theo doi 11-8-2010) 4" xfId="2754"/>
    <cellStyle name="Dziesietny [0]_Invoices2001Slovakia_Book1_1_Book1_ke hoach dau thau 30-6-2010" xfId="2755"/>
    <cellStyle name="Dziesiętny [0]_Invoices2001Slovakia_Book1_1_Book1_ke hoach dau thau 30-6-2010" xfId="2756"/>
    <cellStyle name="Dziesietny [0]_Invoices2001Slovakia_Book1_1_Book1_ke hoach dau thau 30-6-2010 2" xfId="2757"/>
    <cellStyle name="Dziesiętny [0]_Invoices2001Slovakia_Book1_1_Book1_ke hoach dau thau 30-6-2010 2" xfId="2758"/>
    <cellStyle name="Dziesietny [0]_Invoices2001Slovakia_Book1_1_Book1_ke hoach dau thau 30-6-2010 2 2" xfId="2759"/>
    <cellStyle name="Dziesiętny [0]_Invoices2001Slovakia_Book1_1_Book1_ke hoach dau thau 30-6-2010 2 2" xfId="2760"/>
    <cellStyle name="Dziesietny [0]_Invoices2001Slovakia_Book1_1_Book1_ke hoach dau thau 30-6-2010 3" xfId="2761"/>
    <cellStyle name="Dziesiętny [0]_Invoices2001Slovakia_Book1_1_Book1_ke hoach dau thau 30-6-2010 3" xfId="2762"/>
    <cellStyle name="Dziesietny [0]_Invoices2001Slovakia_Book1_1_Book1_ke hoach dau thau 30-6-2010 3 2" xfId="2763"/>
    <cellStyle name="Dziesiętny [0]_Invoices2001Slovakia_Book1_1_Book1_ke hoach dau thau 30-6-2010 3 2" xfId="2764"/>
    <cellStyle name="Dziesietny [0]_Invoices2001Slovakia_Book1_1_Book1_ke hoach dau thau 30-6-2010 4" xfId="2765"/>
    <cellStyle name="Dziesiętny [0]_Invoices2001Slovakia_Book1_1_Book1_ke hoach dau thau 30-6-2010 4" xfId="2766"/>
    <cellStyle name="Dziesietny [0]_Invoices2001Slovakia_Book1_1_Book1_KH Von 2012 gui BKH 1" xfId="2767"/>
    <cellStyle name="Dziesiętny [0]_Invoices2001Slovakia_Book1_1_Book1_KH Von 2012 gui BKH 1" xfId="2768"/>
    <cellStyle name="Dziesietny [0]_Invoices2001Slovakia_Book1_1_Book1_KH Von 2012 gui BKH 1 2" xfId="2769"/>
    <cellStyle name="Dziesiętny [0]_Invoices2001Slovakia_Book1_1_Book1_KH Von 2012 gui BKH 1 2" xfId="2770"/>
    <cellStyle name="Dziesietny [0]_Invoices2001Slovakia_Book1_1_Book1_KH Von 2012 gui BKH 1 2 2" xfId="2771"/>
    <cellStyle name="Dziesiętny [0]_Invoices2001Slovakia_Book1_1_Book1_KH Von 2012 gui BKH 1 2 2" xfId="2772"/>
    <cellStyle name="Dziesietny [0]_Invoices2001Slovakia_Book1_1_Book1_KH Von 2012 gui BKH 1 3" xfId="2773"/>
    <cellStyle name="Dziesiętny [0]_Invoices2001Slovakia_Book1_1_Book1_KH Von 2012 gui BKH 1 3" xfId="2774"/>
    <cellStyle name="Dziesietny [0]_Invoices2001Slovakia_Book1_1_Book1_KH Von 2012 gui BKH 1 3 2" xfId="2775"/>
    <cellStyle name="Dziesiętny [0]_Invoices2001Slovakia_Book1_1_Book1_KH Von 2012 gui BKH 1 3 2" xfId="2776"/>
    <cellStyle name="Dziesietny [0]_Invoices2001Slovakia_Book1_1_Book1_KH Von 2012 gui BKH 1 4" xfId="2777"/>
    <cellStyle name="Dziesiętny [0]_Invoices2001Slovakia_Book1_1_Book1_KH Von 2012 gui BKH 1 4" xfId="2778"/>
    <cellStyle name="Dziesietny [0]_Invoices2001Slovakia_Book1_1_Book1_KH Von 2012 gui BKH 1_BIEU KE HOACH  2015 (KTN 6.11 sua)" xfId="2779"/>
    <cellStyle name="Dziesiętny [0]_Invoices2001Slovakia_Book1_1_Book1_KH Von 2012 gui BKH 1_BIEU KE HOACH  2015 (KTN 6.11 sua)" xfId="2780"/>
    <cellStyle name="Dziesietny [0]_Invoices2001Slovakia_Book1_1_Book1_QD ke hoach dau thau" xfId="2781"/>
    <cellStyle name="Dziesiętny [0]_Invoices2001Slovakia_Book1_1_Book1_QD ke hoach dau thau" xfId="2782"/>
    <cellStyle name="Dziesietny [0]_Invoices2001Slovakia_Book1_1_Book1_QD ke hoach dau thau 2" xfId="2783"/>
    <cellStyle name="Dziesiętny [0]_Invoices2001Slovakia_Book1_1_Book1_QD ke hoach dau thau 2" xfId="2784"/>
    <cellStyle name="Dziesietny [0]_Invoices2001Slovakia_Book1_1_Book1_QD ke hoach dau thau 2 2" xfId="2785"/>
    <cellStyle name="Dziesiętny [0]_Invoices2001Slovakia_Book1_1_Book1_QD ke hoach dau thau 2 2" xfId="2786"/>
    <cellStyle name="Dziesietny [0]_Invoices2001Slovakia_Book1_1_Book1_QD ke hoach dau thau 3" xfId="2787"/>
    <cellStyle name="Dziesiętny [0]_Invoices2001Slovakia_Book1_1_Book1_QD ke hoach dau thau 3" xfId="2788"/>
    <cellStyle name="Dziesietny [0]_Invoices2001Slovakia_Book1_1_Book1_QD ke hoach dau thau 3 2" xfId="2789"/>
    <cellStyle name="Dziesiętny [0]_Invoices2001Slovakia_Book1_1_Book1_QD ke hoach dau thau 3 2" xfId="2790"/>
    <cellStyle name="Dziesietny [0]_Invoices2001Slovakia_Book1_1_Book1_QD ke hoach dau thau 4" xfId="2791"/>
    <cellStyle name="Dziesiętny [0]_Invoices2001Slovakia_Book1_1_Book1_QD ke hoach dau thau 4" xfId="2792"/>
    <cellStyle name="Dziesietny [0]_Invoices2001Slovakia_Book1_1_Book1_tinh toan hoang ha" xfId="2793"/>
    <cellStyle name="Dziesiętny [0]_Invoices2001Slovakia_Book1_1_Book1_tinh toan hoang ha" xfId="2794"/>
    <cellStyle name="Dziesietny [0]_Invoices2001Slovakia_Book1_1_Book1_tinh toan hoang ha 2" xfId="2795"/>
    <cellStyle name="Dziesiętny [0]_Invoices2001Slovakia_Book1_1_Book1_tinh toan hoang ha 2" xfId="2796"/>
    <cellStyle name="Dziesietny [0]_Invoices2001Slovakia_Book1_1_Book1_tinh toan hoang ha 2 2" xfId="2797"/>
    <cellStyle name="Dziesiętny [0]_Invoices2001Slovakia_Book1_1_Book1_tinh toan hoang ha 2 2" xfId="2798"/>
    <cellStyle name="Dziesietny [0]_Invoices2001Slovakia_Book1_1_Book1_tinh toan hoang ha 3" xfId="2799"/>
    <cellStyle name="Dziesiętny [0]_Invoices2001Slovakia_Book1_1_Book1_tinh toan hoang ha 3" xfId="2800"/>
    <cellStyle name="Dziesietny [0]_Invoices2001Slovakia_Book1_1_Book1_tinh toan hoang ha 3 2" xfId="2801"/>
    <cellStyle name="Dziesiętny [0]_Invoices2001Slovakia_Book1_1_Book1_tinh toan hoang ha 3 2" xfId="2802"/>
    <cellStyle name="Dziesietny [0]_Invoices2001Slovakia_Book1_1_Book1_tinh toan hoang ha 4" xfId="2803"/>
    <cellStyle name="Dziesiętny [0]_Invoices2001Slovakia_Book1_1_Book1_tinh toan hoang ha 4" xfId="2804"/>
    <cellStyle name="Dziesietny [0]_Invoices2001Slovakia_Book1_1_Book1_Tong von ĐTPT" xfId="2805"/>
    <cellStyle name="Dziesiętny [0]_Invoices2001Slovakia_Book1_1_Book1_Tong von ĐTPT" xfId="2806"/>
    <cellStyle name="Dziesietny [0]_Invoices2001Slovakia_Book1_1_Book1_Tong von ĐTPT 2" xfId="2807"/>
    <cellStyle name="Dziesiętny [0]_Invoices2001Slovakia_Book1_1_Book1_Tong von ĐTPT 2" xfId="2808"/>
    <cellStyle name="Dziesietny [0]_Invoices2001Slovakia_Book1_1_Book1_Tong von ĐTPT 2 2" xfId="2809"/>
    <cellStyle name="Dziesiętny [0]_Invoices2001Slovakia_Book1_1_Book1_Tong von ĐTPT 2 2" xfId="2810"/>
    <cellStyle name="Dziesietny [0]_Invoices2001Slovakia_Book1_1_Book1_Tong von ĐTPT 3" xfId="2811"/>
    <cellStyle name="Dziesiętny [0]_Invoices2001Slovakia_Book1_1_Book1_Tong von ĐTPT 3" xfId="2812"/>
    <cellStyle name="Dziesietny [0]_Invoices2001Slovakia_Book1_1_Book1_Tong von ĐTPT 3 2" xfId="2813"/>
    <cellStyle name="Dziesiętny [0]_Invoices2001Slovakia_Book1_1_Book1_Tong von ĐTPT 3 2" xfId="2814"/>
    <cellStyle name="Dziesietny [0]_Invoices2001Slovakia_Book1_1_Book1_Tong von ĐTPT 4" xfId="2815"/>
    <cellStyle name="Dziesiętny [0]_Invoices2001Slovakia_Book1_1_Book1_Tong von ĐTPT 4" xfId="2816"/>
    <cellStyle name="Dziesietny [0]_Invoices2001Slovakia_Book1_1_Copy of KH PHAN BO VON ĐỐI ỨNG NAM 2011 (30 TY phuong án gop WB)" xfId="2817"/>
    <cellStyle name="Dziesiętny [0]_Invoices2001Slovakia_Book1_1_Copy of KH PHAN BO VON ĐỐI ỨNG NAM 2011 (30 TY phuong án gop WB)" xfId="2818"/>
    <cellStyle name="Dziesietny [0]_Invoices2001Slovakia_Book1_1_Copy of KH PHAN BO VON ĐỐI ỨNG NAM 2011 (30 TY phuong án gop WB) 2" xfId="2819"/>
    <cellStyle name="Dziesiętny [0]_Invoices2001Slovakia_Book1_1_Copy of KH PHAN BO VON ĐỐI ỨNG NAM 2011 (30 TY phuong án gop WB) 2" xfId="2820"/>
    <cellStyle name="Dziesietny [0]_Invoices2001Slovakia_Book1_1_Copy of KH PHAN BO VON ĐỐI ỨNG NAM 2011 (30 TY phuong án gop WB) 2 2" xfId="2821"/>
    <cellStyle name="Dziesiętny [0]_Invoices2001Slovakia_Book1_1_Copy of KH PHAN BO VON ĐỐI ỨNG NAM 2011 (30 TY phuong án gop WB) 2 2" xfId="2822"/>
    <cellStyle name="Dziesietny [0]_Invoices2001Slovakia_Book1_1_Copy of KH PHAN BO VON ĐỐI ỨNG NAM 2011 (30 TY phuong án gop WB) 3" xfId="2823"/>
    <cellStyle name="Dziesiętny [0]_Invoices2001Slovakia_Book1_1_Copy of KH PHAN BO VON ĐỐI ỨNG NAM 2011 (30 TY phuong án gop WB) 3" xfId="2824"/>
    <cellStyle name="Dziesietny [0]_Invoices2001Slovakia_Book1_1_Copy of KH PHAN BO VON ĐỐI ỨNG NAM 2011 (30 TY phuong án gop WB) 3 2" xfId="2825"/>
    <cellStyle name="Dziesiętny [0]_Invoices2001Slovakia_Book1_1_Copy of KH PHAN BO VON ĐỐI ỨNG NAM 2011 (30 TY phuong án gop WB) 3 2" xfId="2826"/>
    <cellStyle name="Dziesietny [0]_Invoices2001Slovakia_Book1_1_Copy of KH PHAN BO VON ĐỐI ỨNG NAM 2011 (30 TY phuong án gop WB) 4" xfId="2827"/>
    <cellStyle name="Dziesiętny [0]_Invoices2001Slovakia_Book1_1_Copy of KH PHAN BO VON ĐỐI ỨNG NAM 2011 (30 TY phuong án gop WB) 4" xfId="2828"/>
    <cellStyle name="Dziesietny [0]_Invoices2001Slovakia_Book1_1_Copy of KH PHAN BO VON ĐỐI ỨNG NAM 2011 (30 TY phuong án gop WB)_BIEU KE HOACH  2015 (KTN 6.11 sua)" xfId="2829"/>
    <cellStyle name="Dziesiętny [0]_Invoices2001Slovakia_Book1_1_Copy of KH PHAN BO VON ĐỐI ỨNG NAM 2011 (30 TY phuong án gop WB)_BIEU KE HOACH  2015 (KTN 6.11 sua)" xfId="2830"/>
    <cellStyle name="Dziesietny [0]_Invoices2001Slovakia_Book1_1_Danh Mục KCM trinh BKH 2011 (BS 30A)" xfId="2831"/>
    <cellStyle name="Dziesiętny [0]_Invoices2001Slovakia_Book1_1_Danh Mục KCM trinh BKH 2011 (BS 30A)" xfId="2832"/>
    <cellStyle name="Dziesietny [0]_Invoices2001Slovakia_Book1_1_Danh Mục KCM trinh BKH 2011 (BS 30A) 2" xfId="2833"/>
    <cellStyle name="Dziesiętny [0]_Invoices2001Slovakia_Book1_1_Danh Mục KCM trinh BKH 2011 (BS 30A) 2" xfId="2834"/>
    <cellStyle name="Dziesietny [0]_Invoices2001Slovakia_Book1_1_DTTD chieng chan Tham lai 29-9-2009" xfId="2835"/>
    <cellStyle name="Dziesiętny [0]_Invoices2001Slovakia_Book1_1_DTTD chieng chan Tham lai 29-9-2009" xfId="2836"/>
    <cellStyle name="Dziesietny [0]_Invoices2001Slovakia_Book1_1_DTTD chieng chan Tham lai 29-9-2009 2" xfId="2837"/>
    <cellStyle name="Dziesiętny [0]_Invoices2001Slovakia_Book1_1_DTTD chieng chan Tham lai 29-9-2009 2" xfId="2838"/>
    <cellStyle name="Dziesietny [0]_Invoices2001Slovakia_Book1_1_DTTD chieng chan Tham lai 29-9-2009 2 2" xfId="2839"/>
    <cellStyle name="Dziesiętny [0]_Invoices2001Slovakia_Book1_1_DTTD chieng chan Tham lai 29-9-2009 2 2" xfId="2840"/>
    <cellStyle name="Dziesietny [0]_Invoices2001Slovakia_Book1_1_DTTD chieng chan Tham lai 29-9-2009 3" xfId="2841"/>
    <cellStyle name="Dziesiętny [0]_Invoices2001Slovakia_Book1_1_DTTD chieng chan Tham lai 29-9-2009 3" xfId="2842"/>
    <cellStyle name="Dziesietny [0]_Invoices2001Slovakia_Book1_1_DTTD chieng chan Tham lai 29-9-2009 3 2" xfId="2843"/>
    <cellStyle name="Dziesiętny [0]_Invoices2001Slovakia_Book1_1_DTTD chieng chan Tham lai 29-9-2009 3 2" xfId="2844"/>
    <cellStyle name="Dziesietny [0]_Invoices2001Slovakia_Book1_1_DTTD chieng chan Tham lai 29-9-2009 4" xfId="2845"/>
    <cellStyle name="Dziesiętny [0]_Invoices2001Slovakia_Book1_1_DTTD chieng chan Tham lai 29-9-2009 4" xfId="2846"/>
    <cellStyle name="Dziesietny [0]_Invoices2001Slovakia_Book1_1_DTTD chieng chan Tham lai 29-9-2009_BIEU KE HOACH  2015 (KTN 6.11 sua)" xfId="2847"/>
    <cellStyle name="Dziesiętny [0]_Invoices2001Slovakia_Book1_1_DTTD chieng chan Tham lai 29-9-2009_BIEU KE HOACH  2015 (KTN 6.11 sua)" xfId="2848"/>
    <cellStyle name="Dziesietny [0]_Invoices2001Slovakia_Book1_1_Du toan nuoc San Thang (GD2)" xfId="2849"/>
    <cellStyle name="Dziesiętny [0]_Invoices2001Slovakia_Book1_1_Du toan nuoc San Thang (GD2)" xfId="2850"/>
    <cellStyle name="Dziesietny [0]_Invoices2001Slovakia_Book1_1_Du toan nuoc San Thang (GD2) 2" xfId="2851"/>
    <cellStyle name="Dziesiętny [0]_Invoices2001Slovakia_Book1_1_Du toan nuoc San Thang (GD2) 2" xfId="2852"/>
    <cellStyle name="Dziesietny [0]_Invoices2001Slovakia_Book1_1_Du toan nuoc San Thang (GD2) 2 2" xfId="2853"/>
    <cellStyle name="Dziesiętny [0]_Invoices2001Slovakia_Book1_1_Du toan nuoc San Thang (GD2) 2 2" xfId="2854"/>
    <cellStyle name="Dziesietny [0]_Invoices2001Slovakia_Book1_1_Du toan nuoc San Thang (GD2) 3" xfId="2855"/>
    <cellStyle name="Dziesiętny [0]_Invoices2001Slovakia_Book1_1_Du toan nuoc San Thang (GD2) 3" xfId="2856"/>
    <cellStyle name="Dziesietny [0]_Invoices2001Slovakia_Book1_1_Du toan nuoc San Thang (GD2) 3 2" xfId="2857"/>
    <cellStyle name="Dziesiętny [0]_Invoices2001Slovakia_Book1_1_Du toan nuoc San Thang (GD2) 3 2" xfId="2858"/>
    <cellStyle name="Dziesietny [0]_Invoices2001Slovakia_Book1_1_Du toan nuoc San Thang (GD2) 4" xfId="2859"/>
    <cellStyle name="Dziesiętny [0]_Invoices2001Slovakia_Book1_1_Du toan nuoc San Thang (GD2) 4" xfId="2860"/>
    <cellStyle name="Dziesietny [0]_Invoices2001Slovakia_Book1_1_Du toan nuoc San Thang (GD2) 5" xfId="2861"/>
    <cellStyle name="Dziesiętny [0]_Invoices2001Slovakia_Book1_1_Du toan nuoc San Thang (GD2) 5" xfId="2862"/>
    <cellStyle name="Dziesietny [0]_Invoices2001Slovakia_Book1_1_Ke hoach 2010 (theo doi 11-8-2010)" xfId="2863"/>
    <cellStyle name="Dziesiętny [0]_Invoices2001Slovakia_Book1_1_Ke hoach 2010 (theo doi 11-8-2010)" xfId="2864"/>
    <cellStyle name="Dziesietny [0]_Invoices2001Slovakia_Book1_1_Ke hoach 2010 (theo doi 11-8-2010) 2" xfId="2865"/>
    <cellStyle name="Dziesiętny [0]_Invoices2001Slovakia_Book1_1_Ke hoach 2010 (theo doi 11-8-2010) 2" xfId="2866"/>
    <cellStyle name="Dziesietny [0]_Invoices2001Slovakia_Book1_1_Ke hoach 2010 (theo doi 11-8-2010) 2 2" xfId="2867"/>
    <cellStyle name="Dziesiętny [0]_Invoices2001Slovakia_Book1_1_Ke hoach 2010 (theo doi 11-8-2010) 2 2" xfId="2868"/>
    <cellStyle name="Dziesietny [0]_Invoices2001Slovakia_Book1_1_Ke hoach 2010 (theo doi 11-8-2010) 3" xfId="2869"/>
    <cellStyle name="Dziesiętny [0]_Invoices2001Slovakia_Book1_1_Ke hoach 2010 (theo doi 11-8-2010) 3" xfId="2870"/>
    <cellStyle name="Dziesietny [0]_Invoices2001Slovakia_Book1_1_Ke hoach 2010 (theo doi 11-8-2010) 3 2" xfId="2871"/>
    <cellStyle name="Dziesiętny [0]_Invoices2001Slovakia_Book1_1_Ke hoach 2010 (theo doi 11-8-2010) 3 2" xfId="2872"/>
    <cellStyle name="Dziesietny [0]_Invoices2001Slovakia_Book1_1_Ke hoach 2010 (theo doi 11-8-2010) 4" xfId="2873"/>
    <cellStyle name="Dziesiętny [0]_Invoices2001Slovakia_Book1_1_Ke hoach 2010 (theo doi 11-8-2010) 4" xfId="2874"/>
    <cellStyle name="Dziesietny [0]_Invoices2001Slovakia_Book1_1_Ke hoach 2010 (theo doi 11-8-2010) 5" xfId="2875"/>
    <cellStyle name="Dziesiętny [0]_Invoices2001Slovakia_Book1_1_Ke hoach 2010 (theo doi 11-8-2010) 5" xfId="2876"/>
    <cellStyle name="Dziesietny [0]_Invoices2001Slovakia_Book1_1_Ke hoach 2010 ngay 31-01" xfId="2877"/>
    <cellStyle name="Dziesiętny [0]_Invoices2001Slovakia_Book1_1_Ke hoach 2010 ngay 31-01" xfId="2878"/>
    <cellStyle name="Dziesietny [0]_Invoices2001Slovakia_Book1_1_Ke hoach 2010 ngay 31-01 2" xfId="2879"/>
    <cellStyle name="Dziesiętny [0]_Invoices2001Slovakia_Book1_1_Ke hoach 2010 ngay 31-01 2" xfId="2880"/>
    <cellStyle name="Dziesietny [0]_Invoices2001Slovakia_Book1_1_Ke hoach 2010 ngay 31-01 2 2" xfId="2881"/>
    <cellStyle name="Dziesiętny [0]_Invoices2001Slovakia_Book1_1_Ke hoach 2010 ngay 31-01 2 2" xfId="2882"/>
    <cellStyle name="Dziesietny [0]_Invoices2001Slovakia_Book1_1_Ke hoach 2010 ngay 31-01 3" xfId="2883"/>
    <cellStyle name="Dziesiętny [0]_Invoices2001Slovakia_Book1_1_Ke hoach 2010 ngay 31-01 3" xfId="2884"/>
    <cellStyle name="Dziesietny [0]_Invoices2001Slovakia_Book1_1_Ke hoach 2010 ngay 31-01 3 2" xfId="2885"/>
    <cellStyle name="Dziesiętny [0]_Invoices2001Slovakia_Book1_1_Ke hoach 2010 ngay 31-01 3 2" xfId="2886"/>
    <cellStyle name="Dziesietny [0]_Invoices2001Slovakia_Book1_1_Ke hoach 2010 ngay 31-01 4" xfId="2887"/>
    <cellStyle name="Dziesiętny [0]_Invoices2001Slovakia_Book1_1_Ke hoach 2010 ngay 31-01 4" xfId="2888"/>
    <cellStyle name="Dziesietny [0]_Invoices2001Slovakia_Book1_1_Ke hoach 2010 ngay 31-01 5" xfId="2889"/>
    <cellStyle name="Dziesiętny [0]_Invoices2001Slovakia_Book1_1_Ke hoach 2010 ngay 31-01 5" xfId="2890"/>
    <cellStyle name="Dziesietny [0]_Invoices2001Slovakia_Book1_1_ke hoach dau thau 30-6-2010" xfId="2891"/>
    <cellStyle name="Dziesiętny [0]_Invoices2001Slovakia_Book1_1_ke hoach dau thau 30-6-2010" xfId="2892"/>
    <cellStyle name="Dziesietny [0]_Invoices2001Slovakia_Book1_1_ke hoach dau thau 30-6-2010 2" xfId="2893"/>
    <cellStyle name="Dziesiętny [0]_Invoices2001Slovakia_Book1_1_ke hoach dau thau 30-6-2010 2" xfId="2894"/>
    <cellStyle name="Dziesietny [0]_Invoices2001Slovakia_Book1_1_ke hoach dau thau 30-6-2010 2 2" xfId="2895"/>
    <cellStyle name="Dziesiętny [0]_Invoices2001Slovakia_Book1_1_ke hoach dau thau 30-6-2010 2 2" xfId="2896"/>
    <cellStyle name="Dziesietny [0]_Invoices2001Slovakia_Book1_1_ke hoach dau thau 30-6-2010 3" xfId="2897"/>
    <cellStyle name="Dziesiętny [0]_Invoices2001Slovakia_Book1_1_ke hoach dau thau 30-6-2010 3" xfId="2898"/>
    <cellStyle name="Dziesietny [0]_Invoices2001Slovakia_Book1_1_ke hoach dau thau 30-6-2010 3 2" xfId="2899"/>
    <cellStyle name="Dziesiętny [0]_Invoices2001Slovakia_Book1_1_ke hoach dau thau 30-6-2010 3 2" xfId="2900"/>
    <cellStyle name="Dziesietny [0]_Invoices2001Slovakia_Book1_1_ke hoach dau thau 30-6-2010 4" xfId="2901"/>
    <cellStyle name="Dziesiętny [0]_Invoices2001Slovakia_Book1_1_ke hoach dau thau 30-6-2010 4" xfId="2902"/>
    <cellStyle name="Dziesietny [0]_Invoices2001Slovakia_Book1_1_ke hoach dau thau 30-6-2010 5" xfId="2903"/>
    <cellStyle name="Dziesiętny [0]_Invoices2001Slovakia_Book1_1_ke hoach dau thau 30-6-2010 5" xfId="2904"/>
    <cellStyle name="Dziesietny [0]_Invoices2001Slovakia_Book1_1_KH Von 2012 gui BKH 1" xfId="2905"/>
    <cellStyle name="Dziesiętny [0]_Invoices2001Slovakia_Book1_1_KH Von 2012 gui BKH 1" xfId="2906"/>
    <cellStyle name="Dziesietny [0]_Invoices2001Slovakia_Book1_1_KH Von 2012 gui BKH 1 2" xfId="2907"/>
    <cellStyle name="Dziesiętny [0]_Invoices2001Slovakia_Book1_1_KH Von 2012 gui BKH 1 2" xfId="2908"/>
    <cellStyle name="Dziesietny [0]_Invoices2001Slovakia_Book1_1_KH Von 2012 gui BKH 1 2 2" xfId="2909"/>
    <cellStyle name="Dziesiętny [0]_Invoices2001Slovakia_Book1_1_KH Von 2012 gui BKH 1 2 2" xfId="2910"/>
    <cellStyle name="Dziesietny [0]_Invoices2001Slovakia_Book1_1_KH Von 2012 gui BKH 1 3" xfId="2911"/>
    <cellStyle name="Dziesiętny [0]_Invoices2001Slovakia_Book1_1_KH Von 2012 gui BKH 1 3" xfId="2912"/>
    <cellStyle name="Dziesietny [0]_Invoices2001Slovakia_Book1_1_KH Von 2012 gui BKH 1 3 2" xfId="2913"/>
    <cellStyle name="Dziesiętny [0]_Invoices2001Slovakia_Book1_1_KH Von 2012 gui BKH 1 3 2" xfId="2914"/>
    <cellStyle name="Dziesietny [0]_Invoices2001Slovakia_Book1_1_KH Von 2012 gui BKH 1 4" xfId="2915"/>
    <cellStyle name="Dziesiętny [0]_Invoices2001Slovakia_Book1_1_KH Von 2012 gui BKH 1 4" xfId="2916"/>
    <cellStyle name="Dziesietny [0]_Invoices2001Slovakia_Book1_1_KH Von 2012 gui BKH 1_BIEU KE HOACH  2015 (KTN 6.11 sua)" xfId="2917"/>
    <cellStyle name="Dziesiętny [0]_Invoices2001Slovakia_Book1_1_KH Von 2012 gui BKH 1_BIEU KE HOACH  2015 (KTN 6.11 sua)" xfId="2918"/>
    <cellStyle name="Dziesietny [0]_Invoices2001Slovakia_Book1_1_KH Von 2012 gui BKH 2" xfId="2919"/>
    <cellStyle name="Dziesiętny [0]_Invoices2001Slovakia_Book1_1_KH Von 2012 gui BKH 2" xfId="2920"/>
    <cellStyle name="Dziesietny [0]_Invoices2001Slovakia_Book1_1_KH Von 2012 gui BKH 2 2" xfId="2921"/>
    <cellStyle name="Dziesiętny [0]_Invoices2001Slovakia_Book1_1_KH Von 2012 gui BKH 2 2" xfId="2922"/>
    <cellStyle name="Dziesietny [0]_Invoices2001Slovakia_Book1_1_KH Von 2012 gui BKH 2 2 2" xfId="2923"/>
    <cellStyle name="Dziesiętny [0]_Invoices2001Slovakia_Book1_1_KH Von 2012 gui BKH 2 2 2" xfId="2924"/>
    <cellStyle name="Dziesietny [0]_Invoices2001Slovakia_Book1_1_KH Von 2012 gui BKH 2 3" xfId="2925"/>
    <cellStyle name="Dziesiętny [0]_Invoices2001Slovakia_Book1_1_KH Von 2012 gui BKH 2 3" xfId="2926"/>
    <cellStyle name="Dziesietny [0]_Invoices2001Slovakia_Book1_1_KH Von 2012 gui BKH 2 3 2" xfId="2927"/>
    <cellStyle name="Dziesiętny [0]_Invoices2001Slovakia_Book1_1_KH Von 2012 gui BKH 2 3 2" xfId="2928"/>
    <cellStyle name="Dziesietny [0]_Invoices2001Slovakia_Book1_1_KH Von 2012 gui BKH 2 4" xfId="2929"/>
    <cellStyle name="Dziesiętny [0]_Invoices2001Slovakia_Book1_1_KH Von 2012 gui BKH 2 4" xfId="2930"/>
    <cellStyle name="Dziesietny [0]_Invoices2001Slovakia_Book1_1_KH Von 2012 gui BKH 2 5" xfId="2931"/>
    <cellStyle name="Dziesiętny [0]_Invoices2001Slovakia_Book1_1_KH Von 2012 gui BKH 2 5" xfId="2932"/>
    <cellStyle name="Dziesietny [0]_Invoices2001Slovakia_Book1_1_QD ke hoach dau thau" xfId="2933"/>
    <cellStyle name="Dziesiętny [0]_Invoices2001Slovakia_Book1_1_QD ke hoach dau thau" xfId="2934"/>
    <cellStyle name="Dziesietny [0]_Invoices2001Slovakia_Book1_1_QD ke hoach dau thau 2" xfId="2935"/>
    <cellStyle name="Dziesiętny [0]_Invoices2001Slovakia_Book1_1_QD ke hoach dau thau 2" xfId="2936"/>
    <cellStyle name="Dziesietny [0]_Invoices2001Slovakia_Book1_1_QD ke hoach dau thau 2 2" xfId="2937"/>
    <cellStyle name="Dziesiętny [0]_Invoices2001Slovakia_Book1_1_QD ke hoach dau thau 2 2" xfId="2938"/>
    <cellStyle name="Dziesietny [0]_Invoices2001Slovakia_Book1_1_QD ke hoach dau thau 3" xfId="2939"/>
    <cellStyle name="Dziesiętny [0]_Invoices2001Slovakia_Book1_1_QD ke hoach dau thau 3" xfId="2940"/>
    <cellStyle name="Dziesietny [0]_Invoices2001Slovakia_Book1_1_QD ke hoach dau thau 3 2" xfId="2941"/>
    <cellStyle name="Dziesiętny [0]_Invoices2001Slovakia_Book1_1_QD ke hoach dau thau 3 2" xfId="2942"/>
    <cellStyle name="Dziesietny [0]_Invoices2001Slovakia_Book1_1_QD ke hoach dau thau 4" xfId="2943"/>
    <cellStyle name="Dziesiętny [0]_Invoices2001Slovakia_Book1_1_QD ke hoach dau thau 4" xfId="2944"/>
    <cellStyle name="Dziesietny [0]_Invoices2001Slovakia_Book1_1_QD ke hoach dau thau 5" xfId="2945"/>
    <cellStyle name="Dziesiętny [0]_Invoices2001Slovakia_Book1_1_QD ke hoach dau thau 5" xfId="2946"/>
    <cellStyle name="Dziesietny [0]_Invoices2001Slovakia_Book1_1_Ra soat KH von 2011 (Huy-11-11-11)" xfId="2947"/>
    <cellStyle name="Dziesiętny [0]_Invoices2001Slovakia_Book1_1_Ra soat KH von 2011 (Huy-11-11-11)" xfId="2948"/>
    <cellStyle name="Dziesietny [0]_Invoices2001Slovakia_Book1_1_Ra soat KH von 2011 (Huy-11-11-11) 2" xfId="2949"/>
    <cellStyle name="Dziesiętny [0]_Invoices2001Slovakia_Book1_1_Ra soat KH von 2011 (Huy-11-11-11) 2" xfId="2950"/>
    <cellStyle name="Dziesietny [0]_Invoices2001Slovakia_Book1_1_tinh toan hoang ha" xfId="2951"/>
    <cellStyle name="Dziesiętny [0]_Invoices2001Slovakia_Book1_1_tinh toan hoang ha" xfId="2952"/>
    <cellStyle name="Dziesietny [0]_Invoices2001Slovakia_Book1_1_tinh toan hoang ha 2" xfId="2953"/>
    <cellStyle name="Dziesiętny [0]_Invoices2001Slovakia_Book1_1_tinh toan hoang ha 2" xfId="2954"/>
    <cellStyle name="Dziesietny [0]_Invoices2001Slovakia_Book1_1_tinh toan hoang ha 2 2" xfId="2955"/>
    <cellStyle name="Dziesiętny [0]_Invoices2001Slovakia_Book1_1_tinh toan hoang ha 2 2" xfId="2956"/>
    <cellStyle name="Dziesietny [0]_Invoices2001Slovakia_Book1_1_tinh toan hoang ha 3" xfId="2957"/>
    <cellStyle name="Dziesiętny [0]_Invoices2001Slovakia_Book1_1_tinh toan hoang ha 3" xfId="2958"/>
    <cellStyle name="Dziesietny [0]_Invoices2001Slovakia_Book1_1_tinh toan hoang ha 3 2" xfId="2959"/>
    <cellStyle name="Dziesiętny [0]_Invoices2001Slovakia_Book1_1_tinh toan hoang ha 3 2" xfId="2960"/>
    <cellStyle name="Dziesietny [0]_Invoices2001Slovakia_Book1_1_tinh toan hoang ha 4" xfId="2961"/>
    <cellStyle name="Dziesiętny [0]_Invoices2001Slovakia_Book1_1_tinh toan hoang ha 4" xfId="2962"/>
    <cellStyle name="Dziesietny [0]_Invoices2001Slovakia_Book1_1_tinh toan hoang ha 5" xfId="2963"/>
    <cellStyle name="Dziesiętny [0]_Invoices2001Slovakia_Book1_1_tinh toan hoang ha 5" xfId="2964"/>
    <cellStyle name="Dziesietny [0]_Invoices2001Slovakia_Book1_1_Tong von ĐTPT" xfId="2965"/>
    <cellStyle name="Dziesiętny [0]_Invoices2001Slovakia_Book1_1_Tong von ĐTPT" xfId="2966"/>
    <cellStyle name="Dziesietny [0]_Invoices2001Slovakia_Book1_1_Tong von ĐTPT 2" xfId="2967"/>
    <cellStyle name="Dziesiętny [0]_Invoices2001Slovakia_Book1_1_Tong von ĐTPT 2" xfId="2968"/>
    <cellStyle name="Dziesietny [0]_Invoices2001Slovakia_Book1_1_Tong von ĐTPT 2 2" xfId="2969"/>
    <cellStyle name="Dziesiętny [0]_Invoices2001Slovakia_Book1_1_Tong von ĐTPT 2 2" xfId="2970"/>
    <cellStyle name="Dziesietny [0]_Invoices2001Slovakia_Book1_1_Tong von ĐTPT 3" xfId="2971"/>
    <cellStyle name="Dziesiętny [0]_Invoices2001Slovakia_Book1_1_Tong von ĐTPT 3" xfId="2972"/>
    <cellStyle name="Dziesietny [0]_Invoices2001Slovakia_Book1_1_Tong von ĐTPT 3 2" xfId="2973"/>
    <cellStyle name="Dziesiętny [0]_Invoices2001Slovakia_Book1_1_Tong von ĐTPT 3 2" xfId="2974"/>
    <cellStyle name="Dziesietny [0]_Invoices2001Slovakia_Book1_1_Tong von ĐTPT 4" xfId="2975"/>
    <cellStyle name="Dziesiętny [0]_Invoices2001Slovakia_Book1_1_Tong von ĐTPT 4" xfId="2976"/>
    <cellStyle name="Dziesietny [0]_Invoices2001Slovakia_Book1_1_Tong von ĐTPT 5" xfId="2977"/>
    <cellStyle name="Dziesiętny [0]_Invoices2001Slovakia_Book1_1_Tong von ĐTPT 5" xfId="2978"/>
    <cellStyle name="Dziesietny [0]_Invoices2001Slovakia_Book1_1_Viec Huy dang lam" xfId="2979"/>
    <cellStyle name="Dziesiętny [0]_Invoices2001Slovakia_Book1_1_Viec Huy dang lam" xfId="2980"/>
    <cellStyle name="Dziesietny [0]_Invoices2001Slovakia_Book1_2" xfId="2981"/>
    <cellStyle name="Dziesiętny [0]_Invoices2001Slovakia_Book1_2" xfId="2982"/>
    <cellStyle name="Dziesietny [0]_Invoices2001Slovakia_Book1_2 2" xfId="2983"/>
    <cellStyle name="Dziesiętny [0]_Invoices2001Slovakia_Book1_2 2" xfId="2984"/>
    <cellStyle name="Dziesietny [0]_Invoices2001Slovakia_Book1_2 3" xfId="2985"/>
    <cellStyle name="Dziesiętny [0]_Invoices2001Slovakia_Book1_2 3" xfId="2986"/>
    <cellStyle name="Dziesietny [0]_Invoices2001Slovakia_Book1_2_bieu ke hoach dau thau" xfId="2987"/>
    <cellStyle name="Dziesiętny [0]_Invoices2001Slovakia_Book1_2_bieu ke hoach dau thau" xfId="2988"/>
    <cellStyle name="Dziesietny [0]_Invoices2001Slovakia_Book1_2_bieu ke hoach dau thau 2" xfId="2989"/>
    <cellStyle name="Dziesiętny [0]_Invoices2001Slovakia_Book1_2_bieu ke hoach dau thau 2" xfId="2990"/>
    <cellStyle name="Dziesietny [0]_Invoices2001Slovakia_Book1_2_bieu ke hoach dau thau 2 2" xfId="2991"/>
    <cellStyle name="Dziesiętny [0]_Invoices2001Slovakia_Book1_2_bieu ke hoach dau thau 2 2" xfId="2992"/>
    <cellStyle name="Dziesietny [0]_Invoices2001Slovakia_Book1_2_bieu ke hoach dau thau 3" xfId="2993"/>
    <cellStyle name="Dziesiętny [0]_Invoices2001Slovakia_Book1_2_bieu ke hoach dau thau 3" xfId="2994"/>
    <cellStyle name="Dziesietny [0]_Invoices2001Slovakia_Book1_2_bieu ke hoach dau thau 3 2" xfId="2995"/>
    <cellStyle name="Dziesiętny [0]_Invoices2001Slovakia_Book1_2_bieu ke hoach dau thau 3 2" xfId="2996"/>
    <cellStyle name="Dziesietny [0]_Invoices2001Slovakia_Book1_2_bieu ke hoach dau thau 4" xfId="2997"/>
    <cellStyle name="Dziesiętny [0]_Invoices2001Slovakia_Book1_2_bieu ke hoach dau thau 4" xfId="2998"/>
    <cellStyle name="Dziesietny [0]_Invoices2001Slovakia_Book1_2_bieu ke hoach dau thau truong mam non SKH" xfId="2999"/>
    <cellStyle name="Dziesiętny [0]_Invoices2001Slovakia_Book1_2_bieu ke hoach dau thau truong mam non SKH" xfId="3000"/>
    <cellStyle name="Dziesietny [0]_Invoices2001Slovakia_Book1_2_bieu ke hoach dau thau truong mam non SKH 2" xfId="3001"/>
    <cellStyle name="Dziesiętny [0]_Invoices2001Slovakia_Book1_2_bieu ke hoach dau thau truong mam non SKH 2" xfId="3002"/>
    <cellStyle name="Dziesietny [0]_Invoices2001Slovakia_Book1_2_bieu ke hoach dau thau truong mam non SKH 2 2" xfId="3003"/>
    <cellStyle name="Dziesiętny [0]_Invoices2001Slovakia_Book1_2_bieu ke hoach dau thau truong mam non SKH 2 2" xfId="3004"/>
    <cellStyle name="Dziesietny [0]_Invoices2001Slovakia_Book1_2_bieu ke hoach dau thau truong mam non SKH 3" xfId="3005"/>
    <cellStyle name="Dziesiętny [0]_Invoices2001Slovakia_Book1_2_bieu ke hoach dau thau truong mam non SKH 3" xfId="3006"/>
    <cellStyle name="Dziesietny [0]_Invoices2001Slovakia_Book1_2_bieu ke hoach dau thau truong mam non SKH 3 2" xfId="3007"/>
    <cellStyle name="Dziesiętny [0]_Invoices2001Slovakia_Book1_2_bieu ke hoach dau thau truong mam non SKH 3 2" xfId="3008"/>
    <cellStyle name="Dziesietny [0]_Invoices2001Slovakia_Book1_2_bieu ke hoach dau thau truong mam non SKH 4" xfId="3009"/>
    <cellStyle name="Dziesiętny [0]_Invoices2001Slovakia_Book1_2_bieu ke hoach dau thau truong mam non SKH 4" xfId="3010"/>
    <cellStyle name="Dziesietny [0]_Invoices2001Slovakia_Book1_2_bieu tong hop lai kh von 2011 gui phong TH-KTDN" xfId="3011"/>
    <cellStyle name="Dziesiętny [0]_Invoices2001Slovakia_Book1_2_bieu tong hop lai kh von 2011 gui phong TH-KTDN" xfId="3012"/>
    <cellStyle name="Dziesietny [0]_Invoices2001Slovakia_Book1_2_bieu tong hop lai kh von 2011 gui phong TH-KTDN 2" xfId="3013"/>
    <cellStyle name="Dziesiętny [0]_Invoices2001Slovakia_Book1_2_bieu tong hop lai kh von 2011 gui phong TH-KTDN 2" xfId="3014"/>
    <cellStyle name="Dziesietny [0]_Invoices2001Slovakia_Book1_2_bieu tong hop lai kh von 2011 gui phong TH-KTDN 2 2" xfId="3015"/>
    <cellStyle name="Dziesiętny [0]_Invoices2001Slovakia_Book1_2_bieu tong hop lai kh von 2011 gui phong TH-KTDN 2 2" xfId="3016"/>
    <cellStyle name="Dziesietny [0]_Invoices2001Slovakia_Book1_2_bieu tong hop lai kh von 2011 gui phong TH-KTDN 3" xfId="3017"/>
    <cellStyle name="Dziesiętny [0]_Invoices2001Slovakia_Book1_2_bieu tong hop lai kh von 2011 gui phong TH-KTDN 3" xfId="3018"/>
    <cellStyle name="Dziesietny [0]_Invoices2001Slovakia_Book1_2_bieu tong hop lai kh von 2011 gui phong TH-KTDN 3 2" xfId="3019"/>
    <cellStyle name="Dziesiętny [0]_Invoices2001Slovakia_Book1_2_bieu tong hop lai kh von 2011 gui phong TH-KTDN 3 2" xfId="3020"/>
    <cellStyle name="Dziesietny [0]_Invoices2001Slovakia_Book1_2_bieu tong hop lai kh von 2011 gui phong TH-KTDN 4" xfId="3021"/>
    <cellStyle name="Dziesiętny [0]_Invoices2001Slovakia_Book1_2_bieu tong hop lai kh von 2011 gui phong TH-KTDN 4" xfId="3022"/>
    <cellStyle name="Dziesietny [0]_Invoices2001Slovakia_Book1_2_bieu tong hop lai kh von 2011 gui phong TH-KTDN_BIEU KE HOACH  2015 (KTN 6.11 sua)" xfId="3023"/>
    <cellStyle name="Dziesiętny [0]_Invoices2001Slovakia_Book1_2_bieu tong hop lai kh von 2011 gui phong TH-KTDN_BIEU KE HOACH  2015 (KTN 6.11 sua)" xfId="3024"/>
    <cellStyle name="Dziesietny [0]_Invoices2001Slovakia_Book1_2_Book1" xfId="3025"/>
    <cellStyle name="Dziesiętny [0]_Invoices2001Slovakia_Book1_2_Book1" xfId="3026"/>
    <cellStyle name="Dziesietny [0]_Invoices2001Slovakia_Book1_2_Book1 2" xfId="3027"/>
    <cellStyle name="Dziesiętny [0]_Invoices2001Slovakia_Book1_2_Book1 2" xfId="3028"/>
    <cellStyle name="Dziesietny [0]_Invoices2001Slovakia_Book1_2_Book1 2 2" xfId="3029"/>
    <cellStyle name="Dziesiętny [0]_Invoices2001Slovakia_Book1_2_Book1 2 2" xfId="3030"/>
    <cellStyle name="Dziesietny [0]_Invoices2001Slovakia_Book1_2_Book1 3" xfId="3031"/>
    <cellStyle name="Dziesiętny [0]_Invoices2001Slovakia_Book1_2_Book1 3" xfId="3032"/>
    <cellStyle name="Dziesietny [0]_Invoices2001Slovakia_Book1_2_Book1 3 2" xfId="3033"/>
    <cellStyle name="Dziesiętny [0]_Invoices2001Slovakia_Book1_2_Book1 3 2" xfId="3034"/>
    <cellStyle name="Dziesietny [0]_Invoices2001Slovakia_Book1_2_Book1 4" xfId="3035"/>
    <cellStyle name="Dziesiętny [0]_Invoices2001Slovakia_Book1_2_Book1 4" xfId="3036"/>
    <cellStyle name="Dziesietny [0]_Invoices2001Slovakia_Book1_2_Book1_1" xfId="3037"/>
    <cellStyle name="Dziesiętny [0]_Invoices2001Slovakia_Book1_2_Book1_1" xfId="3038"/>
    <cellStyle name="Dziesietny [0]_Invoices2001Slovakia_Book1_2_Book1_1 2" xfId="3039"/>
    <cellStyle name="Dziesiętny [0]_Invoices2001Slovakia_Book1_2_Book1_1 2" xfId="3040"/>
    <cellStyle name="Dziesietny [0]_Invoices2001Slovakia_Book1_2_Book1_1 2 2" xfId="3041"/>
    <cellStyle name="Dziesiętny [0]_Invoices2001Slovakia_Book1_2_Book1_1 2 2" xfId="3042"/>
    <cellStyle name="Dziesietny [0]_Invoices2001Slovakia_Book1_2_Book1_1 3" xfId="3043"/>
    <cellStyle name="Dziesiętny [0]_Invoices2001Slovakia_Book1_2_Book1_1 3" xfId="3044"/>
    <cellStyle name="Dziesietny [0]_Invoices2001Slovakia_Book1_2_Book1_1 3 2" xfId="3045"/>
    <cellStyle name="Dziesiętny [0]_Invoices2001Slovakia_Book1_2_Book1_1 3 2" xfId="3046"/>
    <cellStyle name="Dziesietny [0]_Invoices2001Slovakia_Book1_2_Book1_1 4" xfId="3047"/>
    <cellStyle name="Dziesiętny [0]_Invoices2001Slovakia_Book1_2_Book1_1 4" xfId="3048"/>
    <cellStyle name="Dziesietny [0]_Invoices2001Slovakia_Book1_2_Book1_1 5" xfId="3049"/>
    <cellStyle name="Dziesiętny [0]_Invoices2001Slovakia_Book1_2_Book1_1 5" xfId="3050"/>
    <cellStyle name="Dziesietny [0]_Invoices2001Slovakia_Book1_2_Book1_Ke hoach 2010 (theo doi 11-8-2010)" xfId="3051"/>
    <cellStyle name="Dziesiętny [0]_Invoices2001Slovakia_Book1_2_Book1_Ke hoach 2010 (theo doi 11-8-2010)" xfId="3052"/>
    <cellStyle name="Dziesietny [0]_Invoices2001Slovakia_Book1_2_Book1_Ke hoach 2010 (theo doi 11-8-2010) 2" xfId="3053"/>
    <cellStyle name="Dziesiętny [0]_Invoices2001Slovakia_Book1_2_Book1_Ke hoach 2010 (theo doi 11-8-2010) 2" xfId="3054"/>
    <cellStyle name="Dziesietny [0]_Invoices2001Slovakia_Book1_2_Book1_Ke hoach 2010 (theo doi 11-8-2010) 2 2" xfId="3055"/>
    <cellStyle name="Dziesiętny [0]_Invoices2001Slovakia_Book1_2_Book1_Ke hoach 2010 (theo doi 11-8-2010) 2 2" xfId="3056"/>
    <cellStyle name="Dziesietny [0]_Invoices2001Slovakia_Book1_2_Book1_Ke hoach 2010 (theo doi 11-8-2010) 3" xfId="3057"/>
    <cellStyle name="Dziesiętny [0]_Invoices2001Slovakia_Book1_2_Book1_Ke hoach 2010 (theo doi 11-8-2010) 3" xfId="3058"/>
    <cellStyle name="Dziesietny [0]_Invoices2001Slovakia_Book1_2_Book1_Ke hoach 2010 (theo doi 11-8-2010) 3 2" xfId="3059"/>
    <cellStyle name="Dziesiętny [0]_Invoices2001Slovakia_Book1_2_Book1_Ke hoach 2010 (theo doi 11-8-2010) 3 2" xfId="3060"/>
    <cellStyle name="Dziesietny [0]_Invoices2001Slovakia_Book1_2_Book1_Ke hoach 2010 (theo doi 11-8-2010) 4" xfId="3061"/>
    <cellStyle name="Dziesiętny [0]_Invoices2001Slovakia_Book1_2_Book1_Ke hoach 2010 (theo doi 11-8-2010) 4" xfId="3062"/>
    <cellStyle name="Dziesietny [0]_Invoices2001Slovakia_Book1_2_Book1_Ke hoach 2010 (theo doi 11-8-2010)_BIEU KE HOACH  2015 (KTN 6.11 sua)" xfId="3063"/>
    <cellStyle name="Dziesiętny [0]_Invoices2001Slovakia_Book1_2_Book1_Ke hoach 2010 (theo doi 11-8-2010)_BIEU KE HOACH  2015 (KTN 6.11 sua)" xfId="3064"/>
    <cellStyle name="Dziesietny [0]_Invoices2001Slovakia_Book1_2_Book1_ke hoach dau thau 30-6-2010" xfId="3065"/>
    <cellStyle name="Dziesiętny [0]_Invoices2001Slovakia_Book1_2_Book1_ke hoach dau thau 30-6-2010" xfId="3066"/>
    <cellStyle name="Dziesietny [0]_Invoices2001Slovakia_Book1_2_Book1_ke hoach dau thau 30-6-2010 2" xfId="3067"/>
    <cellStyle name="Dziesiętny [0]_Invoices2001Slovakia_Book1_2_Book1_ke hoach dau thau 30-6-2010 2" xfId="3068"/>
    <cellStyle name="Dziesietny [0]_Invoices2001Slovakia_Book1_2_Book1_ke hoach dau thau 30-6-2010 2 2" xfId="3069"/>
    <cellStyle name="Dziesiętny [0]_Invoices2001Slovakia_Book1_2_Book1_ke hoach dau thau 30-6-2010 2 2" xfId="3070"/>
    <cellStyle name="Dziesietny [0]_Invoices2001Slovakia_Book1_2_Book1_ke hoach dau thau 30-6-2010 3" xfId="3071"/>
    <cellStyle name="Dziesiętny [0]_Invoices2001Slovakia_Book1_2_Book1_ke hoach dau thau 30-6-2010 3" xfId="3072"/>
    <cellStyle name="Dziesietny [0]_Invoices2001Slovakia_Book1_2_Book1_ke hoach dau thau 30-6-2010 3 2" xfId="3073"/>
    <cellStyle name="Dziesiętny [0]_Invoices2001Slovakia_Book1_2_Book1_ke hoach dau thau 30-6-2010 3 2" xfId="3074"/>
    <cellStyle name="Dziesietny [0]_Invoices2001Slovakia_Book1_2_Book1_ke hoach dau thau 30-6-2010 4" xfId="3075"/>
    <cellStyle name="Dziesiętny [0]_Invoices2001Slovakia_Book1_2_Book1_ke hoach dau thau 30-6-2010 4" xfId="3076"/>
    <cellStyle name="Dziesietny [0]_Invoices2001Slovakia_Book1_2_Book1_ke hoach dau thau 30-6-2010_BIEU KE HOACH  2015 (KTN 6.11 sua)" xfId="3077"/>
    <cellStyle name="Dziesiętny [0]_Invoices2001Slovakia_Book1_2_Book1_ke hoach dau thau 30-6-2010_BIEU KE HOACH  2015 (KTN 6.11 sua)" xfId="3078"/>
    <cellStyle name="Dziesietny [0]_Invoices2001Slovakia_Book1_2_Copy of KH PHAN BO VON ĐỐI ỨNG NAM 2011 (30 TY phuong án gop WB)" xfId="3079"/>
    <cellStyle name="Dziesiętny [0]_Invoices2001Slovakia_Book1_2_Copy of KH PHAN BO VON ĐỐI ỨNG NAM 2011 (30 TY phuong án gop WB)" xfId="3080"/>
    <cellStyle name="Dziesietny [0]_Invoices2001Slovakia_Book1_2_Copy of KH PHAN BO VON ĐỐI ỨNG NAM 2011 (30 TY phuong án gop WB) 2" xfId="3081"/>
    <cellStyle name="Dziesiętny [0]_Invoices2001Slovakia_Book1_2_Copy of KH PHAN BO VON ĐỐI ỨNG NAM 2011 (30 TY phuong án gop WB) 2" xfId="3082"/>
    <cellStyle name="Dziesietny [0]_Invoices2001Slovakia_Book1_2_Copy of KH PHAN BO VON ĐỐI ỨNG NAM 2011 (30 TY phuong án gop WB) 2 2" xfId="3083"/>
    <cellStyle name="Dziesiętny [0]_Invoices2001Slovakia_Book1_2_Copy of KH PHAN BO VON ĐỐI ỨNG NAM 2011 (30 TY phuong án gop WB) 2 2" xfId="3084"/>
    <cellStyle name="Dziesietny [0]_Invoices2001Slovakia_Book1_2_Copy of KH PHAN BO VON ĐỐI ỨNG NAM 2011 (30 TY phuong án gop WB) 3" xfId="3085"/>
    <cellStyle name="Dziesiętny [0]_Invoices2001Slovakia_Book1_2_Copy of KH PHAN BO VON ĐỐI ỨNG NAM 2011 (30 TY phuong án gop WB) 3" xfId="3086"/>
    <cellStyle name="Dziesietny [0]_Invoices2001Slovakia_Book1_2_Copy of KH PHAN BO VON ĐỐI ỨNG NAM 2011 (30 TY phuong án gop WB) 3 2" xfId="3087"/>
    <cellStyle name="Dziesiętny [0]_Invoices2001Slovakia_Book1_2_Copy of KH PHAN BO VON ĐỐI ỨNG NAM 2011 (30 TY phuong án gop WB) 3 2" xfId="3088"/>
    <cellStyle name="Dziesietny [0]_Invoices2001Slovakia_Book1_2_Copy of KH PHAN BO VON ĐỐI ỨNG NAM 2011 (30 TY phuong án gop WB) 4" xfId="3089"/>
    <cellStyle name="Dziesiętny [0]_Invoices2001Slovakia_Book1_2_Copy of KH PHAN BO VON ĐỐI ỨNG NAM 2011 (30 TY phuong án gop WB) 4" xfId="3090"/>
    <cellStyle name="Dziesietny [0]_Invoices2001Slovakia_Book1_2_Copy of KH PHAN BO VON ĐỐI ỨNG NAM 2011 (30 TY phuong án gop WB)_BIEU KE HOACH  2015 (KTN 6.11 sua)" xfId="3091"/>
    <cellStyle name="Dziesiętny [0]_Invoices2001Slovakia_Book1_2_Copy of KH PHAN BO VON ĐỐI ỨNG NAM 2011 (30 TY phuong án gop WB)_BIEU KE HOACH  2015 (KTN 6.11 sua)" xfId="3092"/>
    <cellStyle name="Dziesietny [0]_Invoices2001Slovakia_Book1_2_Danh Mục KCM trinh BKH 2011 (BS 30A)" xfId="3093"/>
    <cellStyle name="Dziesiętny [0]_Invoices2001Slovakia_Book1_2_Danh Mục KCM trinh BKH 2011 (BS 30A)" xfId="3094"/>
    <cellStyle name="Dziesietny [0]_Invoices2001Slovakia_Book1_2_Danh Mục KCM trinh BKH 2011 (BS 30A) 2" xfId="3095"/>
    <cellStyle name="Dziesiętny [0]_Invoices2001Slovakia_Book1_2_Danh Mục KCM trinh BKH 2011 (BS 30A) 2" xfId="3096"/>
    <cellStyle name="Dziesietny [0]_Invoices2001Slovakia_Book1_2_DTTD chieng chan Tham lai 29-9-2009" xfId="3097"/>
    <cellStyle name="Dziesiętny [0]_Invoices2001Slovakia_Book1_2_DTTD chieng chan Tham lai 29-9-2009" xfId="3098"/>
    <cellStyle name="Dziesietny [0]_Invoices2001Slovakia_Book1_2_DTTD chieng chan Tham lai 29-9-2009 2" xfId="3099"/>
    <cellStyle name="Dziesiętny [0]_Invoices2001Slovakia_Book1_2_DTTD chieng chan Tham lai 29-9-2009 2" xfId="3100"/>
    <cellStyle name="Dziesietny [0]_Invoices2001Slovakia_Book1_2_DTTD chieng chan Tham lai 29-9-2009 2 2" xfId="3101"/>
    <cellStyle name="Dziesiętny [0]_Invoices2001Slovakia_Book1_2_DTTD chieng chan Tham lai 29-9-2009 2 2" xfId="3102"/>
    <cellStyle name="Dziesietny [0]_Invoices2001Slovakia_Book1_2_DTTD chieng chan Tham lai 29-9-2009 3" xfId="3103"/>
    <cellStyle name="Dziesiętny [0]_Invoices2001Slovakia_Book1_2_DTTD chieng chan Tham lai 29-9-2009 3" xfId="3104"/>
    <cellStyle name="Dziesietny [0]_Invoices2001Slovakia_Book1_2_DTTD chieng chan Tham lai 29-9-2009 3 2" xfId="3105"/>
    <cellStyle name="Dziesiętny [0]_Invoices2001Slovakia_Book1_2_DTTD chieng chan Tham lai 29-9-2009 3 2" xfId="3106"/>
    <cellStyle name="Dziesietny [0]_Invoices2001Slovakia_Book1_2_DTTD chieng chan Tham lai 29-9-2009 4" xfId="3107"/>
    <cellStyle name="Dziesiętny [0]_Invoices2001Slovakia_Book1_2_DTTD chieng chan Tham lai 29-9-2009 4" xfId="3108"/>
    <cellStyle name="Dziesietny [0]_Invoices2001Slovakia_Book1_2_DTTD chieng chan Tham lai 29-9-2009_BIEU KE HOACH  2015 (KTN 6.11 sua)" xfId="3109"/>
    <cellStyle name="Dziesiętny [0]_Invoices2001Slovakia_Book1_2_DTTD chieng chan Tham lai 29-9-2009_BIEU KE HOACH  2015 (KTN 6.11 sua)" xfId="3110"/>
    <cellStyle name="Dziesietny [0]_Invoices2001Slovakia_Book1_2_Du toan nuoc San Thang (GD2)" xfId="3111"/>
    <cellStyle name="Dziesiętny [0]_Invoices2001Slovakia_Book1_2_Du toan nuoc San Thang (GD2)" xfId="3112"/>
    <cellStyle name="Dziesietny [0]_Invoices2001Slovakia_Book1_2_Du toan nuoc San Thang (GD2) 2" xfId="3113"/>
    <cellStyle name="Dziesiętny [0]_Invoices2001Slovakia_Book1_2_Du toan nuoc San Thang (GD2) 2" xfId="3114"/>
    <cellStyle name="Dziesietny [0]_Invoices2001Slovakia_Book1_2_Du toan nuoc San Thang (GD2) 2 2" xfId="3115"/>
    <cellStyle name="Dziesiętny [0]_Invoices2001Slovakia_Book1_2_Du toan nuoc San Thang (GD2) 2 2" xfId="3116"/>
    <cellStyle name="Dziesietny [0]_Invoices2001Slovakia_Book1_2_Du toan nuoc San Thang (GD2) 3" xfId="3117"/>
    <cellStyle name="Dziesiętny [0]_Invoices2001Slovakia_Book1_2_Du toan nuoc San Thang (GD2) 3" xfId="3118"/>
    <cellStyle name="Dziesietny [0]_Invoices2001Slovakia_Book1_2_Du toan nuoc San Thang (GD2) 3 2" xfId="3119"/>
    <cellStyle name="Dziesiętny [0]_Invoices2001Slovakia_Book1_2_Du toan nuoc San Thang (GD2) 3 2" xfId="3120"/>
    <cellStyle name="Dziesietny [0]_Invoices2001Slovakia_Book1_2_Du toan nuoc San Thang (GD2) 4" xfId="3121"/>
    <cellStyle name="Dziesiętny [0]_Invoices2001Slovakia_Book1_2_Du toan nuoc San Thang (GD2) 4" xfId="3122"/>
    <cellStyle name="Dziesietny [0]_Invoices2001Slovakia_Book1_2_Ke hoach 2010 (theo doi 11-8-2010)" xfId="3123"/>
    <cellStyle name="Dziesiętny [0]_Invoices2001Slovakia_Book1_2_Ke hoach 2010 (theo doi 11-8-2010)" xfId="3124"/>
    <cellStyle name="Dziesietny [0]_Invoices2001Slovakia_Book1_2_Ke hoach 2010 (theo doi 11-8-2010) 2" xfId="3125"/>
    <cellStyle name="Dziesiętny [0]_Invoices2001Slovakia_Book1_2_Ke hoach 2010 (theo doi 11-8-2010) 2" xfId="3126"/>
    <cellStyle name="Dziesietny [0]_Invoices2001Slovakia_Book1_2_Ke hoach 2010 (theo doi 11-8-2010) 2 2" xfId="3127"/>
    <cellStyle name="Dziesiętny [0]_Invoices2001Slovakia_Book1_2_Ke hoach 2010 (theo doi 11-8-2010) 2 2" xfId="3128"/>
    <cellStyle name="Dziesietny [0]_Invoices2001Slovakia_Book1_2_Ke hoach 2010 (theo doi 11-8-2010) 3" xfId="3129"/>
    <cellStyle name="Dziesiętny [0]_Invoices2001Slovakia_Book1_2_Ke hoach 2010 (theo doi 11-8-2010) 3" xfId="3130"/>
    <cellStyle name="Dziesietny [0]_Invoices2001Slovakia_Book1_2_Ke hoach 2010 (theo doi 11-8-2010) 3 2" xfId="3131"/>
    <cellStyle name="Dziesiętny [0]_Invoices2001Slovakia_Book1_2_Ke hoach 2010 (theo doi 11-8-2010) 3 2" xfId="3132"/>
    <cellStyle name="Dziesietny [0]_Invoices2001Slovakia_Book1_2_Ke hoach 2010 (theo doi 11-8-2010) 4" xfId="3133"/>
    <cellStyle name="Dziesiętny [0]_Invoices2001Slovakia_Book1_2_Ke hoach 2010 (theo doi 11-8-2010) 4" xfId="3134"/>
    <cellStyle name="Dziesietny [0]_Invoices2001Slovakia_Book1_2_Ke hoach 2010 ngay 31-01" xfId="3135"/>
    <cellStyle name="Dziesiętny [0]_Invoices2001Slovakia_Book1_2_Ke hoach 2010 ngay 31-01" xfId="3136"/>
    <cellStyle name="Dziesietny [0]_Invoices2001Slovakia_Book1_2_Ke hoach 2010 ngay 31-01 2" xfId="3137"/>
    <cellStyle name="Dziesiętny [0]_Invoices2001Slovakia_Book1_2_Ke hoach 2010 ngay 31-01 2" xfId="3138"/>
    <cellStyle name="Dziesietny [0]_Invoices2001Slovakia_Book1_2_Ke hoach 2010 ngay 31-01 2 2" xfId="3139"/>
    <cellStyle name="Dziesiętny [0]_Invoices2001Slovakia_Book1_2_Ke hoach 2010 ngay 31-01 2 2" xfId="3140"/>
    <cellStyle name="Dziesietny [0]_Invoices2001Slovakia_Book1_2_Ke hoach 2010 ngay 31-01 3" xfId="3141"/>
    <cellStyle name="Dziesiętny [0]_Invoices2001Slovakia_Book1_2_Ke hoach 2010 ngay 31-01 3" xfId="3142"/>
    <cellStyle name="Dziesietny [0]_Invoices2001Slovakia_Book1_2_Ke hoach 2010 ngay 31-01 3 2" xfId="3143"/>
    <cellStyle name="Dziesiętny [0]_Invoices2001Slovakia_Book1_2_Ke hoach 2010 ngay 31-01 3 2" xfId="3144"/>
    <cellStyle name="Dziesietny [0]_Invoices2001Slovakia_Book1_2_Ke hoach 2010 ngay 31-01 4" xfId="3145"/>
    <cellStyle name="Dziesiętny [0]_Invoices2001Slovakia_Book1_2_Ke hoach 2010 ngay 31-01 4" xfId="3146"/>
    <cellStyle name="Dziesietny [0]_Invoices2001Slovakia_Book1_2_ke hoach dau thau 30-6-2010" xfId="3147"/>
    <cellStyle name="Dziesiętny [0]_Invoices2001Slovakia_Book1_2_ke hoach dau thau 30-6-2010" xfId="3148"/>
    <cellStyle name="Dziesietny [0]_Invoices2001Slovakia_Book1_2_ke hoach dau thau 30-6-2010 2" xfId="3149"/>
    <cellStyle name="Dziesiętny [0]_Invoices2001Slovakia_Book1_2_ke hoach dau thau 30-6-2010 2" xfId="3150"/>
    <cellStyle name="Dziesietny [0]_Invoices2001Slovakia_Book1_2_ke hoach dau thau 30-6-2010 2 2" xfId="3151"/>
    <cellStyle name="Dziesiętny [0]_Invoices2001Slovakia_Book1_2_ke hoach dau thau 30-6-2010 2 2" xfId="3152"/>
    <cellStyle name="Dziesietny [0]_Invoices2001Slovakia_Book1_2_ke hoach dau thau 30-6-2010 3" xfId="3153"/>
    <cellStyle name="Dziesiętny [0]_Invoices2001Slovakia_Book1_2_ke hoach dau thau 30-6-2010 3" xfId="3154"/>
    <cellStyle name="Dziesietny [0]_Invoices2001Slovakia_Book1_2_ke hoach dau thau 30-6-2010 3 2" xfId="3155"/>
    <cellStyle name="Dziesiętny [0]_Invoices2001Slovakia_Book1_2_ke hoach dau thau 30-6-2010 3 2" xfId="3156"/>
    <cellStyle name="Dziesietny [0]_Invoices2001Slovakia_Book1_2_ke hoach dau thau 30-6-2010 4" xfId="3157"/>
    <cellStyle name="Dziesiętny [0]_Invoices2001Slovakia_Book1_2_ke hoach dau thau 30-6-2010 4" xfId="3158"/>
    <cellStyle name="Dziesietny [0]_Invoices2001Slovakia_Book1_2_KH Von 2012 gui BKH 1" xfId="3159"/>
    <cellStyle name="Dziesiętny [0]_Invoices2001Slovakia_Book1_2_KH Von 2012 gui BKH 1" xfId="3160"/>
    <cellStyle name="Dziesietny [0]_Invoices2001Slovakia_Book1_2_KH Von 2012 gui BKH 1 2" xfId="3161"/>
    <cellStyle name="Dziesiętny [0]_Invoices2001Slovakia_Book1_2_KH Von 2012 gui BKH 1 2" xfId="3162"/>
    <cellStyle name="Dziesietny [0]_Invoices2001Slovakia_Book1_2_KH Von 2012 gui BKH 1 2 2" xfId="3163"/>
    <cellStyle name="Dziesiętny [0]_Invoices2001Slovakia_Book1_2_KH Von 2012 gui BKH 1 2 2" xfId="3164"/>
    <cellStyle name="Dziesietny [0]_Invoices2001Slovakia_Book1_2_KH Von 2012 gui BKH 1 3" xfId="3165"/>
    <cellStyle name="Dziesiętny [0]_Invoices2001Slovakia_Book1_2_KH Von 2012 gui BKH 1 3" xfId="3166"/>
    <cellStyle name="Dziesietny [0]_Invoices2001Slovakia_Book1_2_KH Von 2012 gui BKH 1 3 2" xfId="3167"/>
    <cellStyle name="Dziesiętny [0]_Invoices2001Slovakia_Book1_2_KH Von 2012 gui BKH 1 3 2" xfId="3168"/>
    <cellStyle name="Dziesietny [0]_Invoices2001Slovakia_Book1_2_KH Von 2012 gui BKH 1 4" xfId="3169"/>
    <cellStyle name="Dziesiętny [0]_Invoices2001Slovakia_Book1_2_KH Von 2012 gui BKH 1 4" xfId="3170"/>
    <cellStyle name="Dziesietny [0]_Invoices2001Slovakia_Book1_2_KH Von 2012 gui BKH 1_BIEU KE HOACH  2015 (KTN 6.11 sua)" xfId="3171"/>
    <cellStyle name="Dziesiętny [0]_Invoices2001Slovakia_Book1_2_KH Von 2012 gui BKH 1_BIEU KE HOACH  2015 (KTN 6.11 sua)" xfId="3172"/>
    <cellStyle name="Dziesietny [0]_Invoices2001Slovakia_Book1_2_KH Von 2012 gui BKH 2" xfId="3173"/>
    <cellStyle name="Dziesiętny [0]_Invoices2001Slovakia_Book1_2_KH Von 2012 gui BKH 2" xfId="3174"/>
    <cellStyle name="Dziesietny [0]_Invoices2001Slovakia_Book1_2_KH Von 2012 gui BKH 2 2" xfId="3175"/>
    <cellStyle name="Dziesiętny [0]_Invoices2001Slovakia_Book1_2_KH Von 2012 gui BKH 2 2" xfId="3176"/>
    <cellStyle name="Dziesietny [0]_Invoices2001Slovakia_Book1_2_KH Von 2012 gui BKH 2 2 2" xfId="3177"/>
    <cellStyle name="Dziesiętny [0]_Invoices2001Slovakia_Book1_2_KH Von 2012 gui BKH 2 2 2" xfId="3178"/>
    <cellStyle name="Dziesietny [0]_Invoices2001Slovakia_Book1_2_KH Von 2012 gui BKH 2 3" xfId="3179"/>
    <cellStyle name="Dziesiętny [0]_Invoices2001Slovakia_Book1_2_KH Von 2012 gui BKH 2 3" xfId="3180"/>
    <cellStyle name="Dziesietny [0]_Invoices2001Slovakia_Book1_2_KH Von 2012 gui BKH 2 3 2" xfId="3181"/>
    <cellStyle name="Dziesiętny [0]_Invoices2001Slovakia_Book1_2_KH Von 2012 gui BKH 2 3 2" xfId="3182"/>
    <cellStyle name="Dziesietny [0]_Invoices2001Slovakia_Book1_2_KH Von 2012 gui BKH 2 4" xfId="3183"/>
    <cellStyle name="Dziesiętny [0]_Invoices2001Slovakia_Book1_2_KH Von 2012 gui BKH 2 4" xfId="3184"/>
    <cellStyle name="Dziesietny [0]_Invoices2001Slovakia_Book1_2_QD ke hoach dau thau" xfId="3185"/>
    <cellStyle name="Dziesiętny [0]_Invoices2001Slovakia_Book1_2_QD ke hoach dau thau" xfId="3186"/>
    <cellStyle name="Dziesietny [0]_Invoices2001Slovakia_Book1_2_QD ke hoach dau thau 2" xfId="3187"/>
    <cellStyle name="Dziesiętny [0]_Invoices2001Slovakia_Book1_2_QD ke hoach dau thau 2" xfId="3188"/>
    <cellStyle name="Dziesietny [0]_Invoices2001Slovakia_Book1_2_QD ke hoach dau thau 2 2" xfId="3189"/>
    <cellStyle name="Dziesiętny [0]_Invoices2001Slovakia_Book1_2_QD ke hoach dau thau 2 2" xfId="3190"/>
    <cellStyle name="Dziesietny [0]_Invoices2001Slovakia_Book1_2_QD ke hoach dau thau 3" xfId="3191"/>
    <cellStyle name="Dziesiętny [0]_Invoices2001Slovakia_Book1_2_QD ke hoach dau thau 3" xfId="3192"/>
    <cellStyle name="Dziesietny [0]_Invoices2001Slovakia_Book1_2_QD ke hoach dau thau 3 2" xfId="3193"/>
    <cellStyle name="Dziesiętny [0]_Invoices2001Slovakia_Book1_2_QD ke hoach dau thau 3 2" xfId="3194"/>
    <cellStyle name="Dziesietny [0]_Invoices2001Slovakia_Book1_2_QD ke hoach dau thau 4" xfId="3195"/>
    <cellStyle name="Dziesiętny [0]_Invoices2001Slovakia_Book1_2_QD ke hoach dau thau 4" xfId="3196"/>
    <cellStyle name="Dziesietny [0]_Invoices2001Slovakia_Book1_2_Ra soat KH von 2011 (Huy-11-11-11)" xfId="3197"/>
    <cellStyle name="Dziesiętny [0]_Invoices2001Slovakia_Book1_2_Ra soat KH von 2011 (Huy-11-11-11)" xfId="3198"/>
    <cellStyle name="Dziesietny [0]_Invoices2001Slovakia_Book1_2_Ra soat KH von 2011 (Huy-11-11-11) 2" xfId="3199"/>
    <cellStyle name="Dziesiętny [0]_Invoices2001Slovakia_Book1_2_Ra soat KH von 2011 (Huy-11-11-11) 2" xfId="3200"/>
    <cellStyle name="Dziesietny [0]_Invoices2001Slovakia_Book1_2_Ra soat KH von 2011 (Huy-11-11-11) 2 2" xfId="3201"/>
    <cellStyle name="Dziesiętny [0]_Invoices2001Slovakia_Book1_2_Ra soat KH von 2011 (Huy-11-11-11) 2 2" xfId="3202"/>
    <cellStyle name="Dziesietny [0]_Invoices2001Slovakia_Book1_2_Ra soat KH von 2011 (Huy-11-11-11) 3" xfId="3203"/>
    <cellStyle name="Dziesiętny [0]_Invoices2001Slovakia_Book1_2_Ra soat KH von 2011 (Huy-11-11-11) 3" xfId="3204"/>
    <cellStyle name="Dziesietny [0]_Invoices2001Slovakia_Book1_2_Ra soat KH von 2011 (Huy-11-11-11) 3 2" xfId="3205"/>
    <cellStyle name="Dziesiętny [0]_Invoices2001Slovakia_Book1_2_Ra soat KH von 2011 (Huy-11-11-11) 3 2" xfId="3206"/>
    <cellStyle name="Dziesietny [0]_Invoices2001Slovakia_Book1_2_Ra soat KH von 2011 (Huy-11-11-11) 4" xfId="3207"/>
    <cellStyle name="Dziesiętny [0]_Invoices2001Slovakia_Book1_2_Ra soat KH von 2011 (Huy-11-11-11) 4" xfId="3208"/>
    <cellStyle name="Dziesietny [0]_Invoices2001Slovakia_Book1_2_Ra soat KH von 2011 (Huy-11-11-11) 5" xfId="3209"/>
    <cellStyle name="Dziesiętny [0]_Invoices2001Slovakia_Book1_2_Ra soat KH von 2011 (Huy-11-11-11) 5" xfId="3210"/>
    <cellStyle name="Dziesietny [0]_Invoices2001Slovakia_Book1_2_tinh toan hoang ha" xfId="3211"/>
    <cellStyle name="Dziesiętny [0]_Invoices2001Slovakia_Book1_2_tinh toan hoang ha" xfId="3212"/>
    <cellStyle name="Dziesietny [0]_Invoices2001Slovakia_Book1_2_tinh toan hoang ha 2" xfId="3213"/>
    <cellStyle name="Dziesiętny [0]_Invoices2001Slovakia_Book1_2_tinh toan hoang ha 2" xfId="3214"/>
    <cellStyle name="Dziesietny [0]_Invoices2001Slovakia_Book1_2_tinh toan hoang ha 2 2" xfId="3215"/>
    <cellStyle name="Dziesiętny [0]_Invoices2001Slovakia_Book1_2_tinh toan hoang ha 2 2" xfId="3216"/>
    <cellStyle name="Dziesietny [0]_Invoices2001Slovakia_Book1_2_tinh toan hoang ha 3" xfId="3217"/>
    <cellStyle name="Dziesiętny [0]_Invoices2001Slovakia_Book1_2_tinh toan hoang ha 3" xfId="3218"/>
    <cellStyle name="Dziesietny [0]_Invoices2001Slovakia_Book1_2_tinh toan hoang ha 3 2" xfId="3219"/>
    <cellStyle name="Dziesiętny [0]_Invoices2001Slovakia_Book1_2_tinh toan hoang ha 3 2" xfId="3220"/>
    <cellStyle name="Dziesietny [0]_Invoices2001Slovakia_Book1_2_tinh toan hoang ha 4" xfId="3221"/>
    <cellStyle name="Dziesiętny [0]_Invoices2001Slovakia_Book1_2_tinh toan hoang ha 4" xfId="3222"/>
    <cellStyle name="Dziesietny [0]_Invoices2001Slovakia_Book1_2_Tong von ĐTPT" xfId="3223"/>
    <cellStyle name="Dziesiętny [0]_Invoices2001Slovakia_Book1_2_Tong von ĐTPT" xfId="3224"/>
    <cellStyle name="Dziesietny [0]_Invoices2001Slovakia_Book1_2_Tong von ĐTPT 2" xfId="3225"/>
    <cellStyle name="Dziesiętny [0]_Invoices2001Slovakia_Book1_2_Tong von ĐTPT 2" xfId="3226"/>
    <cellStyle name="Dziesietny [0]_Invoices2001Slovakia_Book1_2_Tong von ĐTPT 2 2" xfId="3227"/>
    <cellStyle name="Dziesiętny [0]_Invoices2001Slovakia_Book1_2_Tong von ĐTPT 2 2" xfId="3228"/>
    <cellStyle name="Dziesietny [0]_Invoices2001Slovakia_Book1_2_Tong von ĐTPT 3" xfId="3229"/>
    <cellStyle name="Dziesiętny [0]_Invoices2001Slovakia_Book1_2_Tong von ĐTPT 3" xfId="3230"/>
    <cellStyle name="Dziesietny [0]_Invoices2001Slovakia_Book1_2_Tong von ĐTPT 3 2" xfId="3231"/>
    <cellStyle name="Dziesiętny [0]_Invoices2001Slovakia_Book1_2_Tong von ĐTPT 3 2" xfId="3232"/>
    <cellStyle name="Dziesietny [0]_Invoices2001Slovakia_Book1_2_Tong von ĐTPT 4" xfId="3233"/>
    <cellStyle name="Dziesiętny [0]_Invoices2001Slovakia_Book1_2_Tong von ĐTPT 4" xfId="3234"/>
    <cellStyle name="Dziesietny [0]_Invoices2001Slovakia_Book1_2_Viec Huy dang lam" xfId="3235"/>
    <cellStyle name="Dziesiętny [0]_Invoices2001Slovakia_Book1_2_Viec Huy dang lam" xfId="3236"/>
    <cellStyle name="Dziesietny [0]_Invoices2001Slovakia_Book1_3" xfId="3237"/>
    <cellStyle name="Dziesiętny [0]_Invoices2001Slovakia_Book1_3" xfId="3238"/>
    <cellStyle name="Dziesietny [0]_Invoices2001Slovakia_Book1_3 2" xfId="3239"/>
    <cellStyle name="Dziesiętny [0]_Invoices2001Slovakia_Book1_3 2" xfId="3240"/>
    <cellStyle name="Dziesietny [0]_Invoices2001Slovakia_Book1_3 2 2" xfId="3241"/>
    <cellStyle name="Dziesiętny [0]_Invoices2001Slovakia_Book1_3 2 2" xfId="3242"/>
    <cellStyle name="Dziesietny [0]_Invoices2001Slovakia_Book1_3 3" xfId="3243"/>
    <cellStyle name="Dziesiętny [0]_Invoices2001Slovakia_Book1_3 3" xfId="3244"/>
    <cellStyle name="Dziesietny [0]_Invoices2001Slovakia_Book1_3 3 2" xfId="3245"/>
    <cellStyle name="Dziesiętny [0]_Invoices2001Slovakia_Book1_3 3 2" xfId="3246"/>
    <cellStyle name="Dziesietny [0]_Invoices2001Slovakia_Book1_3 4" xfId="3247"/>
    <cellStyle name="Dziesiętny [0]_Invoices2001Slovakia_Book1_3 4" xfId="3248"/>
    <cellStyle name="Dziesietny [0]_Invoices2001Slovakia_Book1_Bao cao 9 thang  XDCB" xfId="3249"/>
    <cellStyle name="Dziesiętny [0]_Invoices2001Slovakia_Book1_Book1" xfId="3250"/>
    <cellStyle name="Dziesietny [0]_Invoices2001Slovakia_Book1_dự toán 30a 2013" xfId="3251"/>
    <cellStyle name="Dziesiętny [0]_Invoices2001Slovakia_Book1_Nhu cau von ung truoc 2011 Tha h Hoa + Nge An gui TW" xfId="3252"/>
    <cellStyle name="Dziesietny [0]_Invoices2001Slovakia_Book1_Tong hop Cac tuyen(9-1-06)" xfId="3253"/>
    <cellStyle name="Dziesiętny [0]_Invoices2001Slovakia_Book1_Tong hop Cac tuyen(9-1-06)" xfId="3254"/>
    <cellStyle name="Dziesietny [0]_Invoices2001Slovakia_Book1_Tong hop Cac tuyen(9-1-06) 2" xfId="3255"/>
    <cellStyle name="Dziesiętny [0]_Invoices2001Slovakia_Book1_Tong hop Cac tuyen(9-1-06) 2" xfId="3256"/>
    <cellStyle name="Dziesietny [0]_Invoices2001Slovakia_Book1_Tong hop Cac tuyen(9-1-06)_bieu tong hop lai kh von 2011 gui phong TH-KTDN" xfId="3257"/>
    <cellStyle name="Dziesiętny [0]_Invoices2001Slovakia_Book1_Tong hop Cac tuyen(9-1-06)_bieu tong hop lai kh von 2011 gui phong TH-KTDN" xfId="3258"/>
    <cellStyle name="Dziesietny [0]_Invoices2001Slovakia_Book1_Tong hop Cac tuyen(9-1-06)_bieu tong hop lai kh von 2011 gui phong TH-KTDN 2" xfId="3259"/>
    <cellStyle name="Dziesiętny [0]_Invoices2001Slovakia_Book1_Tong hop Cac tuyen(9-1-06)_bieu tong hop lai kh von 2011 gui phong TH-KTDN 2" xfId="3260"/>
    <cellStyle name="Dziesietny [0]_Invoices2001Slovakia_Book1_Tong hop Cac tuyen(9-1-06)_Copy of KH PHAN BO VON ĐỐI ỨNG NAM 2011 (30 TY phuong án gop WB)" xfId="3261"/>
    <cellStyle name="Dziesiętny [0]_Invoices2001Slovakia_Book1_Tong hop Cac tuyen(9-1-06)_Copy of KH PHAN BO VON ĐỐI ỨNG NAM 2011 (30 TY phuong án gop WB)" xfId="3262"/>
    <cellStyle name="Dziesietny [0]_Invoices2001Slovakia_Book1_Tong hop Cac tuyen(9-1-06)_Copy of KH PHAN BO VON ĐỐI ỨNG NAM 2011 (30 TY phuong án gop WB) 2" xfId="3263"/>
    <cellStyle name="Dziesiętny [0]_Invoices2001Slovakia_Book1_Tong hop Cac tuyen(9-1-06)_Copy of KH PHAN BO VON ĐỐI ỨNG NAM 2011 (30 TY phuong án gop WB) 2" xfId="3264"/>
    <cellStyle name="Dziesietny [0]_Invoices2001Slovakia_Book1_Tong hop Cac tuyen(9-1-06)_Ke hoach 2010 (theo doi 11-8-2010)" xfId="3265"/>
    <cellStyle name="Dziesiętny [0]_Invoices2001Slovakia_Book1_Tong hop Cac tuyen(9-1-06)_Ke hoach 2010 (theo doi 11-8-2010)" xfId="3266"/>
    <cellStyle name="Dziesietny [0]_Invoices2001Slovakia_Book1_Tong hop Cac tuyen(9-1-06)_Ke hoach 2010 (theo doi 11-8-2010) 2" xfId="3267"/>
    <cellStyle name="Dziesiętny [0]_Invoices2001Slovakia_Book1_Tong hop Cac tuyen(9-1-06)_Ke hoach 2010 (theo doi 11-8-2010) 2" xfId="3268"/>
    <cellStyle name="Dziesietny [0]_Invoices2001Slovakia_Book1_Tong hop Cac tuyen(9-1-06)_KH Von 2012 gui BKH 1" xfId="3269"/>
    <cellStyle name="Dziesiętny [0]_Invoices2001Slovakia_Book1_Tong hop Cac tuyen(9-1-06)_KH Von 2012 gui BKH 1" xfId="3270"/>
    <cellStyle name="Dziesietny [0]_Invoices2001Slovakia_Book1_Tong hop Cac tuyen(9-1-06)_KH Von 2012 gui BKH 1 2" xfId="3271"/>
    <cellStyle name="Dziesiętny [0]_Invoices2001Slovakia_Book1_Tong hop Cac tuyen(9-1-06)_KH Von 2012 gui BKH 1 2" xfId="3272"/>
    <cellStyle name="Dziesietny [0]_Invoices2001Slovakia_Book1_Tong hop Cac tuyen(9-1-06)_QD ke hoach dau thau" xfId="3273"/>
    <cellStyle name="Dziesiętny [0]_Invoices2001Slovakia_Book1_Tong hop Cac tuyen(9-1-06)_QD ke hoach dau thau" xfId="3274"/>
    <cellStyle name="Dziesietny [0]_Invoices2001Slovakia_Book1_Tong hop Cac tuyen(9-1-06)_QD ke hoach dau thau 2" xfId="3275"/>
    <cellStyle name="Dziesiętny [0]_Invoices2001Slovakia_Book1_Tong hop Cac tuyen(9-1-06)_QD ke hoach dau thau 2" xfId="3276"/>
    <cellStyle name="Dziesietny [0]_Invoices2001Slovakia_Book1_Tong hop Cac tuyen(9-1-06)_Tong von ĐTPT" xfId="3277"/>
    <cellStyle name="Dziesiętny [0]_Invoices2001Slovakia_Book1_Tong hop Cac tuyen(9-1-06)_Tong von ĐTPT" xfId="3278"/>
    <cellStyle name="Dziesietny [0]_Invoices2001Slovakia_Book1_Tong hop Cac tuyen(9-1-06)_Tong von ĐTPT 2" xfId="3279"/>
    <cellStyle name="Dziesiętny [0]_Invoices2001Slovakia_Book1_Tong hop Cac tuyen(9-1-06)_Tong von ĐTPT 2" xfId="3280"/>
    <cellStyle name="Dziesietny [0]_Invoices2001Slovakia_Book1_TONG HOP HOAN THUE NAM 2011" xfId="3281"/>
    <cellStyle name="Dziesiętny [0]_Invoices2001Slovakia_Book1_ung truoc 2011 NSTW Thanh Hoa + Nge An gui Thu 12-5" xfId="3282"/>
    <cellStyle name="Dziesietny [0]_Invoices2001Slovakia_Copy of KH PHAN BO VON ĐỐI ỨNG NAM 2011 (30 TY phuong án gop WB)" xfId="3287"/>
    <cellStyle name="Dziesiętny [0]_Invoices2001Slovakia_Copy of KH PHAN BO VON ĐỐI ỨNG NAM 2011 (30 TY phuong án gop WB)" xfId="3288"/>
    <cellStyle name="Dziesietny [0]_Invoices2001Slovakia_Copy of KH PHAN BO VON ĐỐI ỨNG NAM 2011 (30 TY phuong án gop WB) 2" xfId="3289"/>
    <cellStyle name="Dziesiętny [0]_Invoices2001Slovakia_Copy of KH PHAN BO VON ĐỐI ỨNG NAM 2011 (30 TY phuong án gop WB) 2" xfId="3290"/>
    <cellStyle name="Dziesietny [0]_Invoices2001Slovakia_Copy of KH PHAN BO VON ĐỐI ỨNG NAM 2011 (30 TY phuong án gop WB) 2 2" xfId="3291"/>
    <cellStyle name="Dziesiętny [0]_Invoices2001Slovakia_Copy of KH PHAN BO VON ĐỐI ỨNG NAM 2011 (30 TY phuong án gop WB) 2 2" xfId="3292"/>
    <cellStyle name="Dziesietny [0]_Invoices2001Slovakia_Copy of KH PHAN BO VON ĐỐI ỨNG NAM 2011 (30 TY phuong án gop WB) 3" xfId="3293"/>
    <cellStyle name="Dziesiętny [0]_Invoices2001Slovakia_Copy of KH PHAN BO VON ĐỐI ỨNG NAM 2011 (30 TY phuong án gop WB) 3" xfId="3294"/>
    <cellStyle name="Dziesietny [0]_Invoices2001Slovakia_Copy of KH PHAN BO VON ĐỐI ỨNG NAM 2011 (30 TY phuong án gop WB) 3 2" xfId="3295"/>
    <cellStyle name="Dziesiętny [0]_Invoices2001Slovakia_Copy of KH PHAN BO VON ĐỐI ỨNG NAM 2011 (30 TY phuong án gop WB) 3 2" xfId="3296"/>
    <cellStyle name="Dziesietny [0]_Invoices2001Slovakia_Copy of KH PHAN BO VON ĐỐI ỨNG NAM 2011 (30 TY phuong án gop WB) 4" xfId="3297"/>
    <cellStyle name="Dziesiętny [0]_Invoices2001Slovakia_Copy of KH PHAN BO VON ĐỐI ỨNG NAM 2011 (30 TY phuong án gop WB) 4" xfId="3298"/>
    <cellStyle name="Dziesietny [0]_Invoices2001Slovakia_Copy of KH PHAN BO VON ĐỐI ỨNG NAM 2011 (30 TY phuong án gop WB)_BIEU KE HOACH  2015 (KTN 6.11 sua)" xfId="3299"/>
    <cellStyle name="Dziesiętny [0]_Invoices2001Slovakia_Copy of KH PHAN BO VON ĐỐI ỨNG NAM 2011 (30 TY phuong án gop WB)_BIEU KE HOACH  2015 (KTN 6.11 sua)" xfId="3300"/>
    <cellStyle name="Dziesietny [0]_Invoices2001Slovakia_Chi tieu KH nam 2009" xfId="3283"/>
    <cellStyle name="Dziesiętny [0]_Invoices2001Slovakia_Chi tieu KH nam 2009" xfId="3284"/>
    <cellStyle name="Dziesietny [0]_Invoices2001Slovakia_Chi tieu KH nam 2009 2" xfId="3285"/>
    <cellStyle name="Dziesiętny [0]_Invoices2001Slovakia_Chi tieu KH nam 2009 2" xfId="3286"/>
    <cellStyle name="Dziesietny [0]_Invoices2001Slovakia_Danh Mục KCM trinh BKH 2011 (BS 30A)" xfId="3301"/>
    <cellStyle name="Dziesiętny [0]_Invoices2001Slovakia_Danh Mục KCM trinh BKH 2011 (BS 30A)" xfId="3302"/>
    <cellStyle name="Dziesietny [0]_Invoices2001Slovakia_Danh Mục KCM trinh BKH 2011 (BS 30A) 2" xfId="3303"/>
    <cellStyle name="Dziesiętny [0]_Invoices2001Slovakia_Danh Mục KCM trinh BKH 2011 (BS 30A) 2" xfId="3304"/>
    <cellStyle name="Dziesietny [0]_Invoices2001Slovakia_DT 1751 Muong Khoa" xfId="3305"/>
    <cellStyle name="Dziesiętny [0]_Invoices2001Slovakia_DT 1751 Muong Khoa" xfId="3306"/>
    <cellStyle name="Dziesietny [0]_Invoices2001Slovakia_DT 1751 Muong Khoa 2" xfId="3307"/>
    <cellStyle name="Dziesiętny [0]_Invoices2001Slovakia_DT 1751 Muong Khoa 2" xfId="3308"/>
    <cellStyle name="Dziesietny [0]_Invoices2001Slovakia_DT Nam vai" xfId="3309"/>
    <cellStyle name="Dziesiętny [0]_Invoices2001Slovakia_DT tieu hoc diem TDC ban Cho 28-02-09" xfId="3310"/>
    <cellStyle name="Dziesietny [0]_Invoices2001Slovakia_DT truong THPT  quyet thang tinh 04-3-09" xfId="3311"/>
    <cellStyle name="Dziesiętny [0]_Invoices2001Slovakia_DT truong THPT  quyet thang tinh 04-3-09" xfId="3312"/>
    <cellStyle name="Dziesietny [0]_Invoices2001Slovakia_DT truong THPT  quyet thang tinh 04-3-09 2" xfId="3313"/>
    <cellStyle name="Dziesiętny [0]_Invoices2001Slovakia_DT truong THPT  quyet thang tinh 04-3-09 2" xfId="3314"/>
    <cellStyle name="Dziesietny [0]_Invoices2001Slovakia_DTTD chieng chan Tham lai 29-9-2009" xfId="3315"/>
    <cellStyle name="Dziesiętny [0]_Invoices2001Slovakia_DTTD chieng chan Tham lai 29-9-2009" xfId="3316"/>
    <cellStyle name="Dziesietny [0]_Invoices2001Slovakia_DTTD chieng chan Tham lai 29-9-2009 2" xfId="3317"/>
    <cellStyle name="Dziesiętny [0]_Invoices2001Slovakia_DTTD chieng chan Tham lai 29-9-2009 2" xfId="3318"/>
    <cellStyle name="Dziesietny [0]_Invoices2001Slovakia_DTTD chieng chan Tham lai 29-9-2009 2 2" xfId="3319"/>
    <cellStyle name="Dziesiętny [0]_Invoices2001Slovakia_DTTD chieng chan Tham lai 29-9-2009 2 2" xfId="3320"/>
    <cellStyle name="Dziesietny [0]_Invoices2001Slovakia_DTTD chieng chan Tham lai 29-9-2009 3" xfId="3321"/>
    <cellStyle name="Dziesiętny [0]_Invoices2001Slovakia_DTTD chieng chan Tham lai 29-9-2009 3" xfId="3322"/>
    <cellStyle name="Dziesietny [0]_Invoices2001Slovakia_DTTD chieng chan Tham lai 29-9-2009 3 2" xfId="3323"/>
    <cellStyle name="Dziesiętny [0]_Invoices2001Slovakia_DTTD chieng chan Tham lai 29-9-2009 3 2" xfId="3324"/>
    <cellStyle name="Dziesietny [0]_Invoices2001Slovakia_DTTD chieng chan Tham lai 29-9-2009 4" xfId="3325"/>
    <cellStyle name="Dziesiętny [0]_Invoices2001Slovakia_DTTD chieng chan Tham lai 29-9-2009 4" xfId="3326"/>
    <cellStyle name="Dziesietny [0]_Invoices2001Slovakia_DTTD chieng chan Tham lai 29-9-2009_BIEU KE HOACH  2015 (KTN 6.11 sua)" xfId="3327"/>
    <cellStyle name="Dziesiętny [0]_Invoices2001Slovakia_DTTD chieng chan Tham lai 29-9-2009_BIEU KE HOACH  2015 (KTN 6.11 sua)" xfId="3328"/>
    <cellStyle name="Dziesietny [0]_Invoices2001Slovakia_d-uong+TDT" xfId="3329"/>
    <cellStyle name="Dziesiętny [0]_Invoices2001Slovakia_GVL" xfId="3330"/>
    <cellStyle name="Dziesietny [0]_Invoices2001Slovakia_Ke hoach 2010 (theo doi 11-8-2010)" xfId="3331"/>
    <cellStyle name="Dziesiętny [0]_Invoices2001Slovakia_Ke hoach 2010 (theo doi 11-8-2010)" xfId="3332"/>
    <cellStyle name="Dziesietny [0]_Invoices2001Slovakia_Ke hoach 2010 (theo doi 11-8-2010) 2" xfId="3333"/>
    <cellStyle name="Dziesiętny [0]_Invoices2001Slovakia_Ke hoach 2010 (theo doi 11-8-2010) 2" xfId="3334"/>
    <cellStyle name="Dziesietny [0]_Invoices2001Slovakia_ke hoach dau thau 30-6-2010" xfId="3335"/>
    <cellStyle name="Dziesiętny [0]_Invoices2001Slovakia_ke hoach dau thau 30-6-2010" xfId="3336"/>
    <cellStyle name="Dziesietny [0]_Invoices2001Slovakia_ke hoach dau thau 30-6-2010 2" xfId="3337"/>
    <cellStyle name="Dziesiętny [0]_Invoices2001Slovakia_ke hoach dau thau 30-6-2010 2" xfId="3338"/>
    <cellStyle name="Dziesietny [0]_Invoices2001Slovakia_KL K.C mat duong" xfId="3339"/>
    <cellStyle name="Dziesiętny [0]_Invoices2001Slovakia_Nhµ ®Ó xe" xfId="3340"/>
    <cellStyle name="Dziesietny [0]_Invoices2001Slovakia_Nha bao ve(28-7-05)" xfId="3341"/>
    <cellStyle name="Dziesiętny [0]_Invoices2001Slovakia_Nha bao ve(28-7-05)" xfId="3342"/>
    <cellStyle name="Dziesietny [0]_Invoices2001Slovakia_NHA de xe nguyen du" xfId="3343"/>
    <cellStyle name="Dziesiętny [0]_Invoices2001Slovakia_NHA de xe nguyen du" xfId="3344"/>
    <cellStyle name="Dziesietny [0]_Invoices2001Slovakia_Nhalamviec VTC(25-1-05)" xfId="3345"/>
    <cellStyle name="Dziesiętny [0]_Invoices2001Slovakia_Nhalamviec VTC(25-1-05)" xfId="3346"/>
    <cellStyle name="Dziesietny [0]_Invoices2001Slovakia_Nhu cau von ung truoc 2011 Tha h Hoa + Nge An gui TW" xfId="3347"/>
    <cellStyle name="Dziesiętny [0]_Invoices2001Slovakia_Phan pha do" xfId="3348"/>
    <cellStyle name="Dziesietny [0]_Invoices2001Slovakia_Ra soat KH von 2011 (Huy-11-11-11)" xfId="3349"/>
    <cellStyle name="Dziesiętny [0]_Invoices2001Slovakia_Ra soat KH von 2011 (Huy-11-11-11)" xfId="3350"/>
    <cellStyle name="Dziesietny [0]_Invoices2001Slovakia_Sheet2" xfId="3351"/>
    <cellStyle name="Dziesiętny [0]_Invoices2001Slovakia_Sheet2" xfId="3352"/>
    <cellStyle name="Dziesietny [0]_Invoices2001Slovakia_Sheet2 2" xfId="3353"/>
    <cellStyle name="Dziesiętny [0]_Invoices2001Slovakia_Sheet2 2" xfId="3354"/>
    <cellStyle name="Dziesietny [0]_Invoices2001Slovakia_TDT KHANH HOA" xfId="3355"/>
    <cellStyle name="Dziesiętny [0]_Invoices2001Slovakia_TDT KHANH HOA" xfId="3356"/>
    <cellStyle name="Dziesietny [0]_Invoices2001Slovakia_TDT KHANH HOA 2" xfId="3357"/>
    <cellStyle name="Dziesiętny [0]_Invoices2001Slovakia_TDT KHANH HOA 2" xfId="3358"/>
    <cellStyle name="Dziesietny [0]_Invoices2001Slovakia_TDT KHANH HOA 3" xfId="3359"/>
    <cellStyle name="Dziesiętny [0]_Invoices2001Slovakia_TDT KHANH HOA 3" xfId="3360"/>
    <cellStyle name="Dziesietny [0]_Invoices2001Slovakia_TDT KHANH HOA 4" xfId="3361"/>
    <cellStyle name="Dziesiętny [0]_Invoices2001Slovakia_TDT KHANH HOA 4" xfId="3362"/>
    <cellStyle name="Dziesietny [0]_Invoices2001Slovakia_TDT KHANH HOA 5" xfId="3363"/>
    <cellStyle name="Dziesiętny [0]_Invoices2001Slovakia_TDT KHANH HOA 5" xfId="3364"/>
    <cellStyle name="Dziesietny [0]_Invoices2001Slovakia_TDT KHANH HOA_bao_cao_TH_th_cong_tac_dau_thau_-_ngay251209" xfId="3365"/>
    <cellStyle name="Dziesiętny [0]_Invoices2001Slovakia_TDT KHANH HOA_bao_cao_TH_th_cong_tac_dau_thau_-_ngay251209" xfId="3366"/>
    <cellStyle name="Dziesietny [0]_Invoices2001Slovakia_TDT KHANH HOA_bao_cao_TH_th_cong_tac_dau_thau_-_ngay251209 2" xfId="3367"/>
    <cellStyle name="Dziesiętny [0]_Invoices2001Slovakia_TDT KHANH HOA_bao_cao_TH_th_cong_tac_dau_thau_-_ngay251209 2" xfId="3368"/>
    <cellStyle name="Dziesietny [0]_Invoices2001Slovakia_TDT KHANH HOA_Bieu chi tieu KH 2014 (Huy-04-11)" xfId="3369"/>
    <cellStyle name="Dziesiętny [0]_Invoices2001Slovakia_TDT KHANH HOA_Bieu chi tieu KH 2014 (Huy-04-11)" xfId="3370"/>
    <cellStyle name="Dziesietny [0]_Invoices2001Slovakia_TDT KHANH HOA_bieu ke hoach dau thau" xfId="3371"/>
    <cellStyle name="Dziesiętny [0]_Invoices2001Slovakia_TDT KHANH HOA_bieu ke hoach dau thau" xfId="3372"/>
    <cellStyle name="Dziesietny [0]_Invoices2001Slovakia_TDT KHANH HOA_bieu ke hoach dau thau 2" xfId="3373"/>
    <cellStyle name="Dziesiętny [0]_Invoices2001Slovakia_TDT KHANH HOA_bieu ke hoach dau thau 2" xfId="3374"/>
    <cellStyle name="Dziesietny [0]_Invoices2001Slovakia_TDT KHANH HOA_bieu ke hoach dau thau truong mam non SKH" xfId="3375"/>
    <cellStyle name="Dziesiętny [0]_Invoices2001Slovakia_TDT KHANH HOA_bieu ke hoach dau thau truong mam non SKH" xfId="3376"/>
    <cellStyle name="Dziesietny [0]_Invoices2001Slovakia_TDT KHANH HOA_bieu ke hoach dau thau truong mam non SKH 2" xfId="3377"/>
    <cellStyle name="Dziesiętny [0]_Invoices2001Slovakia_TDT KHANH HOA_bieu ke hoach dau thau truong mam non SKH 2" xfId="3378"/>
    <cellStyle name="Dziesietny [0]_Invoices2001Slovakia_TDT KHANH HOA_bieu tong hop lai kh von 2011 gui phong TH-KTDN" xfId="3379"/>
    <cellStyle name="Dziesiętny [0]_Invoices2001Slovakia_TDT KHANH HOA_bieu tong hop lai kh von 2011 gui phong TH-KTDN" xfId="3380"/>
    <cellStyle name="Dziesietny [0]_Invoices2001Slovakia_TDT KHANH HOA_bieu tong hop lai kh von 2011 gui phong TH-KTDN 2" xfId="3381"/>
    <cellStyle name="Dziesiętny [0]_Invoices2001Slovakia_TDT KHANH HOA_bieu tong hop lai kh von 2011 gui phong TH-KTDN 2" xfId="3382"/>
    <cellStyle name="Dziesietny [0]_Invoices2001Slovakia_TDT KHANH HOA_bieu tong hop lai kh von 2011 gui phong TH-KTDN 2 2" xfId="3383"/>
    <cellStyle name="Dziesiętny [0]_Invoices2001Slovakia_TDT KHANH HOA_bieu tong hop lai kh von 2011 gui phong TH-KTDN 2 2" xfId="3384"/>
    <cellStyle name="Dziesietny [0]_Invoices2001Slovakia_TDT KHANH HOA_bieu tong hop lai kh von 2011 gui phong TH-KTDN 3" xfId="3385"/>
    <cellStyle name="Dziesiętny [0]_Invoices2001Slovakia_TDT KHANH HOA_bieu tong hop lai kh von 2011 gui phong TH-KTDN 3" xfId="3386"/>
    <cellStyle name="Dziesietny [0]_Invoices2001Slovakia_TDT KHANH HOA_bieu tong hop lai kh von 2011 gui phong TH-KTDN 3 2" xfId="3387"/>
    <cellStyle name="Dziesiętny [0]_Invoices2001Slovakia_TDT KHANH HOA_bieu tong hop lai kh von 2011 gui phong TH-KTDN 3 2" xfId="3388"/>
    <cellStyle name="Dziesietny [0]_Invoices2001Slovakia_TDT KHANH HOA_bieu tong hop lai kh von 2011 gui phong TH-KTDN 4" xfId="3389"/>
    <cellStyle name="Dziesiętny [0]_Invoices2001Slovakia_TDT KHANH HOA_bieu tong hop lai kh von 2011 gui phong TH-KTDN 4" xfId="3390"/>
    <cellStyle name="Dziesietny [0]_Invoices2001Slovakia_TDT KHANH HOA_bieu tong hop lai kh von 2011 gui phong TH-KTDN_BIEU KE HOACH  2015 (KTN 6.11 sua)" xfId="3391"/>
    <cellStyle name="Dziesiętny [0]_Invoices2001Slovakia_TDT KHANH HOA_bieu tong hop lai kh von 2011 gui phong TH-KTDN_BIEU KE HOACH  2015 (KTN 6.11 sua)" xfId="3392"/>
    <cellStyle name="Dziesietny [0]_Invoices2001Slovakia_TDT KHANH HOA_Book1" xfId="3393"/>
    <cellStyle name="Dziesiętny [0]_Invoices2001Slovakia_TDT KHANH HOA_Book1" xfId="3394"/>
    <cellStyle name="Dziesietny [0]_Invoices2001Slovakia_TDT KHANH HOA_Book1 2" xfId="3395"/>
    <cellStyle name="Dziesiętny [0]_Invoices2001Slovakia_TDT KHANH HOA_Book1 2" xfId="3396"/>
    <cellStyle name="Dziesietny [0]_Invoices2001Slovakia_TDT KHANH HOA_Book1_1" xfId="3397"/>
    <cellStyle name="Dziesiętny [0]_Invoices2001Slovakia_TDT KHANH HOA_Book1_1" xfId="3398"/>
    <cellStyle name="Dziesietny [0]_Invoices2001Slovakia_TDT KHANH HOA_Book1_1 2" xfId="3399"/>
    <cellStyle name="Dziesiętny [0]_Invoices2001Slovakia_TDT KHANH HOA_Book1_1 2" xfId="3400"/>
    <cellStyle name="Dziesietny [0]_Invoices2001Slovakia_TDT KHANH HOA_Book1_1_ke hoach dau thau 30-6-2010" xfId="3401"/>
    <cellStyle name="Dziesiętny [0]_Invoices2001Slovakia_TDT KHANH HOA_Book1_1_ke hoach dau thau 30-6-2010" xfId="3402"/>
    <cellStyle name="Dziesietny [0]_Invoices2001Slovakia_TDT KHANH HOA_Book1_1_ke hoach dau thau 30-6-2010 2" xfId="3403"/>
    <cellStyle name="Dziesiętny [0]_Invoices2001Slovakia_TDT KHANH HOA_Book1_1_ke hoach dau thau 30-6-2010 2" xfId="3404"/>
    <cellStyle name="Dziesietny [0]_Invoices2001Slovakia_TDT KHANH HOA_Book1_2" xfId="3405"/>
    <cellStyle name="Dziesiętny [0]_Invoices2001Slovakia_TDT KHANH HOA_Book1_2" xfId="3406"/>
    <cellStyle name="Dziesietny [0]_Invoices2001Slovakia_TDT KHANH HOA_Book1_2 2" xfId="3407"/>
    <cellStyle name="Dziesiętny [0]_Invoices2001Slovakia_TDT KHANH HOA_Book1_2 2" xfId="3408"/>
    <cellStyle name="Dziesietny [0]_Invoices2001Slovakia_TDT KHANH HOA_Book1_Book1" xfId="3409"/>
    <cellStyle name="Dziesiętny [0]_Invoices2001Slovakia_TDT KHANH HOA_Book1_Book1" xfId="3410"/>
    <cellStyle name="Dziesietny [0]_Invoices2001Slovakia_TDT KHANH HOA_Book1_Book1 2" xfId="3411"/>
    <cellStyle name="Dziesiętny [0]_Invoices2001Slovakia_TDT KHANH HOA_Book1_Book1 2" xfId="3412"/>
    <cellStyle name="Dziesietny [0]_Invoices2001Slovakia_TDT KHANH HOA_Book1_DTTD chieng chan Tham lai 29-9-2009" xfId="3413"/>
    <cellStyle name="Dziesiętny [0]_Invoices2001Slovakia_TDT KHANH HOA_Book1_DTTD chieng chan Tham lai 29-9-2009" xfId="3414"/>
    <cellStyle name="Dziesietny [0]_Invoices2001Slovakia_TDT KHANH HOA_Book1_DTTD chieng chan Tham lai 29-9-2009 2" xfId="3415"/>
    <cellStyle name="Dziesiętny [0]_Invoices2001Slovakia_TDT KHANH HOA_Book1_DTTD chieng chan Tham lai 29-9-2009 2" xfId="3416"/>
    <cellStyle name="Dziesietny [0]_Invoices2001Slovakia_TDT KHANH HOA_Book1_Ke hoach 2010 (theo doi 11-8-2010)" xfId="3417"/>
    <cellStyle name="Dziesiętny [0]_Invoices2001Slovakia_TDT KHANH HOA_Book1_Ke hoach 2010 (theo doi 11-8-2010)" xfId="3418"/>
    <cellStyle name="Dziesietny [0]_Invoices2001Slovakia_TDT KHANH HOA_Book1_Ke hoach 2010 (theo doi 11-8-2010) 2" xfId="3419"/>
    <cellStyle name="Dziesiętny [0]_Invoices2001Slovakia_TDT KHANH HOA_Book1_Ke hoach 2010 (theo doi 11-8-2010) 2" xfId="3420"/>
    <cellStyle name="Dziesietny [0]_Invoices2001Slovakia_TDT KHANH HOA_Book1_ke hoach dau thau 30-6-2010" xfId="3421"/>
    <cellStyle name="Dziesiętny [0]_Invoices2001Slovakia_TDT KHANH HOA_Book1_ke hoach dau thau 30-6-2010" xfId="3422"/>
    <cellStyle name="Dziesietny [0]_Invoices2001Slovakia_TDT KHANH HOA_Book1_ke hoach dau thau 30-6-2010 2" xfId="3423"/>
    <cellStyle name="Dziesiętny [0]_Invoices2001Slovakia_TDT KHANH HOA_Book1_ke hoach dau thau 30-6-2010 2" xfId="3424"/>
    <cellStyle name="Dziesietny [0]_Invoices2001Slovakia_TDT KHANH HOA_Book1_ke hoach dau thau 30-6-2010 2 2" xfId="3425"/>
    <cellStyle name="Dziesiętny [0]_Invoices2001Slovakia_TDT KHANH HOA_Book1_ke hoach dau thau 30-6-2010 2 2" xfId="3426"/>
    <cellStyle name="Dziesietny [0]_Invoices2001Slovakia_TDT KHANH HOA_Book1_ke hoach dau thau 30-6-2010 3" xfId="3427"/>
    <cellStyle name="Dziesiętny [0]_Invoices2001Slovakia_TDT KHANH HOA_Book1_ke hoach dau thau 30-6-2010 3" xfId="3428"/>
    <cellStyle name="Dziesietny [0]_Invoices2001Slovakia_TDT KHANH HOA_Book1_ke hoach dau thau 30-6-2010 3 2" xfId="3429"/>
    <cellStyle name="Dziesiętny [0]_Invoices2001Slovakia_TDT KHANH HOA_Book1_ke hoach dau thau 30-6-2010 3 2" xfId="3430"/>
    <cellStyle name="Dziesietny [0]_Invoices2001Slovakia_TDT KHANH HOA_Book1_ke hoach dau thau 30-6-2010 4" xfId="3431"/>
    <cellStyle name="Dziesiętny [0]_Invoices2001Slovakia_TDT KHANH HOA_Book1_ke hoach dau thau 30-6-2010 4" xfId="3432"/>
    <cellStyle name="Dziesietny [0]_Invoices2001Slovakia_TDT KHANH HOA_Book1_ke hoach dau thau 30-6-2010_BIEU KE HOACH  2015 (KTN 6.11 sua)" xfId="3433"/>
    <cellStyle name="Dziesiętny [0]_Invoices2001Slovakia_TDT KHANH HOA_Book1_ke hoach dau thau 30-6-2010_BIEU KE HOACH  2015 (KTN 6.11 sua)" xfId="3434"/>
    <cellStyle name="Dziesietny [0]_Invoices2001Slovakia_TDT KHANH HOA_Book1_KH Von 2012 gui BKH 1" xfId="3435"/>
    <cellStyle name="Dziesiętny [0]_Invoices2001Slovakia_TDT KHANH HOA_Book1_KH Von 2012 gui BKH 1" xfId="3436"/>
    <cellStyle name="Dziesietny [0]_Invoices2001Slovakia_TDT KHANH HOA_Book1_KH Von 2012 gui BKH 1 2" xfId="3437"/>
    <cellStyle name="Dziesiętny [0]_Invoices2001Slovakia_TDT KHANH HOA_Book1_KH Von 2012 gui BKH 1 2" xfId="3438"/>
    <cellStyle name="Dziesietny [0]_Invoices2001Slovakia_TDT KHANH HOA_Book1_KH Von 2012 gui BKH 2" xfId="3439"/>
    <cellStyle name="Dziesiętny [0]_Invoices2001Slovakia_TDT KHANH HOA_Book1_KH Von 2012 gui BKH 2" xfId="3440"/>
    <cellStyle name="Dziesietny [0]_Invoices2001Slovakia_TDT KHANH HOA_Book1_KH Von 2012 gui BKH 2 2" xfId="3441"/>
    <cellStyle name="Dziesiętny [0]_Invoices2001Slovakia_TDT KHANH HOA_Book1_KH Von 2012 gui BKH 2 2" xfId="3442"/>
    <cellStyle name="Dziesietny [0]_Invoices2001Slovakia_TDT KHANH HOA_Copy of KH PHAN BO VON ĐỐI ỨNG NAM 2011 (30 TY phuong án gop WB)" xfId="3447"/>
    <cellStyle name="Dziesiętny [0]_Invoices2001Slovakia_TDT KHANH HOA_Copy of KH PHAN BO VON ĐỐI ỨNG NAM 2011 (30 TY phuong án gop WB)" xfId="3448"/>
    <cellStyle name="Dziesietny [0]_Invoices2001Slovakia_TDT KHANH HOA_Copy of KH PHAN BO VON ĐỐI ỨNG NAM 2011 (30 TY phuong án gop WB) 2" xfId="3449"/>
    <cellStyle name="Dziesiętny [0]_Invoices2001Slovakia_TDT KHANH HOA_Copy of KH PHAN BO VON ĐỐI ỨNG NAM 2011 (30 TY phuong án gop WB) 2" xfId="3450"/>
    <cellStyle name="Dziesietny [0]_Invoices2001Slovakia_TDT KHANH HOA_Copy of KH PHAN BO VON ĐỐI ỨNG NAM 2011 (30 TY phuong án gop WB) 2 2" xfId="3451"/>
    <cellStyle name="Dziesiętny [0]_Invoices2001Slovakia_TDT KHANH HOA_Copy of KH PHAN BO VON ĐỐI ỨNG NAM 2011 (30 TY phuong án gop WB) 2 2" xfId="3452"/>
    <cellStyle name="Dziesietny [0]_Invoices2001Slovakia_TDT KHANH HOA_Copy of KH PHAN BO VON ĐỐI ỨNG NAM 2011 (30 TY phuong án gop WB) 3" xfId="3453"/>
    <cellStyle name="Dziesiętny [0]_Invoices2001Slovakia_TDT KHANH HOA_Copy of KH PHAN BO VON ĐỐI ỨNG NAM 2011 (30 TY phuong án gop WB) 3" xfId="3454"/>
    <cellStyle name="Dziesietny [0]_Invoices2001Slovakia_TDT KHANH HOA_Copy of KH PHAN BO VON ĐỐI ỨNG NAM 2011 (30 TY phuong án gop WB) 3 2" xfId="3455"/>
    <cellStyle name="Dziesiętny [0]_Invoices2001Slovakia_TDT KHANH HOA_Copy of KH PHAN BO VON ĐỐI ỨNG NAM 2011 (30 TY phuong án gop WB) 3 2" xfId="3456"/>
    <cellStyle name="Dziesietny [0]_Invoices2001Slovakia_TDT KHANH HOA_Copy of KH PHAN BO VON ĐỐI ỨNG NAM 2011 (30 TY phuong án gop WB) 4" xfId="3457"/>
    <cellStyle name="Dziesiętny [0]_Invoices2001Slovakia_TDT KHANH HOA_Copy of KH PHAN BO VON ĐỐI ỨNG NAM 2011 (30 TY phuong án gop WB) 4" xfId="3458"/>
    <cellStyle name="Dziesietny [0]_Invoices2001Slovakia_TDT KHANH HOA_Copy of KH PHAN BO VON ĐỐI ỨNG NAM 2011 (30 TY phuong án gop WB)_BIEU KE HOACH  2015 (KTN 6.11 sua)" xfId="3459"/>
    <cellStyle name="Dziesiętny [0]_Invoices2001Slovakia_TDT KHANH HOA_Copy of KH PHAN BO VON ĐỐI ỨNG NAM 2011 (30 TY phuong án gop WB)_BIEU KE HOACH  2015 (KTN 6.11 sua)" xfId="3460"/>
    <cellStyle name="Dziesietny [0]_Invoices2001Slovakia_TDT KHANH HOA_Chi tieu KH nam 2009" xfId="3443"/>
    <cellStyle name="Dziesiętny [0]_Invoices2001Slovakia_TDT KHANH HOA_Chi tieu KH nam 2009" xfId="3444"/>
    <cellStyle name="Dziesietny [0]_Invoices2001Slovakia_TDT KHANH HOA_Chi tieu KH nam 2009 2" xfId="3445"/>
    <cellStyle name="Dziesiętny [0]_Invoices2001Slovakia_TDT KHANH HOA_Chi tieu KH nam 2009 2" xfId="3446"/>
    <cellStyle name="Dziesietny [0]_Invoices2001Slovakia_TDT KHANH HOA_Danh Mục KCM trinh BKH 2011 (BS 30A)" xfId="3461"/>
    <cellStyle name="Dziesiętny [0]_Invoices2001Slovakia_TDT KHANH HOA_Danh Mục KCM trinh BKH 2011 (BS 30A)" xfId="3462"/>
    <cellStyle name="Dziesietny [0]_Invoices2001Slovakia_TDT KHANH HOA_Danh Mục KCM trinh BKH 2011 (BS 30A) 2" xfId="3463"/>
    <cellStyle name="Dziesiętny [0]_Invoices2001Slovakia_TDT KHANH HOA_Danh Mục KCM trinh BKH 2011 (BS 30A) 2" xfId="3464"/>
    <cellStyle name="Dziesietny [0]_Invoices2001Slovakia_TDT KHANH HOA_DT 1751 Muong Khoa" xfId="3465"/>
    <cellStyle name="Dziesiętny [0]_Invoices2001Slovakia_TDT KHANH HOA_DT 1751 Muong Khoa" xfId="3466"/>
    <cellStyle name="Dziesietny [0]_Invoices2001Slovakia_TDT KHANH HOA_DT 1751 Muong Khoa 2" xfId="3467"/>
    <cellStyle name="Dziesiętny [0]_Invoices2001Slovakia_TDT KHANH HOA_DT 1751 Muong Khoa 2" xfId="3468"/>
    <cellStyle name="Dziesietny [0]_Invoices2001Slovakia_TDT KHANH HOA_DT tieu hoc diem TDC ban Cho 28-02-09" xfId="3469"/>
    <cellStyle name="Dziesiętny [0]_Invoices2001Slovakia_TDT KHANH HOA_DT tieu hoc diem TDC ban Cho 28-02-09" xfId="3470"/>
    <cellStyle name="Dziesietny [0]_Invoices2001Slovakia_TDT KHANH HOA_DT tieu hoc diem TDC ban Cho 28-02-09 2" xfId="3471"/>
    <cellStyle name="Dziesiętny [0]_Invoices2001Slovakia_TDT KHANH HOA_DT tieu hoc diem TDC ban Cho 28-02-09 2" xfId="3472"/>
    <cellStyle name="Dziesietny [0]_Invoices2001Slovakia_TDT KHANH HOA_DTTD chieng chan Tham lai 29-9-2009" xfId="3473"/>
    <cellStyle name="Dziesiętny [0]_Invoices2001Slovakia_TDT KHANH HOA_DTTD chieng chan Tham lai 29-9-2009" xfId="3474"/>
    <cellStyle name="Dziesietny [0]_Invoices2001Slovakia_TDT KHANH HOA_DTTD chieng chan Tham lai 29-9-2009 2" xfId="3475"/>
    <cellStyle name="Dziesiętny [0]_Invoices2001Slovakia_TDT KHANH HOA_DTTD chieng chan Tham lai 29-9-2009 2" xfId="3476"/>
    <cellStyle name="Dziesietny [0]_Invoices2001Slovakia_TDT KHANH HOA_DTTD chieng chan Tham lai 29-9-2009 2 2" xfId="3477"/>
    <cellStyle name="Dziesiętny [0]_Invoices2001Slovakia_TDT KHANH HOA_DTTD chieng chan Tham lai 29-9-2009 2 2" xfId="3478"/>
    <cellStyle name="Dziesietny [0]_Invoices2001Slovakia_TDT KHANH HOA_DTTD chieng chan Tham lai 29-9-2009 3" xfId="3479"/>
    <cellStyle name="Dziesiętny [0]_Invoices2001Slovakia_TDT KHANH HOA_DTTD chieng chan Tham lai 29-9-2009 3" xfId="3480"/>
    <cellStyle name="Dziesietny [0]_Invoices2001Slovakia_TDT KHANH HOA_DTTD chieng chan Tham lai 29-9-2009 3 2" xfId="3481"/>
    <cellStyle name="Dziesiętny [0]_Invoices2001Slovakia_TDT KHANH HOA_DTTD chieng chan Tham lai 29-9-2009 3 2" xfId="3482"/>
    <cellStyle name="Dziesietny [0]_Invoices2001Slovakia_TDT KHANH HOA_DTTD chieng chan Tham lai 29-9-2009 4" xfId="3483"/>
    <cellStyle name="Dziesiętny [0]_Invoices2001Slovakia_TDT KHANH HOA_DTTD chieng chan Tham lai 29-9-2009 4" xfId="3484"/>
    <cellStyle name="Dziesietny [0]_Invoices2001Slovakia_TDT KHANH HOA_DTTD chieng chan Tham lai 29-9-2009_BIEU KE HOACH  2015 (KTN 6.11 sua)" xfId="3485"/>
    <cellStyle name="Dziesiętny [0]_Invoices2001Slovakia_TDT KHANH HOA_DTTD chieng chan Tham lai 29-9-2009_BIEU KE HOACH  2015 (KTN 6.11 sua)" xfId="3486"/>
    <cellStyle name="Dziesietny [0]_Invoices2001Slovakia_TDT KHANH HOA_Du toan nuoc San Thang (GD2)" xfId="3487"/>
    <cellStyle name="Dziesiętny [0]_Invoices2001Slovakia_TDT KHANH HOA_Du toan nuoc San Thang (GD2)" xfId="3488"/>
    <cellStyle name="Dziesietny [0]_Invoices2001Slovakia_TDT KHANH HOA_Du toan nuoc San Thang (GD2) 2" xfId="3489"/>
    <cellStyle name="Dziesiętny [0]_Invoices2001Slovakia_TDT KHANH HOA_Du toan nuoc San Thang (GD2) 2" xfId="3490"/>
    <cellStyle name="Dziesietny [0]_Invoices2001Slovakia_TDT KHANH HOA_GVL" xfId="3491"/>
    <cellStyle name="Dziesiętny [0]_Invoices2001Slovakia_TDT KHANH HOA_GVL" xfId="3492"/>
    <cellStyle name="Dziesietny [0]_Invoices2001Slovakia_TDT KHANH HOA_GVL 2" xfId="3493"/>
    <cellStyle name="Dziesiętny [0]_Invoices2001Slovakia_TDT KHANH HOA_GVL 2" xfId="3494"/>
    <cellStyle name="Dziesietny [0]_Invoices2001Slovakia_TDT KHANH HOA_GVL 2 2" xfId="3495"/>
    <cellStyle name="Dziesiętny [0]_Invoices2001Slovakia_TDT KHANH HOA_GVL 2 2" xfId="3496"/>
    <cellStyle name="Dziesietny [0]_Invoices2001Slovakia_TDT KHANH HOA_GVL 3" xfId="3497"/>
    <cellStyle name="Dziesiętny [0]_Invoices2001Slovakia_TDT KHANH HOA_GVL 3" xfId="3498"/>
    <cellStyle name="Dziesietny [0]_Invoices2001Slovakia_TDT KHANH HOA_GVL 3 2" xfId="3499"/>
    <cellStyle name="Dziesiętny [0]_Invoices2001Slovakia_TDT KHANH HOA_GVL 3 2" xfId="3500"/>
    <cellStyle name="Dziesietny [0]_Invoices2001Slovakia_TDT KHANH HOA_GVL 4" xfId="3501"/>
    <cellStyle name="Dziesiętny [0]_Invoices2001Slovakia_TDT KHANH HOA_GVL 4" xfId="3502"/>
    <cellStyle name="Dziesietny [0]_Invoices2001Slovakia_TDT KHANH HOA_GVL_BIEU KE HOACH  2015 (KTN 6.11 sua)" xfId="3503"/>
    <cellStyle name="Dziesiętny [0]_Invoices2001Slovakia_TDT KHANH HOA_GVL_BIEU KE HOACH  2015 (KTN 6.11 sua)" xfId="3504"/>
    <cellStyle name="Dziesietny [0]_Invoices2001Slovakia_TDT KHANH HOA_ke hoach dau thau 30-6-2010" xfId="3505"/>
    <cellStyle name="Dziesiętny [0]_Invoices2001Slovakia_TDT KHANH HOA_ke hoach dau thau 30-6-2010" xfId="3506"/>
    <cellStyle name="Dziesietny [0]_Invoices2001Slovakia_TDT KHANH HOA_ke hoach dau thau 30-6-2010 2" xfId="3507"/>
    <cellStyle name="Dziesiętny [0]_Invoices2001Slovakia_TDT KHANH HOA_ke hoach dau thau 30-6-2010 2" xfId="3508"/>
    <cellStyle name="Dziesietny [0]_Invoices2001Slovakia_TDT KHANH HOA_KH Von 2012 gui BKH 1" xfId="3509"/>
    <cellStyle name="Dziesiętny [0]_Invoices2001Slovakia_TDT KHANH HOA_KH Von 2012 gui BKH 1" xfId="3510"/>
    <cellStyle name="Dziesietny [0]_Invoices2001Slovakia_TDT KHANH HOA_KH Von 2012 gui BKH 1 2" xfId="3511"/>
    <cellStyle name="Dziesiętny [0]_Invoices2001Slovakia_TDT KHANH HOA_KH Von 2012 gui BKH 1 2" xfId="3512"/>
    <cellStyle name="Dziesietny [0]_Invoices2001Slovakia_TDT KHANH HOA_KH Von 2012 gui BKH 1 2 2" xfId="3513"/>
    <cellStyle name="Dziesiętny [0]_Invoices2001Slovakia_TDT KHANH HOA_KH Von 2012 gui BKH 1 2 2" xfId="3514"/>
    <cellStyle name="Dziesietny [0]_Invoices2001Slovakia_TDT KHANH HOA_KH Von 2012 gui BKH 1 3" xfId="3515"/>
    <cellStyle name="Dziesiętny [0]_Invoices2001Slovakia_TDT KHANH HOA_KH Von 2012 gui BKH 1 3" xfId="3516"/>
    <cellStyle name="Dziesietny [0]_Invoices2001Slovakia_TDT KHANH HOA_KH Von 2012 gui BKH 1 3 2" xfId="3517"/>
    <cellStyle name="Dziesiętny [0]_Invoices2001Slovakia_TDT KHANH HOA_KH Von 2012 gui BKH 1 3 2" xfId="3518"/>
    <cellStyle name="Dziesietny [0]_Invoices2001Slovakia_TDT KHANH HOA_KH Von 2012 gui BKH 1 4" xfId="3519"/>
    <cellStyle name="Dziesiętny [0]_Invoices2001Slovakia_TDT KHANH HOA_KH Von 2012 gui BKH 1 4" xfId="3520"/>
    <cellStyle name="Dziesietny [0]_Invoices2001Slovakia_TDT KHANH HOA_KH Von 2012 gui BKH 1_BIEU KE HOACH  2015 (KTN 6.11 sua)" xfId="3521"/>
    <cellStyle name="Dziesiętny [0]_Invoices2001Slovakia_TDT KHANH HOA_KH Von 2012 gui BKH 1_BIEU KE HOACH  2015 (KTN 6.11 sua)" xfId="3522"/>
    <cellStyle name="Dziesietny [0]_Invoices2001Slovakia_TDT KHANH HOA_Phan pha do" xfId="3523"/>
    <cellStyle name="Dziesiętny [0]_Invoices2001Slovakia_TDT KHANH HOA_Phan pha do" xfId="3524"/>
    <cellStyle name="Dziesietny [0]_Invoices2001Slovakia_TDT KHANH HOA_Phan pha do 2" xfId="3525"/>
    <cellStyle name="Dziesiętny [0]_Invoices2001Slovakia_TDT KHANH HOA_Phan pha do 2" xfId="3526"/>
    <cellStyle name="Dziesietny [0]_Invoices2001Slovakia_TDT KHANH HOA_QD ke hoach dau thau" xfId="3527"/>
    <cellStyle name="Dziesiętny [0]_Invoices2001Slovakia_TDT KHANH HOA_QD ke hoach dau thau" xfId="3528"/>
    <cellStyle name="Dziesietny [0]_Invoices2001Slovakia_TDT KHANH HOA_QD ke hoach dau thau 2" xfId="3529"/>
    <cellStyle name="Dziesiętny [0]_Invoices2001Slovakia_TDT KHANH HOA_QD ke hoach dau thau 2" xfId="3530"/>
    <cellStyle name="Dziesietny [0]_Invoices2001Slovakia_TDT KHANH HOA_Ra soat KH von 2011 (Huy-11-11-11)" xfId="3531"/>
    <cellStyle name="Dziesiętny [0]_Invoices2001Slovakia_TDT KHANH HOA_Ra soat KH von 2011 (Huy-11-11-11)" xfId="3532"/>
    <cellStyle name="Dziesietny [0]_Invoices2001Slovakia_TDT KHANH HOA_Ra soat KH von 2011 (Huy-11-11-11) 2" xfId="3533"/>
    <cellStyle name="Dziesiętny [0]_Invoices2001Slovakia_TDT KHANH HOA_Ra soat KH von 2011 (Huy-11-11-11) 2" xfId="3534"/>
    <cellStyle name="Dziesietny [0]_Invoices2001Slovakia_TDT KHANH HOA_Sheet2" xfId="3535"/>
    <cellStyle name="Dziesiętny [0]_Invoices2001Slovakia_TDT KHANH HOA_Sheet2" xfId="3536"/>
    <cellStyle name="Dziesietny [0]_Invoices2001Slovakia_TDT KHANH HOA_Sheet2 2" xfId="3537"/>
    <cellStyle name="Dziesiętny [0]_Invoices2001Slovakia_TDT KHANH HOA_Sheet2 2" xfId="3538"/>
    <cellStyle name="Dziesietny [0]_Invoices2001Slovakia_TDT KHANH HOA_Tienluong" xfId="3543"/>
    <cellStyle name="Dziesiętny [0]_Invoices2001Slovakia_TDT KHANH HOA_Tienluong" xfId="3544"/>
    <cellStyle name="Dziesietny [0]_Invoices2001Slovakia_TDT KHANH HOA_Tienluong 2" xfId="3545"/>
    <cellStyle name="Dziesiętny [0]_Invoices2001Slovakia_TDT KHANH HOA_Tienluong 2" xfId="3546"/>
    <cellStyle name="Dziesietny [0]_Invoices2001Slovakia_TDT KHANH HOA_tinh toan hoang ha" xfId="3547"/>
    <cellStyle name="Dziesiętny [0]_Invoices2001Slovakia_TDT KHANH HOA_tinh toan hoang ha" xfId="3548"/>
    <cellStyle name="Dziesietny [0]_Invoices2001Slovakia_TDT KHANH HOA_tinh toan hoang ha 2" xfId="3549"/>
    <cellStyle name="Dziesiętny [0]_Invoices2001Slovakia_TDT KHANH HOA_tinh toan hoang ha 2" xfId="3550"/>
    <cellStyle name="Dziesietny [0]_Invoices2001Slovakia_TDT KHANH HOA_Tong hop Cac tuyen(9-1-06)" xfId="3551"/>
    <cellStyle name="Dziesiętny [0]_Invoices2001Slovakia_TDT KHANH HOA_Tong hop Cac tuyen(9-1-06)" xfId="3552"/>
    <cellStyle name="Dziesietny [0]_Invoices2001Slovakia_TDT KHANH HOA_Tong hop Cac tuyen(9-1-06) 2" xfId="3553"/>
    <cellStyle name="Dziesiętny [0]_Invoices2001Slovakia_TDT KHANH HOA_Tong hop Cac tuyen(9-1-06) 2" xfId="3554"/>
    <cellStyle name="Dziesietny [0]_Invoices2001Slovakia_TDT KHANH HOA_Tong hop Cac tuyen(9-1-06)_bieu tong hop lai kh von 2011 gui phong TH-KTDN" xfId="3555"/>
    <cellStyle name="Dziesiętny [0]_Invoices2001Slovakia_TDT KHANH HOA_Tong hop Cac tuyen(9-1-06)_bieu tong hop lai kh von 2011 gui phong TH-KTDN" xfId="3556"/>
    <cellStyle name="Dziesietny [0]_Invoices2001Slovakia_TDT KHANH HOA_Tong hop Cac tuyen(9-1-06)_bieu tong hop lai kh von 2011 gui phong TH-KTDN 2" xfId="3557"/>
    <cellStyle name="Dziesiętny [0]_Invoices2001Slovakia_TDT KHANH HOA_Tong hop Cac tuyen(9-1-06)_bieu tong hop lai kh von 2011 gui phong TH-KTDN 2" xfId="3558"/>
    <cellStyle name="Dziesietny [0]_Invoices2001Slovakia_TDT KHANH HOA_Tong hop Cac tuyen(9-1-06)_Copy of KH PHAN BO VON ĐỐI ỨNG NAM 2011 (30 TY phuong án gop WB)" xfId="3559"/>
    <cellStyle name="Dziesiętny [0]_Invoices2001Slovakia_TDT KHANH HOA_Tong hop Cac tuyen(9-1-06)_Copy of KH PHAN BO VON ĐỐI ỨNG NAM 2011 (30 TY phuong án gop WB)" xfId="3560"/>
    <cellStyle name="Dziesietny [0]_Invoices2001Slovakia_TDT KHANH HOA_Tong hop Cac tuyen(9-1-06)_Copy of KH PHAN BO VON ĐỐI ỨNG NAM 2011 (30 TY phuong án gop WB) 2" xfId="3561"/>
    <cellStyle name="Dziesiętny [0]_Invoices2001Slovakia_TDT KHANH HOA_Tong hop Cac tuyen(9-1-06)_Copy of KH PHAN BO VON ĐỐI ỨNG NAM 2011 (30 TY phuong án gop WB) 2" xfId="3562"/>
    <cellStyle name="Dziesietny [0]_Invoices2001Slovakia_TDT KHANH HOA_Tong hop Cac tuyen(9-1-06)_Ke hoach 2010 (theo doi 11-8-2010)" xfId="3563"/>
    <cellStyle name="Dziesiętny [0]_Invoices2001Slovakia_TDT KHANH HOA_Tong hop Cac tuyen(9-1-06)_Ke hoach 2010 (theo doi 11-8-2010)" xfId="3564"/>
    <cellStyle name="Dziesietny [0]_Invoices2001Slovakia_TDT KHANH HOA_Tong hop Cac tuyen(9-1-06)_Ke hoach 2010 (theo doi 11-8-2010) 2" xfId="3565"/>
    <cellStyle name="Dziesiętny [0]_Invoices2001Slovakia_TDT KHANH HOA_Tong hop Cac tuyen(9-1-06)_Ke hoach 2010 (theo doi 11-8-2010) 2" xfId="3566"/>
    <cellStyle name="Dziesietny [0]_Invoices2001Slovakia_TDT KHANH HOA_Tong hop Cac tuyen(9-1-06)_KH Von 2012 gui BKH 1" xfId="3567"/>
    <cellStyle name="Dziesiętny [0]_Invoices2001Slovakia_TDT KHANH HOA_Tong hop Cac tuyen(9-1-06)_KH Von 2012 gui BKH 1" xfId="3568"/>
    <cellStyle name="Dziesietny [0]_Invoices2001Slovakia_TDT KHANH HOA_Tong hop Cac tuyen(9-1-06)_KH Von 2012 gui BKH 1 2" xfId="3569"/>
    <cellStyle name="Dziesiętny [0]_Invoices2001Slovakia_TDT KHANH HOA_Tong hop Cac tuyen(9-1-06)_KH Von 2012 gui BKH 1 2" xfId="3570"/>
    <cellStyle name="Dziesietny [0]_Invoices2001Slovakia_TDT KHANH HOA_Tong hop Cac tuyen(9-1-06)_QD ke hoach dau thau" xfId="3571"/>
    <cellStyle name="Dziesiętny [0]_Invoices2001Slovakia_TDT KHANH HOA_Tong hop Cac tuyen(9-1-06)_QD ke hoach dau thau" xfId="3572"/>
    <cellStyle name="Dziesietny [0]_Invoices2001Slovakia_TDT KHANH HOA_Tong hop Cac tuyen(9-1-06)_QD ke hoach dau thau 2" xfId="3573"/>
    <cellStyle name="Dziesiętny [0]_Invoices2001Slovakia_TDT KHANH HOA_Tong hop Cac tuyen(9-1-06)_QD ke hoach dau thau 2" xfId="3574"/>
    <cellStyle name="Dziesietny [0]_Invoices2001Slovakia_TDT KHANH HOA_Tong hop Cac tuyen(9-1-06)_Tong von ĐTPT" xfId="3575"/>
    <cellStyle name="Dziesiętny [0]_Invoices2001Slovakia_TDT KHANH HOA_Tong hop Cac tuyen(9-1-06)_Tong von ĐTPT" xfId="3576"/>
    <cellStyle name="Dziesietny [0]_Invoices2001Slovakia_TDT KHANH HOA_Tong hop Cac tuyen(9-1-06)_Tong von ĐTPT 2" xfId="3577"/>
    <cellStyle name="Dziesiętny [0]_Invoices2001Slovakia_TDT KHANH HOA_Tong hop Cac tuyen(9-1-06)_Tong von ĐTPT 2" xfId="3578"/>
    <cellStyle name="Dziesietny [0]_Invoices2001Slovakia_TDT KHANH HOA_Tong von ĐTPT" xfId="3579"/>
    <cellStyle name="Dziesiętny [0]_Invoices2001Slovakia_TDT KHANH HOA_Tong von ĐTPT" xfId="3580"/>
    <cellStyle name="Dziesietny [0]_Invoices2001Slovakia_TDT KHANH HOA_Tong von ĐTPT 2" xfId="3581"/>
    <cellStyle name="Dziesiętny [0]_Invoices2001Slovakia_TDT KHANH HOA_Tong von ĐTPT 2" xfId="3582"/>
    <cellStyle name="Dziesietny [0]_Invoices2001Slovakia_TDT KHANH HOA_TU VAN THUY LOI THAM  PHE" xfId="3583"/>
    <cellStyle name="Dziesiętny [0]_Invoices2001Slovakia_TDT KHANH HOA_TU VAN THUY LOI THAM  PHE" xfId="3584"/>
    <cellStyle name="Dziesietny [0]_Invoices2001Slovakia_TDT KHANH HOA_TU VAN THUY LOI THAM  PHE 2" xfId="3585"/>
    <cellStyle name="Dziesiętny [0]_Invoices2001Slovakia_TDT KHANH HOA_TU VAN THUY LOI THAM  PHE 2" xfId="3586"/>
    <cellStyle name="Dziesietny [0]_Invoices2001Slovakia_TDT KHANH HOA_TH danh muc 08-09 den ngay 30-8-09" xfId="3539"/>
    <cellStyle name="Dziesiętny [0]_Invoices2001Slovakia_TDT KHANH HOA_TH danh muc 08-09 den ngay 30-8-09" xfId="3540"/>
    <cellStyle name="Dziesietny [0]_Invoices2001Slovakia_TDT KHANH HOA_TH danh muc 08-09 den ngay 30-8-09 2" xfId="3541"/>
    <cellStyle name="Dziesiętny [0]_Invoices2001Slovakia_TDT KHANH HOA_TH danh muc 08-09 den ngay 30-8-09 2" xfId="3542"/>
    <cellStyle name="Dziesietny [0]_Invoices2001Slovakia_TDT KHANH HOA_Viec Huy dang lam" xfId="3587"/>
    <cellStyle name="Dziesiętny [0]_Invoices2001Slovakia_TDT KHANH HOA_Viec Huy dang lam" xfId="3588"/>
    <cellStyle name="Dziesietny [0]_Invoices2001Slovakia_TDT quangngai" xfId="3589"/>
    <cellStyle name="Dziesiętny [0]_Invoices2001Slovakia_TDT quangngai" xfId="3590"/>
    <cellStyle name="Dziesietny [0]_Invoices2001Slovakia_TDT quangngai 2" xfId="3591"/>
    <cellStyle name="Dziesiętny [0]_Invoices2001Slovakia_TDT quangngai 2" xfId="3592"/>
    <cellStyle name="Dziesietny [0]_Invoices2001Slovakia_Tienluong" xfId="3601"/>
    <cellStyle name="Dziesiętny [0]_Invoices2001Slovakia_Tienluong" xfId="3602"/>
    <cellStyle name="Dziesietny [0]_Invoices2001Slovakia_Tienluong 2" xfId="3603"/>
    <cellStyle name="Dziesiętny [0]_Invoices2001Slovakia_Tienluong 2" xfId="3604"/>
    <cellStyle name="Dziesietny [0]_Invoices2001Slovakia_TMDT(10-5-06)" xfId="3605"/>
    <cellStyle name="Dziesiętny [0]_Invoices2001Slovakia_Tong von ĐTPT" xfId="3606"/>
    <cellStyle name="Dziesietny [0]_Invoices2001Slovakia_TH danh muc 08-09 den ngay 30-8-09" xfId="3593"/>
    <cellStyle name="Dziesiętny [0]_Invoices2001Slovakia_TH danh muc 08-09 den ngay 30-8-09" xfId="3594"/>
    <cellStyle name="Dziesietny [0]_Invoices2001Slovakia_TH danh muc 08-09 den ngay 30-8-09 2" xfId="3595"/>
    <cellStyle name="Dziesiętny [0]_Invoices2001Slovakia_TH danh muc 08-09 den ngay 30-8-09 2" xfId="3596"/>
    <cellStyle name="Dziesietny [0]_Invoices2001Slovakia_Tham dinh du toan mat doong - Ban cho moi21-5" xfId="3597"/>
    <cellStyle name="Dziesiętny [0]_Invoices2001Slovakia_Tham dinh du toan mat doong - Ban cho moi21-5" xfId="3598"/>
    <cellStyle name="Dziesietny [0]_Invoices2001Slovakia_Tham dinh du toan mat doong - Ban cho moi21-5 2" xfId="3599"/>
    <cellStyle name="Dziesiętny [0]_Invoices2001Slovakia_Tham dinh du toan mat doong - Ban cho moi21-5 2" xfId="3600"/>
    <cellStyle name="Dziesietny [0]_Invoices2001Slovakia_Viec Huy dang lam" xfId="3607"/>
    <cellStyle name="Dziesiętny [0]_Invoices2001Slovakia_Viec Huy dang lam" xfId="3608"/>
    <cellStyle name="Dziesietny_Invoices2001Slovakia" xfId="3609"/>
    <cellStyle name="Dziesiętny_Invoices2001Slovakia" xfId="3610"/>
    <cellStyle name="Dziesietny_Invoices2001Slovakia 2" xfId="3611"/>
    <cellStyle name="Dziesiętny_Invoices2001Slovakia 2" xfId="3612"/>
    <cellStyle name="Dziesietny_Invoices2001Slovakia 3" xfId="3613"/>
    <cellStyle name="Dziesiętny_Invoices2001Slovakia 3" xfId="3614"/>
    <cellStyle name="Dziesietny_Invoices2001Slovakia 4" xfId="3615"/>
    <cellStyle name="Dziesiętny_Invoices2001Slovakia 4" xfId="3616"/>
    <cellStyle name="Dziesietny_Invoices2001Slovakia 5" xfId="3617"/>
    <cellStyle name="Dziesiętny_Invoices2001Slovakia 5" xfId="3618"/>
    <cellStyle name="Dziesietny_Invoices2001Slovakia_01_Nha so 1_Dien" xfId="3619"/>
    <cellStyle name="Dziesiętny_Invoices2001Slovakia_01_Nha so 1_Dien" xfId="3620"/>
    <cellStyle name="Dziesietny_Invoices2001Slovakia_01_Nha so 1_Dien 2" xfId="3621"/>
    <cellStyle name="Dziesiętny_Invoices2001Slovakia_01_Nha so 1_Dien 2" xfId="3622"/>
    <cellStyle name="Dziesietny_Invoices2001Slovakia_01_Nha so 1_Dien 3" xfId="3623"/>
    <cellStyle name="Dziesiętny_Invoices2001Slovakia_01_Nha so 1_Dien 3" xfId="3624"/>
    <cellStyle name="Dziesietny_Invoices2001Slovakia_01_Nha so 1_Dien 4" xfId="3625"/>
    <cellStyle name="Dziesiętny_Invoices2001Slovakia_01_Nha so 1_Dien 4" xfId="3626"/>
    <cellStyle name="Dziesietny_Invoices2001Slovakia_01_Nha so 1_Dien 5" xfId="3627"/>
    <cellStyle name="Dziesiętny_Invoices2001Slovakia_01_Nha so 1_Dien 5" xfId="3628"/>
    <cellStyle name="Dziesietny_Invoices2001Slovakia_01_Nha so 1_Dien_Bao cao danh muc cac cong trinh tren dia ban huyen 4-2010" xfId="3629"/>
    <cellStyle name="Dziesiętny_Invoices2001Slovakia_01_Nha so 1_Dien_Bao cao danh muc cac cong trinh tren dia ban huyen 4-2010" xfId="3630"/>
    <cellStyle name="Dziesietny_Invoices2001Slovakia_01_Nha so 1_Dien_Bao cao danh muc cac cong trinh tren dia ban huyen 4-2010 2" xfId="3631"/>
    <cellStyle name="Dziesiętny_Invoices2001Slovakia_01_Nha so 1_Dien_Bao cao danh muc cac cong trinh tren dia ban huyen 4-2010 2" xfId="3632"/>
    <cellStyle name="Dziesietny_Invoices2001Slovakia_01_Nha so 1_Dien_bieu ke hoach dau thau" xfId="3633"/>
    <cellStyle name="Dziesiętny_Invoices2001Slovakia_01_Nha so 1_Dien_bieu ke hoach dau thau" xfId="3634"/>
    <cellStyle name="Dziesietny_Invoices2001Slovakia_01_Nha so 1_Dien_bieu ke hoach dau thau 2" xfId="3635"/>
    <cellStyle name="Dziesiętny_Invoices2001Slovakia_01_Nha so 1_Dien_bieu ke hoach dau thau 2" xfId="3636"/>
    <cellStyle name="Dziesietny_Invoices2001Slovakia_01_Nha so 1_Dien_bieu ke hoach dau thau 2 2" xfId="3637"/>
    <cellStyle name="Dziesiętny_Invoices2001Slovakia_01_Nha so 1_Dien_bieu ke hoach dau thau 2 2" xfId="3638"/>
    <cellStyle name="Dziesietny_Invoices2001Slovakia_01_Nha so 1_Dien_bieu ke hoach dau thau 3" xfId="3639"/>
    <cellStyle name="Dziesiętny_Invoices2001Slovakia_01_Nha so 1_Dien_bieu ke hoach dau thau 3" xfId="3640"/>
    <cellStyle name="Dziesietny_Invoices2001Slovakia_01_Nha so 1_Dien_bieu ke hoach dau thau 3 2" xfId="3641"/>
    <cellStyle name="Dziesiętny_Invoices2001Slovakia_01_Nha so 1_Dien_bieu ke hoach dau thau 3 2" xfId="3642"/>
    <cellStyle name="Dziesietny_Invoices2001Slovakia_01_Nha so 1_Dien_bieu ke hoach dau thau 4" xfId="3643"/>
    <cellStyle name="Dziesiętny_Invoices2001Slovakia_01_Nha so 1_Dien_bieu ke hoach dau thau 4" xfId="3644"/>
    <cellStyle name="Dziesietny_Invoices2001Slovakia_01_Nha so 1_Dien_bieu ke hoach dau thau 5" xfId="3645"/>
    <cellStyle name="Dziesiętny_Invoices2001Slovakia_01_Nha so 1_Dien_bieu ke hoach dau thau 5" xfId="3646"/>
    <cellStyle name="Dziesietny_Invoices2001Slovakia_01_Nha so 1_Dien_bieu ke hoach dau thau truong mam non SKH" xfId="3647"/>
    <cellStyle name="Dziesiętny_Invoices2001Slovakia_01_Nha so 1_Dien_bieu ke hoach dau thau truong mam non SKH" xfId="3648"/>
    <cellStyle name="Dziesietny_Invoices2001Slovakia_01_Nha so 1_Dien_bieu ke hoach dau thau truong mam non SKH 2" xfId="3649"/>
    <cellStyle name="Dziesiętny_Invoices2001Slovakia_01_Nha so 1_Dien_bieu ke hoach dau thau truong mam non SKH 2" xfId="3650"/>
    <cellStyle name="Dziesietny_Invoices2001Slovakia_01_Nha so 1_Dien_bieu ke hoach dau thau truong mam non SKH 2 2" xfId="3651"/>
    <cellStyle name="Dziesiętny_Invoices2001Slovakia_01_Nha so 1_Dien_bieu ke hoach dau thau truong mam non SKH 2 2" xfId="3652"/>
    <cellStyle name="Dziesietny_Invoices2001Slovakia_01_Nha so 1_Dien_bieu ke hoach dau thau truong mam non SKH 3" xfId="3653"/>
    <cellStyle name="Dziesiętny_Invoices2001Slovakia_01_Nha so 1_Dien_bieu ke hoach dau thau truong mam non SKH 3" xfId="3654"/>
    <cellStyle name="Dziesietny_Invoices2001Slovakia_01_Nha so 1_Dien_bieu ke hoach dau thau truong mam non SKH 3 2" xfId="3655"/>
    <cellStyle name="Dziesiętny_Invoices2001Slovakia_01_Nha so 1_Dien_bieu ke hoach dau thau truong mam non SKH 3 2" xfId="3656"/>
    <cellStyle name="Dziesietny_Invoices2001Slovakia_01_Nha so 1_Dien_bieu ke hoach dau thau truong mam non SKH 4" xfId="3657"/>
    <cellStyle name="Dziesiętny_Invoices2001Slovakia_01_Nha so 1_Dien_bieu ke hoach dau thau truong mam non SKH 4" xfId="3658"/>
    <cellStyle name="Dziesietny_Invoices2001Slovakia_01_Nha so 1_Dien_bieu ke hoach dau thau truong mam non SKH 5" xfId="3659"/>
    <cellStyle name="Dziesiętny_Invoices2001Slovakia_01_Nha so 1_Dien_bieu ke hoach dau thau truong mam non SKH 5" xfId="3660"/>
    <cellStyle name="Dziesietny_Invoices2001Slovakia_01_Nha so 1_Dien_bieu tong hop lai kh von 2011 gui phong TH-KTDN" xfId="3661"/>
    <cellStyle name="Dziesiętny_Invoices2001Slovakia_01_Nha so 1_Dien_bieu tong hop lai kh von 2011 gui phong TH-KTDN" xfId="3662"/>
    <cellStyle name="Dziesietny_Invoices2001Slovakia_01_Nha so 1_Dien_bieu tong hop lai kh von 2011 gui phong TH-KTDN 2" xfId="3663"/>
    <cellStyle name="Dziesiętny_Invoices2001Slovakia_01_Nha so 1_Dien_bieu tong hop lai kh von 2011 gui phong TH-KTDN 2" xfId="3664"/>
    <cellStyle name="Dziesietny_Invoices2001Slovakia_01_Nha so 1_Dien_bieu tong hop lai kh von 2011 gui phong TH-KTDN 2 2" xfId="3665"/>
    <cellStyle name="Dziesiętny_Invoices2001Slovakia_01_Nha so 1_Dien_bieu tong hop lai kh von 2011 gui phong TH-KTDN 2 2" xfId="3666"/>
    <cellStyle name="Dziesietny_Invoices2001Slovakia_01_Nha so 1_Dien_bieu tong hop lai kh von 2011 gui phong TH-KTDN 3" xfId="3667"/>
    <cellStyle name="Dziesiętny_Invoices2001Slovakia_01_Nha so 1_Dien_bieu tong hop lai kh von 2011 gui phong TH-KTDN 3" xfId="3668"/>
    <cellStyle name="Dziesietny_Invoices2001Slovakia_01_Nha so 1_Dien_bieu tong hop lai kh von 2011 gui phong TH-KTDN 3 2" xfId="3669"/>
    <cellStyle name="Dziesiętny_Invoices2001Slovakia_01_Nha so 1_Dien_bieu tong hop lai kh von 2011 gui phong TH-KTDN 3 2" xfId="3670"/>
    <cellStyle name="Dziesietny_Invoices2001Slovakia_01_Nha so 1_Dien_bieu tong hop lai kh von 2011 gui phong TH-KTDN 4" xfId="3671"/>
    <cellStyle name="Dziesiętny_Invoices2001Slovakia_01_Nha so 1_Dien_bieu tong hop lai kh von 2011 gui phong TH-KTDN 4" xfId="3672"/>
    <cellStyle name="Dziesietny_Invoices2001Slovakia_01_Nha so 1_Dien_bieu tong hop lai kh von 2011 gui phong TH-KTDN_BIEU KE HOACH  2015 (KTN 6.11 sua)" xfId="3673"/>
    <cellStyle name="Dziesiętny_Invoices2001Slovakia_01_Nha so 1_Dien_bieu tong hop lai kh von 2011 gui phong TH-KTDN_BIEU KE HOACH  2015 (KTN 6.11 sua)" xfId="3674"/>
    <cellStyle name="Dziesietny_Invoices2001Slovakia_01_Nha so 1_Dien_Book1" xfId="3675"/>
    <cellStyle name="Dziesiętny_Invoices2001Slovakia_01_Nha so 1_Dien_Book1" xfId="3676"/>
    <cellStyle name="Dziesietny_Invoices2001Slovakia_01_Nha so 1_Dien_Book1 2" xfId="3677"/>
    <cellStyle name="Dziesiętny_Invoices2001Slovakia_01_Nha so 1_Dien_Book1 2" xfId="3678"/>
    <cellStyle name="Dziesietny_Invoices2001Slovakia_01_Nha so 1_Dien_Book1 2 2" xfId="3679"/>
    <cellStyle name="Dziesiętny_Invoices2001Slovakia_01_Nha so 1_Dien_Book1 2 2" xfId="3680"/>
    <cellStyle name="Dziesietny_Invoices2001Slovakia_01_Nha so 1_Dien_Book1 3" xfId="3681"/>
    <cellStyle name="Dziesiętny_Invoices2001Slovakia_01_Nha so 1_Dien_Book1 3" xfId="3682"/>
    <cellStyle name="Dziesietny_Invoices2001Slovakia_01_Nha so 1_Dien_Book1 3 2" xfId="3683"/>
    <cellStyle name="Dziesiętny_Invoices2001Slovakia_01_Nha so 1_Dien_Book1 3 2" xfId="3684"/>
    <cellStyle name="Dziesietny_Invoices2001Slovakia_01_Nha so 1_Dien_Book1 4" xfId="3685"/>
    <cellStyle name="Dziesiętny_Invoices2001Slovakia_01_Nha so 1_Dien_Book1 4" xfId="3686"/>
    <cellStyle name="Dziesietny_Invoices2001Slovakia_01_Nha so 1_Dien_Book1 5" xfId="3687"/>
    <cellStyle name="Dziesiętny_Invoices2001Slovakia_01_Nha so 1_Dien_Book1 5" xfId="3688"/>
    <cellStyle name="Dziesietny_Invoices2001Slovakia_01_Nha so 1_Dien_Book1_1" xfId="3689"/>
    <cellStyle name="Dziesiętny_Invoices2001Slovakia_01_Nha so 1_Dien_Book1_1" xfId="3690"/>
    <cellStyle name="Dziesietny_Invoices2001Slovakia_01_Nha so 1_Dien_Book1_1 2" xfId="3691"/>
    <cellStyle name="Dziesiętny_Invoices2001Slovakia_01_Nha so 1_Dien_Book1_1 2" xfId="3692"/>
    <cellStyle name="Dziesietny_Invoices2001Slovakia_01_Nha so 1_Dien_Book1_1 2 2" xfId="3693"/>
    <cellStyle name="Dziesiętny_Invoices2001Slovakia_01_Nha so 1_Dien_Book1_1 2 2" xfId="3694"/>
    <cellStyle name="Dziesietny_Invoices2001Slovakia_01_Nha so 1_Dien_Book1_1 3" xfId="3695"/>
    <cellStyle name="Dziesiętny_Invoices2001Slovakia_01_Nha so 1_Dien_Book1_1 3" xfId="3696"/>
    <cellStyle name="Dziesietny_Invoices2001Slovakia_01_Nha so 1_Dien_Book1_1 3 2" xfId="3697"/>
    <cellStyle name="Dziesiętny_Invoices2001Slovakia_01_Nha so 1_Dien_Book1_1 3 2" xfId="3698"/>
    <cellStyle name="Dziesietny_Invoices2001Slovakia_01_Nha so 1_Dien_Book1_1 4" xfId="3699"/>
    <cellStyle name="Dziesiętny_Invoices2001Slovakia_01_Nha so 1_Dien_Book1_1 4" xfId="3700"/>
    <cellStyle name="Dziesietny_Invoices2001Slovakia_01_Nha so 1_Dien_Book1_1 5" xfId="3701"/>
    <cellStyle name="Dziesiętny_Invoices2001Slovakia_01_Nha so 1_Dien_Book1_1 5" xfId="3702"/>
    <cellStyle name="Dziesietny_Invoices2001Slovakia_01_Nha so 1_Dien_Book1_DTTD chieng chan Tham lai 29-9-2009" xfId="3703"/>
    <cellStyle name="Dziesiętny_Invoices2001Slovakia_01_Nha so 1_Dien_Book1_DTTD chieng chan Tham lai 29-9-2009" xfId="3704"/>
    <cellStyle name="Dziesietny_Invoices2001Slovakia_01_Nha so 1_Dien_Book1_DTTD chieng chan Tham lai 29-9-2009 2" xfId="3705"/>
    <cellStyle name="Dziesiętny_Invoices2001Slovakia_01_Nha so 1_Dien_Book1_DTTD chieng chan Tham lai 29-9-2009 2" xfId="3706"/>
    <cellStyle name="Dziesietny_Invoices2001Slovakia_01_Nha so 1_Dien_Book1_DTTD chieng chan Tham lai 29-9-2009 2 2" xfId="3707"/>
    <cellStyle name="Dziesiętny_Invoices2001Slovakia_01_Nha so 1_Dien_Book1_DTTD chieng chan Tham lai 29-9-2009 2 2" xfId="3708"/>
    <cellStyle name="Dziesietny_Invoices2001Slovakia_01_Nha so 1_Dien_Book1_DTTD chieng chan Tham lai 29-9-2009 3" xfId="3709"/>
    <cellStyle name="Dziesiętny_Invoices2001Slovakia_01_Nha so 1_Dien_Book1_DTTD chieng chan Tham lai 29-9-2009 3" xfId="3710"/>
    <cellStyle name="Dziesietny_Invoices2001Slovakia_01_Nha so 1_Dien_Book1_DTTD chieng chan Tham lai 29-9-2009 3 2" xfId="3711"/>
    <cellStyle name="Dziesiętny_Invoices2001Slovakia_01_Nha so 1_Dien_Book1_DTTD chieng chan Tham lai 29-9-2009 3 2" xfId="3712"/>
    <cellStyle name="Dziesietny_Invoices2001Slovakia_01_Nha so 1_Dien_Book1_DTTD chieng chan Tham lai 29-9-2009 4" xfId="3713"/>
    <cellStyle name="Dziesiętny_Invoices2001Slovakia_01_Nha so 1_Dien_Book1_DTTD chieng chan Tham lai 29-9-2009 4" xfId="3714"/>
    <cellStyle name="Dziesietny_Invoices2001Slovakia_01_Nha so 1_Dien_Book1_DTTD chieng chan Tham lai 29-9-2009 5" xfId="3715"/>
    <cellStyle name="Dziesiętny_Invoices2001Slovakia_01_Nha so 1_Dien_Book1_DTTD chieng chan Tham lai 29-9-2009 5" xfId="3716"/>
    <cellStyle name="Dziesietny_Invoices2001Slovakia_01_Nha so 1_Dien_Book1_Ke hoach 2010 (theo doi 11-8-2010)" xfId="3717"/>
    <cellStyle name="Dziesiętny_Invoices2001Slovakia_01_Nha so 1_Dien_Book1_Ke hoach 2010 (theo doi 11-8-2010)" xfId="3718"/>
    <cellStyle name="Dziesietny_Invoices2001Slovakia_01_Nha so 1_Dien_Book1_Ke hoach 2010 (theo doi 11-8-2010) 2" xfId="3719"/>
    <cellStyle name="Dziesiętny_Invoices2001Slovakia_01_Nha so 1_Dien_Book1_Ke hoach 2010 (theo doi 11-8-2010) 2" xfId="3720"/>
    <cellStyle name="Dziesietny_Invoices2001Slovakia_01_Nha so 1_Dien_Book1_Ke hoach 2010 (theo doi 11-8-2010) 2 2" xfId="3721"/>
    <cellStyle name="Dziesiętny_Invoices2001Slovakia_01_Nha so 1_Dien_Book1_Ke hoach 2010 (theo doi 11-8-2010) 2 2" xfId="3722"/>
    <cellStyle name="Dziesietny_Invoices2001Slovakia_01_Nha so 1_Dien_Book1_Ke hoach 2010 (theo doi 11-8-2010) 3" xfId="3723"/>
    <cellStyle name="Dziesiętny_Invoices2001Slovakia_01_Nha so 1_Dien_Book1_Ke hoach 2010 (theo doi 11-8-2010) 3" xfId="3724"/>
    <cellStyle name="Dziesietny_Invoices2001Slovakia_01_Nha so 1_Dien_Book1_Ke hoach 2010 (theo doi 11-8-2010) 3 2" xfId="3725"/>
    <cellStyle name="Dziesiętny_Invoices2001Slovakia_01_Nha so 1_Dien_Book1_Ke hoach 2010 (theo doi 11-8-2010) 3 2" xfId="3726"/>
    <cellStyle name="Dziesietny_Invoices2001Slovakia_01_Nha so 1_Dien_Book1_Ke hoach 2010 (theo doi 11-8-2010) 4" xfId="3727"/>
    <cellStyle name="Dziesiętny_Invoices2001Slovakia_01_Nha so 1_Dien_Book1_Ke hoach 2010 (theo doi 11-8-2010) 4" xfId="3728"/>
    <cellStyle name="Dziesietny_Invoices2001Slovakia_01_Nha so 1_Dien_Book1_Ke hoach 2010 (theo doi 11-8-2010)_BIEU KE HOACH  2015 (KTN 6.11 sua)" xfId="3729"/>
    <cellStyle name="Dziesiętny_Invoices2001Slovakia_01_Nha so 1_Dien_Book1_Ke hoach 2010 (theo doi 11-8-2010)_BIEU KE HOACH  2015 (KTN 6.11 sua)" xfId="3730"/>
    <cellStyle name="Dziesietny_Invoices2001Slovakia_01_Nha so 1_Dien_Book1_ke hoach dau thau 30-6-2010" xfId="3731"/>
    <cellStyle name="Dziesiętny_Invoices2001Slovakia_01_Nha so 1_Dien_Book1_ke hoach dau thau 30-6-2010" xfId="3732"/>
    <cellStyle name="Dziesietny_Invoices2001Slovakia_01_Nha so 1_Dien_Book1_ke hoach dau thau 30-6-2010 2" xfId="3733"/>
    <cellStyle name="Dziesiętny_Invoices2001Slovakia_01_Nha so 1_Dien_Book1_ke hoach dau thau 30-6-2010 2" xfId="3734"/>
    <cellStyle name="Dziesietny_Invoices2001Slovakia_01_Nha so 1_Dien_Book1_ke hoach dau thau 30-6-2010 2 2" xfId="3735"/>
    <cellStyle name="Dziesiętny_Invoices2001Slovakia_01_Nha so 1_Dien_Book1_ke hoach dau thau 30-6-2010 2 2" xfId="3736"/>
    <cellStyle name="Dziesietny_Invoices2001Slovakia_01_Nha so 1_Dien_Book1_ke hoach dau thau 30-6-2010 3" xfId="3737"/>
    <cellStyle name="Dziesiętny_Invoices2001Slovakia_01_Nha so 1_Dien_Book1_ke hoach dau thau 30-6-2010 3" xfId="3738"/>
    <cellStyle name="Dziesietny_Invoices2001Slovakia_01_Nha so 1_Dien_Book1_ke hoach dau thau 30-6-2010 3 2" xfId="3739"/>
    <cellStyle name="Dziesiętny_Invoices2001Slovakia_01_Nha so 1_Dien_Book1_ke hoach dau thau 30-6-2010 3 2" xfId="3740"/>
    <cellStyle name="Dziesietny_Invoices2001Slovakia_01_Nha so 1_Dien_Book1_ke hoach dau thau 30-6-2010 4" xfId="3741"/>
    <cellStyle name="Dziesiętny_Invoices2001Slovakia_01_Nha so 1_Dien_Book1_ke hoach dau thau 30-6-2010 4" xfId="3742"/>
    <cellStyle name="Dziesietny_Invoices2001Slovakia_01_Nha so 1_Dien_Book1_ke hoach dau thau 30-6-2010_BIEU KE HOACH  2015 (KTN 6.11 sua)" xfId="3743"/>
    <cellStyle name="Dziesiętny_Invoices2001Slovakia_01_Nha so 1_Dien_Book1_ke hoach dau thau 30-6-2010_BIEU KE HOACH  2015 (KTN 6.11 sua)" xfId="3744"/>
    <cellStyle name="Dziesietny_Invoices2001Slovakia_01_Nha so 1_Dien_Copy of KH PHAN BO VON ĐỐI ỨNG NAM 2011 (30 TY phuong án gop WB)" xfId="3745"/>
    <cellStyle name="Dziesiętny_Invoices2001Slovakia_01_Nha so 1_Dien_Copy of KH PHAN BO VON ĐỐI ỨNG NAM 2011 (30 TY phuong án gop WB)" xfId="3746"/>
    <cellStyle name="Dziesietny_Invoices2001Slovakia_01_Nha so 1_Dien_Copy of KH PHAN BO VON ĐỐI ỨNG NAM 2011 (30 TY phuong án gop WB) 2" xfId="3747"/>
    <cellStyle name="Dziesiętny_Invoices2001Slovakia_01_Nha so 1_Dien_Copy of KH PHAN BO VON ĐỐI ỨNG NAM 2011 (30 TY phuong án gop WB) 2" xfId="3748"/>
    <cellStyle name="Dziesietny_Invoices2001Slovakia_01_Nha so 1_Dien_Copy of KH PHAN BO VON ĐỐI ỨNG NAM 2011 (30 TY phuong án gop WB) 2 2" xfId="3749"/>
    <cellStyle name="Dziesiętny_Invoices2001Slovakia_01_Nha so 1_Dien_Copy of KH PHAN BO VON ĐỐI ỨNG NAM 2011 (30 TY phuong án gop WB) 2 2" xfId="3750"/>
    <cellStyle name="Dziesietny_Invoices2001Slovakia_01_Nha so 1_Dien_Copy of KH PHAN BO VON ĐỐI ỨNG NAM 2011 (30 TY phuong án gop WB) 3" xfId="3751"/>
    <cellStyle name="Dziesiętny_Invoices2001Slovakia_01_Nha so 1_Dien_Copy of KH PHAN BO VON ĐỐI ỨNG NAM 2011 (30 TY phuong án gop WB) 3" xfId="3752"/>
    <cellStyle name="Dziesietny_Invoices2001Slovakia_01_Nha so 1_Dien_Copy of KH PHAN BO VON ĐỐI ỨNG NAM 2011 (30 TY phuong án gop WB) 3 2" xfId="3753"/>
    <cellStyle name="Dziesiętny_Invoices2001Slovakia_01_Nha so 1_Dien_Copy of KH PHAN BO VON ĐỐI ỨNG NAM 2011 (30 TY phuong án gop WB) 3 2" xfId="3754"/>
    <cellStyle name="Dziesietny_Invoices2001Slovakia_01_Nha so 1_Dien_Copy of KH PHAN BO VON ĐỐI ỨNG NAM 2011 (30 TY phuong án gop WB) 4" xfId="3755"/>
    <cellStyle name="Dziesiętny_Invoices2001Slovakia_01_Nha so 1_Dien_Copy of KH PHAN BO VON ĐỐI ỨNG NAM 2011 (30 TY phuong án gop WB) 4" xfId="3756"/>
    <cellStyle name="Dziesietny_Invoices2001Slovakia_01_Nha so 1_Dien_Copy of KH PHAN BO VON ĐỐI ỨNG NAM 2011 (30 TY phuong án gop WB)_BIEU KE HOACH  2015 (KTN 6.11 sua)" xfId="3757"/>
    <cellStyle name="Dziesiętny_Invoices2001Slovakia_01_Nha so 1_Dien_Copy of KH PHAN BO VON ĐỐI ỨNG NAM 2011 (30 TY phuong án gop WB)_BIEU KE HOACH  2015 (KTN 6.11 sua)" xfId="3758"/>
    <cellStyle name="Dziesietny_Invoices2001Slovakia_01_Nha so 1_Dien_DTTD chieng chan Tham lai 29-9-2009" xfId="3759"/>
    <cellStyle name="Dziesiętny_Invoices2001Slovakia_01_Nha so 1_Dien_DTTD chieng chan Tham lai 29-9-2009" xfId="3760"/>
    <cellStyle name="Dziesietny_Invoices2001Slovakia_01_Nha so 1_Dien_DTTD chieng chan Tham lai 29-9-2009 2" xfId="3761"/>
    <cellStyle name="Dziesiętny_Invoices2001Slovakia_01_Nha so 1_Dien_DTTD chieng chan Tham lai 29-9-2009 2" xfId="3762"/>
    <cellStyle name="Dziesietny_Invoices2001Slovakia_01_Nha so 1_Dien_DTTD chieng chan Tham lai 29-9-2009 2 2" xfId="3763"/>
    <cellStyle name="Dziesiętny_Invoices2001Slovakia_01_Nha so 1_Dien_DTTD chieng chan Tham lai 29-9-2009 2 2" xfId="3764"/>
    <cellStyle name="Dziesietny_Invoices2001Slovakia_01_Nha so 1_Dien_DTTD chieng chan Tham lai 29-9-2009 3" xfId="3765"/>
    <cellStyle name="Dziesiętny_Invoices2001Slovakia_01_Nha so 1_Dien_DTTD chieng chan Tham lai 29-9-2009 3" xfId="3766"/>
    <cellStyle name="Dziesietny_Invoices2001Slovakia_01_Nha so 1_Dien_DTTD chieng chan Tham lai 29-9-2009 3 2" xfId="3767"/>
    <cellStyle name="Dziesiętny_Invoices2001Slovakia_01_Nha so 1_Dien_DTTD chieng chan Tham lai 29-9-2009 3 2" xfId="3768"/>
    <cellStyle name="Dziesietny_Invoices2001Slovakia_01_Nha so 1_Dien_DTTD chieng chan Tham lai 29-9-2009 4" xfId="3769"/>
    <cellStyle name="Dziesiętny_Invoices2001Slovakia_01_Nha so 1_Dien_DTTD chieng chan Tham lai 29-9-2009 4" xfId="3770"/>
    <cellStyle name="Dziesietny_Invoices2001Slovakia_01_Nha so 1_Dien_DTTD chieng chan Tham lai 29-9-2009_BIEU KE HOACH  2015 (KTN 6.11 sua)" xfId="3771"/>
    <cellStyle name="Dziesiętny_Invoices2001Slovakia_01_Nha so 1_Dien_DTTD chieng chan Tham lai 29-9-2009_BIEU KE HOACH  2015 (KTN 6.11 sua)" xfId="3772"/>
    <cellStyle name="Dziesietny_Invoices2001Slovakia_01_Nha so 1_Dien_Du toan nuoc San Thang (GD2)" xfId="3773"/>
    <cellStyle name="Dziesiętny_Invoices2001Slovakia_01_Nha so 1_Dien_Du toan nuoc San Thang (GD2)" xfId="3774"/>
    <cellStyle name="Dziesietny_Invoices2001Slovakia_01_Nha so 1_Dien_Du toan nuoc San Thang (GD2) 2" xfId="3775"/>
    <cellStyle name="Dziesiętny_Invoices2001Slovakia_01_Nha so 1_Dien_Du toan nuoc San Thang (GD2) 2" xfId="3776"/>
    <cellStyle name="Dziesietny_Invoices2001Slovakia_01_Nha so 1_Dien_Du toan nuoc San Thang (GD2) 2 2" xfId="3777"/>
    <cellStyle name="Dziesiętny_Invoices2001Slovakia_01_Nha so 1_Dien_Du toan nuoc San Thang (GD2) 2 2" xfId="3778"/>
    <cellStyle name="Dziesietny_Invoices2001Slovakia_01_Nha so 1_Dien_Du toan nuoc San Thang (GD2) 3" xfId="3779"/>
    <cellStyle name="Dziesiętny_Invoices2001Slovakia_01_Nha so 1_Dien_Du toan nuoc San Thang (GD2) 3" xfId="3780"/>
    <cellStyle name="Dziesietny_Invoices2001Slovakia_01_Nha so 1_Dien_Du toan nuoc San Thang (GD2) 3 2" xfId="3781"/>
    <cellStyle name="Dziesiętny_Invoices2001Slovakia_01_Nha so 1_Dien_Du toan nuoc San Thang (GD2) 3 2" xfId="3782"/>
    <cellStyle name="Dziesietny_Invoices2001Slovakia_01_Nha so 1_Dien_Du toan nuoc San Thang (GD2) 4" xfId="3783"/>
    <cellStyle name="Dziesiętny_Invoices2001Slovakia_01_Nha so 1_Dien_Du toan nuoc San Thang (GD2) 4" xfId="3784"/>
    <cellStyle name="Dziesietny_Invoices2001Slovakia_01_Nha so 1_Dien_Du toan nuoc San Thang (GD2) 5" xfId="3785"/>
    <cellStyle name="Dziesiętny_Invoices2001Slovakia_01_Nha so 1_Dien_Du toan nuoc San Thang (GD2) 5" xfId="3786"/>
    <cellStyle name="Dziesietny_Invoices2001Slovakia_01_Nha so 1_Dien_Ke hoach 2010 (theo doi 11-8-2010)" xfId="3787"/>
    <cellStyle name="Dziesiętny_Invoices2001Slovakia_01_Nha so 1_Dien_Ke hoach 2010 (theo doi 11-8-2010)" xfId="3788"/>
    <cellStyle name="Dziesietny_Invoices2001Slovakia_01_Nha so 1_Dien_Ke hoach 2010 (theo doi 11-8-2010) 2" xfId="3789"/>
    <cellStyle name="Dziesiętny_Invoices2001Slovakia_01_Nha so 1_Dien_Ke hoach 2010 (theo doi 11-8-2010) 2" xfId="3790"/>
    <cellStyle name="Dziesietny_Invoices2001Slovakia_01_Nha so 1_Dien_Ke hoach 2010 (theo doi 11-8-2010) 2 2" xfId="3791"/>
    <cellStyle name="Dziesiętny_Invoices2001Slovakia_01_Nha so 1_Dien_Ke hoach 2010 (theo doi 11-8-2010) 2 2" xfId="3792"/>
    <cellStyle name="Dziesietny_Invoices2001Slovakia_01_Nha so 1_Dien_Ke hoach 2010 (theo doi 11-8-2010) 3" xfId="3793"/>
    <cellStyle name="Dziesiętny_Invoices2001Slovakia_01_Nha so 1_Dien_Ke hoach 2010 (theo doi 11-8-2010) 3" xfId="3794"/>
    <cellStyle name="Dziesietny_Invoices2001Slovakia_01_Nha so 1_Dien_Ke hoach 2010 (theo doi 11-8-2010) 3 2" xfId="3795"/>
    <cellStyle name="Dziesiętny_Invoices2001Slovakia_01_Nha so 1_Dien_Ke hoach 2010 (theo doi 11-8-2010) 3 2" xfId="3796"/>
    <cellStyle name="Dziesietny_Invoices2001Slovakia_01_Nha so 1_Dien_Ke hoach 2010 (theo doi 11-8-2010) 4" xfId="3797"/>
    <cellStyle name="Dziesiętny_Invoices2001Slovakia_01_Nha so 1_Dien_Ke hoach 2010 (theo doi 11-8-2010) 4" xfId="3798"/>
    <cellStyle name="Dziesietny_Invoices2001Slovakia_01_Nha so 1_Dien_Ke hoach 2010 (theo doi 11-8-2010) 5" xfId="3799"/>
    <cellStyle name="Dziesiętny_Invoices2001Slovakia_01_Nha so 1_Dien_Ke hoach 2010 (theo doi 11-8-2010) 5" xfId="3800"/>
    <cellStyle name="Dziesietny_Invoices2001Slovakia_01_Nha so 1_Dien_ke hoach dau thau 30-6-2010" xfId="3801"/>
    <cellStyle name="Dziesiętny_Invoices2001Slovakia_01_Nha so 1_Dien_ke hoach dau thau 30-6-2010" xfId="3802"/>
    <cellStyle name="Dziesietny_Invoices2001Slovakia_01_Nha so 1_Dien_ke hoach dau thau 30-6-2010 2" xfId="3803"/>
    <cellStyle name="Dziesiętny_Invoices2001Slovakia_01_Nha so 1_Dien_ke hoach dau thau 30-6-2010 2" xfId="3804"/>
    <cellStyle name="Dziesietny_Invoices2001Slovakia_01_Nha so 1_Dien_ke hoach dau thau 30-6-2010 2 2" xfId="3805"/>
    <cellStyle name="Dziesiętny_Invoices2001Slovakia_01_Nha so 1_Dien_ke hoach dau thau 30-6-2010 2 2" xfId="3806"/>
    <cellStyle name="Dziesietny_Invoices2001Slovakia_01_Nha so 1_Dien_ke hoach dau thau 30-6-2010 3" xfId="3807"/>
    <cellStyle name="Dziesiętny_Invoices2001Slovakia_01_Nha so 1_Dien_ke hoach dau thau 30-6-2010 3" xfId="3808"/>
    <cellStyle name="Dziesietny_Invoices2001Slovakia_01_Nha so 1_Dien_ke hoach dau thau 30-6-2010 3 2" xfId="3809"/>
    <cellStyle name="Dziesiętny_Invoices2001Slovakia_01_Nha so 1_Dien_ke hoach dau thau 30-6-2010 3 2" xfId="3810"/>
    <cellStyle name="Dziesietny_Invoices2001Slovakia_01_Nha so 1_Dien_ke hoach dau thau 30-6-2010 4" xfId="3811"/>
    <cellStyle name="Dziesiętny_Invoices2001Slovakia_01_Nha so 1_Dien_ke hoach dau thau 30-6-2010 4" xfId="3812"/>
    <cellStyle name="Dziesietny_Invoices2001Slovakia_01_Nha so 1_Dien_ke hoach dau thau 30-6-2010 5" xfId="3813"/>
    <cellStyle name="Dziesiętny_Invoices2001Slovakia_01_Nha so 1_Dien_ke hoach dau thau 30-6-2010 5" xfId="3814"/>
    <cellStyle name="Dziesietny_Invoices2001Slovakia_01_Nha so 1_Dien_KH Von 2012 gui BKH 1" xfId="3815"/>
    <cellStyle name="Dziesiętny_Invoices2001Slovakia_01_Nha so 1_Dien_KH Von 2012 gui BKH 1" xfId="3816"/>
    <cellStyle name="Dziesietny_Invoices2001Slovakia_01_Nha so 1_Dien_KH Von 2012 gui BKH 1 2" xfId="3817"/>
    <cellStyle name="Dziesiętny_Invoices2001Slovakia_01_Nha so 1_Dien_KH Von 2012 gui BKH 1 2" xfId="3818"/>
    <cellStyle name="Dziesietny_Invoices2001Slovakia_01_Nha so 1_Dien_KH Von 2012 gui BKH 1 2 2" xfId="3819"/>
    <cellStyle name="Dziesiętny_Invoices2001Slovakia_01_Nha so 1_Dien_KH Von 2012 gui BKH 1 2 2" xfId="3820"/>
    <cellStyle name="Dziesietny_Invoices2001Slovakia_01_Nha so 1_Dien_KH Von 2012 gui BKH 1 3" xfId="3821"/>
    <cellStyle name="Dziesiętny_Invoices2001Slovakia_01_Nha so 1_Dien_KH Von 2012 gui BKH 1 3" xfId="3822"/>
    <cellStyle name="Dziesietny_Invoices2001Slovakia_01_Nha so 1_Dien_KH Von 2012 gui BKH 1 3 2" xfId="3823"/>
    <cellStyle name="Dziesiętny_Invoices2001Slovakia_01_Nha so 1_Dien_KH Von 2012 gui BKH 1 3 2" xfId="3824"/>
    <cellStyle name="Dziesietny_Invoices2001Slovakia_01_Nha so 1_Dien_KH Von 2012 gui BKH 1 4" xfId="3825"/>
    <cellStyle name="Dziesiętny_Invoices2001Slovakia_01_Nha so 1_Dien_KH Von 2012 gui BKH 1 4" xfId="3826"/>
    <cellStyle name="Dziesietny_Invoices2001Slovakia_01_Nha so 1_Dien_KH Von 2012 gui BKH 1_BIEU KE HOACH  2015 (KTN 6.11 sua)" xfId="3827"/>
    <cellStyle name="Dziesiętny_Invoices2001Slovakia_01_Nha so 1_Dien_KH Von 2012 gui BKH 1_BIEU KE HOACH  2015 (KTN 6.11 sua)" xfId="3828"/>
    <cellStyle name="Dziesietny_Invoices2001Slovakia_01_Nha so 1_Dien_QD ke hoach dau thau" xfId="3829"/>
    <cellStyle name="Dziesiętny_Invoices2001Slovakia_01_Nha so 1_Dien_QD ke hoach dau thau" xfId="3830"/>
    <cellStyle name="Dziesietny_Invoices2001Slovakia_01_Nha so 1_Dien_QD ke hoach dau thau 2" xfId="3831"/>
    <cellStyle name="Dziesiętny_Invoices2001Slovakia_01_Nha so 1_Dien_QD ke hoach dau thau 2" xfId="3832"/>
    <cellStyle name="Dziesietny_Invoices2001Slovakia_01_Nha so 1_Dien_QD ke hoach dau thau 2 2" xfId="3833"/>
    <cellStyle name="Dziesiętny_Invoices2001Slovakia_01_Nha so 1_Dien_QD ke hoach dau thau 2 2" xfId="3834"/>
    <cellStyle name="Dziesietny_Invoices2001Slovakia_01_Nha so 1_Dien_QD ke hoach dau thau 3" xfId="3835"/>
    <cellStyle name="Dziesiętny_Invoices2001Slovakia_01_Nha so 1_Dien_QD ke hoach dau thau 3" xfId="3836"/>
    <cellStyle name="Dziesietny_Invoices2001Slovakia_01_Nha so 1_Dien_QD ke hoach dau thau 3 2" xfId="3837"/>
    <cellStyle name="Dziesiętny_Invoices2001Slovakia_01_Nha so 1_Dien_QD ke hoach dau thau 3 2" xfId="3838"/>
    <cellStyle name="Dziesietny_Invoices2001Slovakia_01_Nha so 1_Dien_QD ke hoach dau thau 4" xfId="3839"/>
    <cellStyle name="Dziesiętny_Invoices2001Slovakia_01_Nha so 1_Dien_QD ke hoach dau thau 4" xfId="3840"/>
    <cellStyle name="Dziesietny_Invoices2001Slovakia_01_Nha so 1_Dien_QD ke hoach dau thau 5" xfId="3841"/>
    <cellStyle name="Dziesiętny_Invoices2001Slovakia_01_Nha so 1_Dien_QD ke hoach dau thau 5" xfId="3842"/>
    <cellStyle name="Dziesietny_Invoices2001Slovakia_01_Nha so 1_Dien_tien luong" xfId="3843"/>
    <cellStyle name="Dziesiętny_Invoices2001Slovakia_01_Nha so 1_Dien_tien luong" xfId="3844"/>
    <cellStyle name="Dziesietny_Invoices2001Slovakia_01_Nha so 1_Dien_tien luong 2" xfId="3845"/>
    <cellStyle name="Dziesiętny_Invoices2001Slovakia_01_Nha so 1_Dien_tien luong 2" xfId="3846"/>
    <cellStyle name="Dziesietny_Invoices2001Slovakia_01_Nha so 1_Dien_Tien luong chuan 01" xfId="3847"/>
    <cellStyle name="Dziesiętny_Invoices2001Slovakia_01_Nha so 1_Dien_Tien luong chuan 01" xfId="3848"/>
    <cellStyle name="Dziesietny_Invoices2001Slovakia_01_Nha so 1_Dien_Tien luong chuan 01 2" xfId="3849"/>
    <cellStyle name="Dziesiętny_Invoices2001Slovakia_01_Nha so 1_Dien_Tien luong chuan 01 2" xfId="3850"/>
    <cellStyle name="Dziesietny_Invoices2001Slovakia_01_Nha so 1_Dien_tinh toan hoang ha" xfId="3851"/>
    <cellStyle name="Dziesiętny_Invoices2001Slovakia_01_Nha so 1_Dien_tinh toan hoang ha" xfId="3852"/>
    <cellStyle name="Dziesietny_Invoices2001Slovakia_01_Nha so 1_Dien_tinh toan hoang ha 2" xfId="3853"/>
    <cellStyle name="Dziesiętny_Invoices2001Slovakia_01_Nha so 1_Dien_tinh toan hoang ha 2" xfId="3854"/>
    <cellStyle name="Dziesietny_Invoices2001Slovakia_01_Nha so 1_Dien_tinh toan hoang ha 2 2" xfId="3855"/>
    <cellStyle name="Dziesiętny_Invoices2001Slovakia_01_Nha so 1_Dien_tinh toan hoang ha 2 2" xfId="3856"/>
    <cellStyle name="Dziesietny_Invoices2001Slovakia_01_Nha so 1_Dien_tinh toan hoang ha 3" xfId="3857"/>
    <cellStyle name="Dziesiętny_Invoices2001Slovakia_01_Nha so 1_Dien_tinh toan hoang ha 3" xfId="3858"/>
    <cellStyle name="Dziesietny_Invoices2001Slovakia_01_Nha so 1_Dien_tinh toan hoang ha 3 2" xfId="3859"/>
    <cellStyle name="Dziesiętny_Invoices2001Slovakia_01_Nha so 1_Dien_tinh toan hoang ha 3 2" xfId="3860"/>
    <cellStyle name="Dziesietny_Invoices2001Slovakia_01_Nha so 1_Dien_tinh toan hoang ha 4" xfId="3861"/>
    <cellStyle name="Dziesiętny_Invoices2001Slovakia_01_Nha so 1_Dien_tinh toan hoang ha 4" xfId="3862"/>
    <cellStyle name="Dziesietny_Invoices2001Slovakia_01_Nha so 1_Dien_tinh toan hoang ha 5" xfId="3863"/>
    <cellStyle name="Dziesiętny_Invoices2001Slovakia_01_Nha so 1_Dien_tinh toan hoang ha 5" xfId="3864"/>
    <cellStyle name="Dziesietny_Invoices2001Slovakia_01_Nha so 1_Dien_Tong von ĐTPT" xfId="3865"/>
    <cellStyle name="Dziesiętny_Invoices2001Slovakia_01_Nha so 1_Dien_Tong von ĐTPT" xfId="3866"/>
    <cellStyle name="Dziesietny_Invoices2001Slovakia_01_Nha so 1_Dien_Tong von ĐTPT 2" xfId="3867"/>
    <cellStyle name="Dziesiętny_Invoices2001Slovakia_01_Nha so 1_Dien_Tong von ĐTPT 2" xfId="3868"/>
    <cellStyle name="Dziesietny_Invoices2001Slovakia_01_Nha so 1_Dien_Tong von ĐTPT 2 2" xfId="3869"/>
    <cellStyle name="Dziesiętny_Invoices2001Slovakia_01_Nha so 1_Dien_Tong von ĐTPT 2 2" xfId="3870"/>
    <cellStyle name="Dziesietny_Invoices2001Slovakia_01_Nha so 1_Dien_Tong von ĐTPT 3" xfId="3871"/>
    <cellStyle name="Dziesiętny_Invoices2001Slovakia_01_Nha so 1_Dien_Tong von ĐTPT 3" xfId="3872"/>
    <cellStyle name="Dziesietny_Invoices2001Slovakia_01_Nha so 1_Dien_Tong von ĐTPT 3 2" xfId="3873"/>
    <cellStyle name="Dziesiętny_Invoices2001Slovakia_01_Nha so 1_Dien_Tong von ĐTPT 3 2" xfId="3874"/>
    <cellStyle name="Dziesietny_Invoices2001Slovakia_01_Nha so 1_Dien_Tong von ĐTPT 4" xfId="3875"/>
    <cellStyle name="Dziesiętny_Invoices2001Slovakia_01_Nha so 1_Dien_Tong von ĐTPT 4" xfId="3876"/>
    <cellStyle name="Dziesietny_Invoices2001Slovakia_01_Nha so 1_Dien_Tong von ĐTPT 5" xfId="3877"/>
    <cellStyle name="Dziesiętny_Invoices2001Slovakia_01_Nha so 1_Dien_Tong von ĐTPT 5" xfId="3878"/>
    <cellStyle name="Dziesietny_Invoices2001Slovakia_10_Nha so 10_Dien1" xfId="3879"/>
    <cellStyle name="Dziesiętny_Invoices2001Slovakia_10_Nha so 10_Dien1" xfId="3880"/>
    <cellStyle name="Dziesietny_Invoices2001Slovakia_10_Nha so 10_Dien1 2" xfId="3881"/>
    <cellStyle name="Dziesiętny_Invoices2001Slovakia_10_Nha so 10_Dien1 2" xfId="3882"/>
    <cellStyle name="Dziesietny_Invoices2001Slovakia_10_Nha so 10_Dien1 3" xfId="3883"/>
    <cellStyle name="Dziesiętny_Invoices2001Slovakia_10_Nha so 10_Dien1 3" xfId="3884"/>
    <cellStyle name="Dziesietny_Invoices2001Slovakia_10_Nha so 10_Dien1 4" xfId="3885"/>
    <cellStyle name="Dziesiętny_Invoices2001Slovakia_10_Nha so 10_Dien1 4" xfId="3886"/>
    <cellStyle name="Dziesietny_Invoices2001Slovakia_10_Nha so 10_Dien1 5" xfId="3887"/>
    <cellStyle name="Dziesiętny_Invoices2001Slovakia_10_Nha so 10_Dien1 5" xfId="3888"/>
    <cellStyle name="Dziesietny_Invoices2001Slovakia_10_Nha so 10_Dien1_Bao cao danh muc cac cong trinh tren dia ban huyen 4-2010" xfId="3889"/>
    <cellStyle name="Dziesiętny_Invoices2001Slovakia_10_Nha so 10_Dien1_Bao cao danh muc cac cong trinh tren dia ban huyen 4-2010" xfId="3890"/>
    <cellStyle name="Dziesietny_Invoices2001Slovakia_10_Nha so 10_Dien1_Bao cao danh muc cac cong trinh tren dia ban huyen 4-2010 2" xfId="3891"/>
    <cellStyle name="Dziesiętny_Invoices2001Slovakia_10_Nha so 10_Dien1_Bao cao danh muc cac cong trinh tren dia ban huyen 4-2010 2" xfId="3892"/>
    <cellStyle name="Dziesietny_Invoices2001Slovakia_10_Nha so 10_Dien1_bieu ke hoach dau thau" xfId="3893"/>
    <cellStyle name="Dziesiętny_Invoices2001Slovakia_10_Nha so 10_Dien1_bieu ke hoach dau thau" xfId="3894"/>
    <cellStyle name="Dziesietny_Invoices2001Slovakia_10_Nha so 10_Dien1_bieu ke hoach dau thau 2" xfId="3895"/>
    <cellStyle name="Dziesiętny_Invoices2001Slovakia_10_Nha so 10_Dien1_bieu ke hoach dau thau 2" xfId="3896"/>
    <cellStyle name="Dziesietny_Invoices2001Slovakia_10_Nha so 10_Dien1_bieu ke hoach dau thau 2 2" xfId="3897"/>
    <cellStyle name="Dziesiętny_Invoices2001Slovakia_10_Nha so 10_Dien1_bieu ke hoach dau thau 2 2" xfId="3898"/>
    <cellStyle name="Dziesietny_Invoices2001Slovakia_10_Nha so 10_Dien1_bieu ke hoach dau thau 3" xfId="3899"/>
    <cellStyle name="Dziesiętny_Invoices2001Slovakia_10_Nha so 10_Dien1_bieu ke hoach dau thau 3" xfId="3900"/>
    <cellStyle name="Dziesietny_Invoices2001Slovakia_10_Nha so 10_Dien1_bieu ke hoach dau thau 3 2" xfId="3901"/>
    <cellStyle name="Dziesiętny_Invoices2001Slovakia_10_Nha so 10_Dien1_bieu ke hoach dau thau 3 2" xfId="3902"/>
    <cellStyle name="Dziesietny_Invoices2001Slovakia_10_Nha so 10_Dien1_bieu ke hoach dau thau 4" xfId="3903"/>
    <cellStyle name="Dziesiętny_Invoices2001Slovakia_10_Nha so 10_Dien1_bieu ke hoach dau thau 4" xfId="3904"/>
    <cellStyle name="Dziesietny_Invoices2001Slovakia_10_Nha so 10_Dien1_bieu ke hoach dau thau 5" xfId="3905"/>
    <cellStyle name="Dziesiętny_Invoices2001Slovakia_10_Nha so 10_Dien1_bieu ke hoach dau thau 5" xfId="3906"/>
    <cellStyle name="Dziesietny_Invoices2001Slovakia_10_Nha so 10_Dien1_bieu ke hoach dau thau truong mam non SKH" xfId="3907"/>
    <cellStyle name="Dziesiętny_Invoices2001Slovakia_10_Nha so 10_Dien1_bieu ke hoach dau thau truong mam non SKH" xfId="3908"/>
    <cellStyle name="Dziesietny_Invoices2001Slovakia_10_Nha so 10_Dien1_bieu ke hoach dau thau truong mam non SKH 2" xfId="3909"/>
    <cellStyle name="Dziesiętny_Invoices2001Slovakia_10_Nha so 10_Dien1_bieu ke hoach dau thau truong mam non SKH 2" xfId="3910"/>
    <cellStyle name="Dziesietny_Invoices2001Slovakia_10_Nha so 10_Dien1_bieu ke hoach dau thau truong mam non SKH 2 2" xfId="3911"/>
    <cellStyle name="Dziesiętny_Invoices2001Slovakia_10_Nha so 10_Dien1_bieu ke hoach dau thau truong mam non SKH 2 2" xfId="3912"/>
    <cellStyle name="Dziesietny_Invoices2001Slovakia_10_Nha so 10_Dien1_bieu ke hoach dau thau truong mam non SKH 3" xfId="3913"/>
    <cellStyle name="Dziesiętny_Invoices2001Slovakia_10_Nha so 10_Dien1_bieu ke hoach dau thau truong mam non SKH 3" xfId="3914"/>
    <cellStyle name="Dziesietny_Invoices2001Slovakia_10_Nha so 10_Dien1_bieu ke hoach dau thau truong mam non SKH 3 2" xfId="3915"/>
    <cellStyle name="Dziesiętny_Invoices2001Slovakia_10_Nha so 10_Dien1_bieu ke hoach dau thau truong mam non SKH 3 2" xfId="3916"/>
    <cellStyle name="Dziesietny_Invoices2001Slovakia_10_Nha so 10_Dien1_bieu ke hoach dau thau truong mam non SKH 4" xfId="3917"/>
    <cellStyle name="Dziesiętny_Invoices2001Slovakia_10_Nha so 10_Dien1_bieu ke hoach dau thau truong mam non SKH 4" xfId="3918"/>
    <cellStyle name="Dziesietny_Invoices2001Slovakia_10_Nha so 10_Dien1_bieu ke hoach dau thau truong mam non SKH 5" xfId="3919"/>
    <cellStyle name="Dziesiętny_Invoices2001Slovakia_10_Nha so 10_Dien1_bieu ke hoach dau thau truong mam non SKH 5" xfId="3920"/>
    <cellStyle name="Dziesietny_Invoices2001Slovakia_10_Nha so 10_Dien1_bieu tong hop lai kh von 2011 gui phong TH-KTDN" xfId="3921"/>
    <cellStyle name="Dziesiętny_Invoices2001Slovakia_10_Nha so 10_Dien1_bieu tong hop lai kh von 2011 gui phong TH-KTDN" xfId="3922"/>
    <cellStyle name="Dziesietny_Invoices2001Slovakia_10_Nha so 10_Dien1_bieu tong hop lai kh von 2011 gui phong TH-KTDN 2" xfId="3923"/>
    <cellStyle name="Dziesiętny_Invoices2001Slovakia_10_Nha so 10_Dien1_bieu tong hop lai kh von 2011 gui phong TH-KTDN 2" xfId="3924"/>
    <cellStyle name="Dziesietny_Invoices2001Slovakia_10_Nha so 10_Dien1_bieu tong hop lai kh von 2011 gui phong TH-KTDN 2 2" xfId="3925"/>
    <cellStyle name="Dziesiętny_Invoices2001Slovakia_10_Nha so 10_Dien1_bieu tong hop lai kh von 2011 gui phong TH-KTDN 2 2" xfId="3926"/>
    <cellStyle name="Dziesietny_Invoices2001Slovakia_10_Nha so 10_Dien1_bieu tong hop lai kh von 2011 gui phong TH-KTDN 3" xfId="3927"/>
    <cellStyle name="Dziesiętny_Invoices2001Slovakia_10_Nha so 10_Dien1_bieu tong hop lai kh von 2011 gui phong TH-KTDN 3" xfId="3928"/>
    <cellStyle name="Dziesietny_Invoices2001Slovakia_10_Nha so 10_Dien1_bieu tong hop lai kh von 2011 gui phong TH-KTDN 3 2" xfId="3929"/>
    <cellStyle name="Dziesiętny_Invoices2001Slovakia_10_Nha so 10_Dien1_bieu tong hop lai kh von 2011 gui phong TH-KTDN 3 2" xfId="3930"/>
    <cellStyle name="Dziesietny_Invoices2001Slovakia_10_Nha so 10_Dien1_bieu tong hop lai kh von 2011 gui phong TH-KTDN 4" xfId="3931"/>
    <cellStyle name="Dziesiętny_Invoices2001Slovakia_10_Nha so 10_Dien1_bieu tong hop lai kh von 2011 gui phong TH-KTDN 4" xfId="3932"/>
    <cellStyle name="Dziesietny_Invoices2001Slovakia_10_Nha so 10_Dien1_bieu tong hop lai kh von 2011 gui phong TH-KTDN_BIEU KE HOACH  2015 (KTN 6.11 sua)" xfId="3933"/>
    <cellStyle name="Dziesiętny_Invoices2001Slovakia_10_Nha so 10_Dien1_bieu tong hop lai kh von 2011 gui phong TH-KTDN_BIEU KE HOACH  2015 (KTN 6.11 sua)" xfId="3934"/>
    <cellStyle name="Dziesietny_Invoices2001Slovakia_10_Nha so 10_Dien1_Book1" xfId="3935"/>
    <cellStyle name="Dziesiętny_Invoices2001Slovakia_10_Nha so 10_Dien1_Book1" xfId="3936"/>
    <cellStyle name="Dziesietny_Invoices2001Slovakia_10_Nha so 10_Dien1_Book1 2" xfId="3937"/>
    <cellStyle name="Dziesiętny_Invoices2001Slovakia_10_Nha so 10_Dien1_Book1 2" xfId="3938"/>
    <cellStyle name="Dziesietny_Invoices2001Slovakia_10_Nha so 10_Dien1_Book1 2 2" xfId="3939"/>
    <cellStyle name="Dziesiętny_Invoices2001Slovakia_10_Nha so 10_Dien1_Book1 2 2" xfId="3940"/>
    <cellStyle name="Dziesietny_Invoices2001Slovakia_10_Nha so 10_Dien1_Book1 3" xfId="3941"/>
    <cellStyle name="Dziesiętny_Invoices2001Slovakia_10_Nha so 10_Dien1_Book1 3" xfId="3942"/>
    <cellStyle name="Dziesietny_Invoices2001Slovakia_10_Nha so 10_Dien1_Book1 3 2" xfId="3943"/>
    <cellStyle name="Dziesiętny_Invoices2001Slovakia_10_Nha so 10_Dien1_Book1 3 2" xfId="3944"/>
    <cellStyle name="Dziesietny_Invoices2001Slovakia_10_Nha so 10_Dien1_Book1 4" xfId="3945"/>
    <cellStyle name="Dziesiętny_Invoices2001Slovakia_10_Nha so 10_Dien1_Book1 4" xfId="3946"/>
    <cellStyle name="Dziesietny_Invoices2001Slovakia_10_Nha so 10_Dien1_Book1 5" xfId="3947"/>
    <cellStyle name="Dziesiętny_Invoices2001Slovakia_10_Nha so 10_Dien1_Book1 5" xfId="3948"/>
    <cellStyle name="Dziesietny_Invoices2001Slovakia_10_Nha so 10_Dien1_Book1_1" xfId="3949"/>
    <cellStyle name="Dziesiętny_Invoices2001Slovakia_10_Nha so 10_Dien1_Book1_1" xfId="3950"/>
    <cellStyle name="Dziesietny_Invoices2001Slovakia_10_Nha so 10_Dien1_Book1_1 2" xfId="3951"/>
    <cellStyle name="Dziesiętny_Invoices2001Slovakia_10_Nha so 10_Dien1_Book1_1 2" xfId="3952"/>
    <cellStyle name="Dziesietny_Invoices2001Slovakia_10_Nha so 10_Dien1_Book1_1 2 2" xfId="3953"/>
    <cellStyle name="Dziesiętny_Invoices2001Slovakia_10_Nha so 10_Dien1_Book1_1 2 2" xfId="3954"/>
    <cellStyle name="Dziesietny_Invoices2001Slovakia_10_Nha so 10_Dien1_Book1_1 3" xfId="3955"/>
    <cellStyle name="Dziesiętny_Invoices2001Slovakia_10_Nha so 10_Dien1_Book1_1 3" xfId="3956"/>
    <cellStyle name="Dziesietny_Invoices2001Slovakia_10_Nha so 10_Dien1_Book1_1 3 2" xfId="3957"/>
    <cellStyle name="Dziesiętny_Invoices2001Slovakia_10_Nha so 10_Dien1_Book1_1 3 2" xfId="3958"/>
    <cellStyle name="Dziesietny_Invoices2001Slovakia_10_Nha so 10_Dien1_Book1_1 4" xfId="3959"/>
    <cellStyle name="Dziesiętny_Invoices2001Slovakia_10_Nha so 10_Dien1_Book1_1 4" xfId="3960"/>
    <cellStyle name="Dziesietny_Invoices2001Slovakia_10_Nha so 10_Dien1_Book1_1 5" xfId="3961"/>
    <cellStyle name="Dziesiętny_Invoices2001Slovakia_10_Nha so 10_Dien1_Book1_1 5" xfId="3962"/>
    <cellStyle name="Dziesietny_Invoices2001Slovakia_10_Nha so 10_Dien1_Book1_DTTD chieng chan Tham lai 29-9-2009" xfId="3963"/>
    <cellStyle name="Dziesiętny_Invoices2001Slovakia_10_Nha so 10_Dien1_Book1_DTTD chieng chan Tham lai 29-9-2009" xfId="3964"/>
    <cellStyle name="Dziesietny_Invoices2001Slovakia_10_Nha so 10_Dien1_Book1_DTTD chieng chan Tham lai 29-9-2009 2" xfId="3965"/>
    <cellStyle name="Dziesiętny_Invoices2001Slovakia_10_Nha so 10_Dien1_Book1_DTTD chieng chan Tham lai 29-9-2009 2" xfId="3966"/>
    <cellStyle name="Dziesietny_Invoices2001Slovakia_10_Nha so 10_Dien1_Book1_DTTD chieng chan Tham lai 29-9-2009 2 2" xfId="3967"/>
    <cellStyle name="Dziesiętny_Invoices2001Slovakia_10_Nha so 10_Dien1_Book1_DTTD chieng chan Tham lai 29-9-2009 2 2" xfId="3968"/>
    <cellStyle name="Dziesietny_Invoices2001Slovakia_10_Nha so 10_Dien1_Book1_DTTD chieng chan Tham lai 29-9-2009 3" xfId="3969"/>
    <cellStyle name="Dziesiętny_Invoices2001Slovakia_10_Nha so 10_Dien1_Book1_DTTD chieng chan Tham lai 29-9-2009 3" xfId="3970"/>
    <cellStyle name="Dziesietny_Invoices2001Slovakia_10_Nha so 10_Dien1_Book1_DTTD chieng chan Tham lai 29-9-2009 3 2" xfId="3971"/>
    <cellStyle name="Dziesiętny_Invoices2001Slovakia_10_Nha so 10_Dien1_Book1_DTTD chieng chan Tham lai 29-9-2009 3 2" xfId="3972"/>
    <cellStyle name="Dziesietny_Invoices2001Slovakia_10_Nha so 10_Dien1_Book1_DTTD chieng chan Tham lai 29-9-2009 4" xfId="3973"/>
    <cellStyle name="Dziesiętny_Invoices2001Slovakia_10_Nha so 10_Dien1_Book1_DTTD chieng chan Tham lai 29-9-2009 4" xfId="3974"/>
    <cellStyle name="Dziesietny_Invoices2001Slovakia_10_Nha so 10_Dien1_Book1_DTTD chieng chan Tham lai 29-9-2009 5" xfId="3975"/>
    <cellStyle name="Dziesiętny_Invoices2001Slovakia_10_Nha so 10_Dien1_Book1_DTTD chieng chan Tham lai 29-9-2009 5" xfId="3976"/>
    <cellStyle name="Dziesietny_Invoices2001Slovakia_10_Nha so 10_Dien1_Book1_Ke hoach 2010 (theo doi 11-8-2010)" xfId="3977"/>
    <cellStyle name="Dziesiętny_Invoices2001Slovakia_10_Nha so 10_Dien1_Book1_Ke hoach 2010 (theo doi 11-8-2010)" xfId="3978"/>
    <cellStyle name="Dziesietny_Invoices2001Slovakia_10_Nha so 10_Dien1_Book1_Ke hoach 2010 (theo doi 11-8-2010) 2" xfId="3979"/>
    <cellStyle name="Dziesiętny_Invoices2001Slovakia_10_Nha so 10_Dien1_Book1_Ke hoach 2010 (theo doi 11-8-2010) 2" xfId="3980"/>
    <cellStyle name="Dziesietny_Invoices2001Slovakia_10_Nha so 10_Dien1_Book1_Ke hoach 2010 (theo doi 11-8-2010) 2 2" xfId="3981"/>
    <cellStyle name="Dziesiętny_Invoices2001Slovakia_10_Nha so 10_Dien1_Book1_Ke hoach 2010 (theo doi 11-8-2010) 2 2" xfId="3982"/>
    <cellStyle name="Dziesietny_Invoices2001Slovakia_10_Nha so 10_Dien1_Book1_Ke hoach 2010 (theo doi 11-8-2010) 3" xfId="3983"/>
    <cellStyle name="Dziesiętny_Invoices2001Slovakia_10_Nha so 10_Dien1_Book1_Ke hoach 2010 (theo doi 11-8-2010) 3" xfId="3984"/>
    <cellStyle name="Dziesietny_Invoices2001Slovakia_10_Nha so 10_Dien1_Book1_Ke hoach 2010 (theo doi 11-8-2010) 3 2" xfId="3985"/>
    <cellStyle name="Dziesiętny_Invoices2001Slovakia_10_Nha so 10_Dien1_Book1_Ke hoach 2010 (theo doi 11-8-2010) 3 2" xfId="3986"/>
    <cellStyle name="Dziesietny_Invoices2001Slovakia_10_Nha so 10_Dien1_Book1_Ke hoach 2010 (theo doi 11-8-2010) 4" xfId="3987"/>
    <cellStyle name="Dziesiętny_Invoices2001Slovakia_10_Nha so 10_Dien1_Book1_Ke hoach 2010 (theo doi 11-8-2010) 4" xfId="3988"/>
    <cellStyle name="Dziesietny_Invoices2001Slovakia_10_Nha so 10_Dien1_Book1_Ke hoach 2010 (theo doi 11-8-2010)_BIEU KE HOACH  2015 (KTN 6.11 sua)" xfId="3989"/>
    <cellStyle name="Dziesiętny_Invoices2001Slovakia_10_Nha so 10_Dien1_Book1_Ke hoach 2010 (theo doi 11-8-2010)_BIEU KE HOACH  2015 (KTN 6.11 sua)" xfId="3990"/>
    <cellStyle name="Dziesietny_Invoices2001Slovakia_10_Nha so 10_Dien1_Book1_ke hoach dau thau 30-6-2010" xfId="3991"/>
    <cellStyle name="Dziesiętny_Invoices2001Slovakia_10_Nha so 10_Dien1_Book1_ke hoach dau thau 30-6-2010" xfId="3992"/>
    <cellStyle name="Dziesietny_Invoices2001Slovakia_10_Nha so 10_Dien1_Book1_ke hoach dau thau 30-6-2010 2" xfId="3993"/>
    <cellStyle name="Dziesiętny_Invoices2001Slovakia_10_Nha so 10_Dien1_Book1_ke hoach dau thau 30-6-2010 2" xfId="3994"/>
    <cellStyle name="Dziesietny_Invoices2001Slovakia_10_Nha so 10_Dien1_Book1_ke hoach dau thau 30-6-2010 2 2" xfId="3995"/>
    <cellStyle name="Dziesiętny_Invoices2001Slovakia_10_Nha so 10_Dien1_Book1_ke hoach dau thau 30-6-2010 2 2" xfId="3996"/>
    <cellStyle name="Dziesietny_Invoices2001Slovakia_10_Nha so 10_Dien1_Book1_ke hoach dau thau 30-6-2010 3" xfId="3997"/>
    <cellStyle name="Dziesiętny_Invoices2001Slovakia_10_Nha so 10_Dien1_Book1_ke hoach dau thau 30-6-2010 3" xfId="3998"/>
    <cellStyle name="Dziesietny_Invoices2001Slovakia_10_Nha so 10_Dien1_Book1_ke hoach dau thau 30-6-2010 3 2" xfId="3999"/>
    <cellStyle name="Dziesiętny_Invoices2001Slovakia_10_Nha so 10_Dien1_Book1_ke hoach dau thau 30-6-2010 3 2" xfId="4000"/>
    <cellStyle name="Dziesietny_Invoices2001Slovakia_10_Nha so 10_Dien1_Book1_ke hoach dau thau 30-6-2010 4" xfId="4001"/>
    <cellStyle name="Dziesiętny_Invoices2001Slovakia_10_Nha so 10_Dien1_Book1_ke hoach dau thau 30-6-2010 4" xfId="4002"/>
    <cellStyle name="Dziesietny_Invoices2001Slovakia_10_Nha so 10_Dien1_Book1_ke hoach dau thau 30-6-2010_BIEU KE HOACH  2015 (KTN 6.11 sua)" xfId="4003"/>
    <cellStyle name="Dziesiętny_Invoices2001Slovakia_10_Nha so 10_Dien1_Book1_ke hoach dau thau 30-6-2010_BIEU KE HOACH  2015 (KTN 6.11 sua)" xfId="4004"/>
    <cellStyle name="Dziesietny_Invoices2001Slovakia_10_Nha so 10_Dien1_Copy of KH PHAN BO VON ĐỐI ỨNG NAM 2011 (30 TY phuong án gop WB)" xfId="4005"/>
    <cellStyle name="Dziesiętny_Invoices2001Slovakia_10_Nha so 10_Dien1_Copy of KH PHAN BO VON ĐỐI ỨNG NAM 2011 (30 TY phuong án gop WB)" xfId="4006"/>
    <cellStyle name="Dziesietny_Invoices2001Slovakia_10_Nha so 10_Dien1_Copy of KH PHAN BO VON ĐỐI ỨNG NAM 2011 (30 TY phuong án gop WB) 2" xfId="4007"/>
    <cellStyle name="Dziesiętny_Invoices2001Slovakia_10_Nha so 10_Dien1_Copy of KH PHAN BO VON ĐỐI ỨNG NAM 2011 (30 TY phuong án gop WB) 2" xfId="4008"/>
    <cellStyle name="Dziesietny_Invoices2001Slovakia_10_Nha so 10_Dien1_Copy of KH PHAN BO VON ĐỐI ỨNG NAM 2011 (30 TY phuong án gop WB) 2 2" xfId="4009"/>
    <cellStyle name="Dziesiętny_Invoices2001Slovakia_10_Nha so 10_Dien1_Copy of KH PHAN BO VON ĐỐI ỨNG NAM 2011 (30 TY phuong án gop WB) 2 2" xfId="4010"/>
    <cellStyle name="Dziesietny_Invoices2001Slovakia_10_Nha so 10_Dien1_Copy of KH PHAN BO VON ĐỐI ỨNG NAM 2011 (30 TY phuong án gop WB) 3" xfId="4011"/>
    <cellStyle name="Dziesiętny_Invoices2001Slovakia_10_Nha so 10_Dien1_Copy of KH PHAN BO VON ĐỐI ỨNG NAM 2011 (30 TY phuong án gop WB) 3" xfId="4012"/>
    <cellStyle name="Dziesietny_Invoices2001Slovakia_10_Nha so 10_Dien1_Copy of KH PHAN BO VON ĐỐI ỨNG NAM 2011 (30 TY phuong án gop WB) 3 2" xfId="4013"/>
    <cellStyle name="Dziesiętny_Invoices2001Slovakia_10_Nha so 10_Dien1_Copy of KH PHAN BO VON ĐỐI ỨNG NAM 2011 (30 TY phuong án gop WB) 3 2" xfId="4014"/>
    <cellStyle name="Dziesietny_Invoices2001Slovakia_10_Nha so 10_Dien1_Copy of KH PHAN BO VON ĐỐI ỨNG NAM 2011 (30 TY phuong án gop WB) 4" xfId="4015"/>
    <cellStyle name="Dziesiętny_Invoices2001Slovakia_10_Nha so 10_Dien1_Copy of KH PHAN BO VON ĐỐI ỨNG NAM 2011 (30 TY phuong án gop WB) 4" xfId="4016"/>
    <cellStyle name="Dziesietny_Invoices2001Slovakia_10_Nha so 10_Dien1_Copy of KH PHAN BO VON ĐỐI ỨNG NAM 2011 (30 TY phuong án gop WB)_BIEU KE HOACH  2015 (KTN 6.11 sua)" xfId="4017"/>
    <cellStyle name="Dziesiętny_Invoices2001Slovakia_10_Nha so 10_Dien1_Copy of KH PHAN BO VON ĐỐI ỨNG NAM 2011 (30 TY phuong án gop WB)_BIEU KE HOACH  2015 (KTN 6.11 sua)" xfId="4018"/>
    <cellStyle name="Dziesietny_Invoices2001Slovakia_10_Nha so 10_Dien1_DTTD chieng chan Tham lai 29-9-2009" xfId="4019"/>
    <cellStyle name="Dziesiętny_Invoices2001Slovakia_10_Nha so 10_Dien1_DTTD chieng chan Tham lai 29-9-2009" xfId="4020"/>
    <cellStyle name="Dziesietny_Invoices2001Slovakia_10_Nha so 10_Dien1_DTTD chieng chan Tham lai 29-9-2009 2" xfId="4021"/>
    <cellStyle name="Dziesiętny_Invoices2001Slovakia_10_Nha so 10_Dien1_DTTD chieng chan Tham lai 29-9-2009 2" xfId="4022"/>
    <cellStyle name="Dziesietny_Invoices2001Slovakia_10_Nha so 10_Dien1_DTTD chieng chan Tham lai 29-9-2009 2 2" xfId="4023"/>
    <cellStyle name="Dziesiętny_Invoices2001Slovakia_10_Nha so 10_Dien1_DTTD chieng chan Tham lai 29-9-2009 2 2" xfId="4024"/>
    <cellStyle name="Dziesietny_Invoices2001Slovakia_10_Nha so 10_Dien1_DTTD chieng chan Tham lai 29-9-2009 3" xfId="4025"/>
    <cellStyle name="Dziesiętny_Invoices2001Slovakia_10_Nha so 10_Dien1_DTTD chieng chan Tham lai 29-9-2009 3" xfId="4026"/>
    <cellStyle name="Dziesietny_Invoices2001Slovakia_10_Nha so 10_Dien1_DTTD chieng chan Tham lai 29-9-2009 3 2" xfId="4027"/>
    <cellStyle name="Dziesiętny_Invoices2001Slovakia_10_Nha so 10_Dien1_DTTD chieng chan Tham lai 29-9-2009 3 2" xfId="4028"/>
    <cellStyle name="Dziesietny_Invoices2001Slovakia_10_Nha so 10_Dien1_DTTD chieng chan Tham lai 29-9-2009 4" xfId="4029"/>
    <cellStyle name="Dziesiętny_Invoices2001Slovakia_10_Nha so 10_Dien1_DTTD chieng chan Tham lai 29-9-2009 4" xfId="4030"/>
    <cellStyle name="Dziesietny_Invoices2001Slovakia_10_Nha so 10_Dien1_DTTD chieng chan Tham lai 29-9-2009_BIEU KE HOACH  2015 (KTN 6.11 sua)" xfId="4031"/>
    <cellStyle name="Dziesiętny_Invoices2001Slovakia_10_Nha so 10_Dien1_DTTD chieng chan Tham lai 29-9-2009_BIEU KE HOACH  2015 (KTN 6.11 sua)" xfId="4032"/>
    <cellStyle name="Dziesietny_Invoices2001Slovakia_10_Nha so 10_Dien1_Du toan nuoc San Thang (GD2)" xfId="4033"/>
    <cellStyle name="Dziesiętny_Invoices2001Slovakia_10_Nha so 10_Dien1_Du toan nuoc San Thang (GD2)" xfId="4034"/>
    <cellStyle name="Dziesietny_Invoices2001Slovakia_10_Nha so 10_Dien1_Du toan nuoc San Thang (GD2) 2" xfId="4035"/>
    <cellStyle name="Dziesiętny_Invoices2001Slovakia_10_Nha so 10_Dien1_Du toan nuoc San Thang (GD2) 2" xfId="4036"/>
    <cellStyle name="Dziesietny_Invoices2001Slovakia_10_Nha so 10_Dien1_Du toan nuoc San Thang (GD2) 2 2" xfId="4037"/>
    <cellStyle name="Dziesiętny_Invoices2001Slovakia_10_Nha so 10_Dien1_Du toan nuoc San Thang (GD2) 2 2" xfId="4038"/>
    <cellStyle name="Dziesietny_Invoices2001Slovakia_10_Nha so 10_Dien1_Du toan nuoc San Thang (GD2) 3" xfId="4039"/>
    <cellStyle name="Dziesiętny_Invoices2001Slovakia_10_Nha so 10_Dien1_Du toan nuoc San Thang (GD2) 3" xfId="4040"/>
    <cellStyle name="Dziesietny_Invoices2001Slovakia_10_Nha so 10_Dien1_Du toan nuoc San Thang (GD2) 3 2" xfId="4041"/>
    <cellStyle name="Dziesiętny_Invoices2001Slovakia_10_Nha so 10_Dien1_Du toan nuoc San Thang (GD2) 3 2" xfId="4042"/>
    <cellStyle name="Dziesietny_Invoices2001Slovakia_10_Nha so 10_Dien1_Du toan nuoc San Thang (GD2) 4" xfId="4043"/>
    <cellStyle name="Dziesiętny_Invoices2001Slovakia_10_Nha so 10_Dien1_Du toan nuoc San Thang (GD2) 4" xfId="4044"/>
    <cellStyle name="Dziesietny_Invoices2001Slovakia_10_Nha so 10_Dien1_Du toan nuoc San Thang (GD2) 5" xfId="4045"/>
    <cellStyle name="Dziesiętny_Invoices2001Slovakia_10_Nha so 10_Dien1_Du toan nuoc San Thang (GD2) 5" xfId="4046"/>
    <cellStyle name="Dziesietny_Invoices2001Slovakia_10_Nha so 10_Dien1_Ke hoach 2010 (theo doi 11-8-2010)" xfId="4047"/>
    <cellStyle name="Dziesiętny_Invoices2001Slovakia_10_Nha so 10_Dien1_Ke hoach 2010 (theo doi 11-8-2010)" xfId="4048"/>
    <cellStyle name="Dziesietny_Invoices2001Slovakia_10_Nha so 10_Dien1_Ke hoach 2010 (theo doi 11-8-2010) 2" xfId="4049"/>
    <cellStyle name="Dziesiętny_Invoices2001Slovakia_10_Nha so 10_Dien1_Ke hoach 2010 (theo doi 11-8-2010) 2" xfId="4050"/>
    <cellStyle name="Dziesietny_Invoices2001Slovakia_10_Nha so 10_Dien1_Ke hoach 2010 (theo doi 11-8-2010) 2 2" xfId="4051"/>
    <cellStyle name="Dziesiętny_Invoices2001Slovakia_10_Nha so 10_Dien1_Ke hoach 2010 (theo doi 11-8-2010) 2 2" xfId="4052"/>
    <cellStyle name="Dziesietny_Invoices2001Slovakia_10_Nha so 10_Dien1_Ke hoach 2010 (theo doi 11-8-2010) 3" xfId="4053"/>
    <cellStyle name="Dziesiętny_Invoices2001Slovakia_10_Nha so 10_Dien1_Ke hoach 2010 (theo doi 11-8-2010) 3" xfId="4054"/>
    <cellStyle name="Dziesietny_Invoices2001Slovakia_10_Nha so 10_Dien1_Ke hoach 2010 (theo doi 11-8-2010) 3 2" xfId="4055"/>
    <cellStyle name="Dziesiętny_Invoices2001Slovakia_10_Nha so 10_Dien1_Ke hoach 2010 (theo doi 11-8-2010) 3 2" xfId="4056"/>
    <cellStyle name="Dziesietny_Invoices2001Slovakia_10_Nha so 10_Dien1_Ke hoach 2010 (theo doi 11-8-2010) 4" xfId="4057"/>
    <cellStyle name="Dziesiętny_Invoices2001Slovakia_10_Nha so 10_Dien1_Ke hoach 2010 (theo doi 11-8-2010) 4" xfId="4058"/>
    <cellStyle name="Dziesietny_Invoices2001Slovakia_10_Nha so 10_Dien1_Ke hoach 2010 (theo doi 11-8-2010) 5" xfId="4059"/>
    <cellStyle name="Dziesiętny_Invoices2001Slovakia_10_Nha so 10_Dien1_Ke hoach 2010 (theo doi 11-8-2010) 5" xfId="4060"/>
    <cellStyle name="Dziesietny_Invoices2001Slovakia_10_Nha so 10_Dien1_ke hoach dau thau 30-6-2010" xfId="4061"/>
    <cellStyle name="Dziesiętny_Invoices2001Slovakia_10_Nha so 10_Dien1_ke hoach dau thau 30-6-2010" xfId="4062"/>
    <cellStyle name="Dziesietny_Invoices2001Slovakia_10_Nha so 10_Dien1_ke hoach dau thau 30-6-2010 2" xfId="4063"/>
    <cellStyle name="Dziesiętny_Invoices2001Slovakia_10_Nha so 10_Dien1_ke hoach dau thau 30-6-2010 2" xfId="4064"/>
    <cellStyle name="Dziesietny_Invoices2001Slovakia_10_Nha so 10_Dien1_ke hoach dau thau 30-6-2010 2 2" xfId="4065"/>
    <cellStyle name="Dziesiętny_Invoices2001Slovakia_10_Nha so 10_Dien1_ke hoach dau thau 30-6-2010 2 2" xfId="4066"/>
    <cellStyle name="Dziesietny_Invoices2001Slovakia_10_Nha so 10_Dien1_ke hoach dau thau 30-6-2010 3" xfId="4067"/>
    <cellStyle name="Dziesiętny_Invoices2001Slovakia_10_Nha so 10_Dien1_ke hoach dau thau 30-6-2010 3" xfId="4068"/>
    <cellStyle name="Dziesietny_Invoices2001Slovakia_10_Nha so 10_Dien1_ke hoach dau thau 30-6-2010 3 2" xfId="4069"/>
    <cellStyle name="Dziesiętny_Invoices2001Slovakia_10_Nha so 10_Dien1_ke hoach dau thau 30-6-2010 3 2" xfId="4070"/>
    <cellStyle name="Dziesietny_Invoices2001Slovakia_10_Nha so 10_Dien1_ke hoach dau thau 30-6-2010 4" xfId="4071"/>
    <cellStyle name="Dziesiętny_Invoices2001Slovakia_10_Nha so 10_Dien1_ke hoach dau thau 30-6-2010 4" xfId="4072"/>
    <cellStyle name="Dziesietny_Invoices2001Slovakia_10_Nha so 10_Dien1_ke hoach dau thau 30-6-2010 5" xfId="4073"/>
    <cellStyle name="Dziesiętny_Invoices2001Slovakia_10_Nha so 10_Dien1_ke hoach dau thau 30-6-2010 5" xfId="4074"/>
    <cellStyle name="Dziesietny_Invoices2001Slovakia_10_Nha so 10_Dien1_KH Von 2012 gui BKH 1" xfId="4075"/>
    <cellStyle name="Dziesiętny_Invoices2001Slovakia_10_Nha so 10_Dien1_KH Von 2012 gui BKH 1" xfId="4076"/>
    <cellStyle name="Dziesietny_Invoices2001Slovakia_10_Nha so 10_Dien1_KH Von 2012 gui BKH 1 2" xfId="4077"/>
    <cellStyle name="Dziesiętny_Invoices2001Slovakia_10_Nha so 10_Dien1_KH Von 2012 gui BKH 1 2" xfId="4078"/>
    <cellStyle name="Dziesietny_Invoices2001Slovakia_10_Nha so 10_Dien1_KH Von 2012 gui BKH 1 2 2" xfId="4079"/>
    <cellStyle name="Dziesiętny_Invoices2001Slovakia_10_Nha so 10_Dien1_KH Von 2012 gui BKH 1 2 2" xfId="4080"/>
    <cellStyle name="Dziesietny_Invoices2001Slovakia_10_Nha so 10_Dien1_KH Von 2012 gui BKH 1 3" xfId="4081"/>
    <cellStyle name="Dziesiętny_Invoices2001Slovakia_10_Nha so 10_Dien1_KH Von 2012 gui BKH 1 3" xfId="4082"/>
    <cellStyle name="Dziesietny_Invoices2001Slovakia_10_Nha so 10_Dien1_KH Von 2012 gui BKH 1 3 2" xfId="4083"/>
    <cellStyle name="Dziesiętny_Invoices2001Slovakia_10_Nha so 10_Dien1_KH Von 2012 gui BKH 1 3 2" xfId="4084"/>
    <cellStyle name="Dziesietny_Invoices2001Slovakia_10_Nha so 10_Dien1_KH Von 2012 gui BKH 1 4" xfId="4085"/>
    <cellStyle name="Dziesiętny_Invoices2001Slovakia_10_Nha so 10_Dien1_KH Von 2012 gui BKH 1 4" xfId="4086"/>
    <cellStyle name="Dziesietny_Invoices2001Slovakia_10_Nha so 10_Dien1_KH Von 2012 gui BKH 1_BIEU KE HOACH  2015 (KTN 6.11 sua)" xfId="4087"/>
    <cellStyle name="Dziesiętny_Invoices2001Slovakia_10_Nha so 10_Dien1_KH Von 2012 gui BKH 1_BIEU KE HOACH  2015 (KTN 6.11 sua)" xfId="4088"/>
    <cellStyle name="Dziesietny_Invoices2001Slovakia_10_Nha so 10_Dien1_QD ke hoach dau thau" xfId="4089"/>
    <cellStyle name="Dziesiętny_Invoices2001Slovakia_10_Nha so 10_Dien1_QD ke hoach dau thau" xfId="4090"/>
    <cellStyle name="Dziesietny_Invoices2001Slovakia_10_Nha so 10_Dien1_QD ke hoach dau thau 2" xfId="4091"/>
    <cellStyle name="Dziesiętny_Invoices2001Slovakia_10_Nha so 10_Dien1_QD ke hoach dau thau 2" xfId="4092"/>
    <cellStyle name="Dziesietny_Invoices2001Slovakia_10_Nha so 10_Dien1_QD ke hoach dau thau 2 2" xfId="4093"/>
    <cellStyle name="Dziesiętny_Invoices2001Slovakia_10_Nha so 10_Dien1_QD ke hoach dau thau 2 2" xfId="4094"/>
    <cellStyle name="Dziesietny_Invoices2001Slovakia_10_Nha so 10_Dien1_QD ke hoach dau thau 3" xfId="4095"/>
    <cellStyle name="Dziesiętny_Invoices2001Slovakia_10_Nha so 10_Dien1_QD ke hoach dau thau 3" xfId="4096"/>
    <cellStyle name="Dziesietny_Invoices2001Slovakia_10_Nha so 10_Dien1_QD ke hoach dau thau 3 2" xfId="4097"/>
    <cellStyle name="Dziesiętny_Invoices2001Slovakia_10_Nha so 10_Dien1_QD ke hoach dau thau 3 2" xfId="4098"/>
    <cellStyle name="Dziesietny_Invoices2001Slovakia_10_Nha so 10_Dien1_QD ke hoach dau thau 4" xfId="4099"/>
    <cellStyle name="Dziesiętny_Invoices2001Slovakia_10_Nha so 10_Dien1_QD ke hoach dau thau 4" xfId="4100"/>
    <cellStyle name="Dziesietny_Invoices2001Slovakia_10_Nha so 10_Dien1_QD ke hoach dau thau 5" xfId="4101"/>
    <cellStyle name="Dziesiętny_Invoices2001Slovakia_10_Nha so 10_Dien1_QD ke hoach dau thau 5" xfId="4102"/>
    <cellStyle name="Dziesietny_Invoices2001Slovakia_10_Nha so 10_Dien1_tien luong" xfId="4103"/>
    <cellStyle name="Dziesiętny_Invoices2001Slovakia_10_Nha so 10_Dien1_tien luong" xfId="4104"/>
    <cellStyle name="Dziesietny_Invoices2001Slovakia_10_Nha so 10_Dien1_tien luong 2" xfId="4105"/>
    <cellStyle name="Dziesiętny_Invoices2001Slovakia_10_Nha so 10_Dien1_tien luong 2" xfId="4106"/>
    <cellStyle name="Dziesietny_Invoices2001Slovakia_10_Nha so 10_Dien1_Tien luong chuan 01" xfId="4107"/>
    <cellStyle name="Dziesiętny_Invoices2001Slovakia_10_Nha so 10_Dien1_Tien luong chuan 01" xfId="4108"/>
    <cellStyle name="Dziesietny_Invoices2001Slovakia_10_Nha so 10_Dien1_Tien luong chuan 01 2" xfId="4109"/>
    <cellStyle name="Dziesiętny_Invoices2001Slovakia_10_Nha so 10_Dien1_Tien luong chuan 01 2" xfId="4110"/>
    <cellStyle name="Dziesietny_Invoices2001Slovakia_10_Nha so 10_Dien1_tinh toan hoang ha" xfId="4111"/>
    <cellStyle name="Dziesiętny_Invoices2001Slovakia_10_Nha so 10_Dien1_tinh toan hoang ha" xfId="4112"/>
    <cellStyle name="Dziesietny_Invoices2001Slovakia_10_Nha so 10_Dien1_tinh toan hoang ha 2" xfId="4113"/>
    <cellStyle name="Dziesiętny_Invoices2001Slovakia_10_Nha so 10_Dien1_tinh toan hoang ha 2" xfId="4114"/>
    <cellStyle name="Dziesietny_Invoices2001Slovakia_10_Nha so 10_Dien1_tinh toan hoang ha 2 2" xfId="4115"/>
    <cellStyle name="Dziesiętny_Invoices2001Slovakia_10_Nha so 10_Dien1_tinh toan hoang ha 2 2" xfId="4116"/>
    <cellStyle name="Dziesietny_Invoices2001Slovakia_10_Nha so 10_Dien1_tinh toan hoang ha 3" xfId="4117"/>
    <cellStyle name="Dziesiętny_Invoices2001Slovakia_10_Nha so 10_Dien1_tinh toan hoang ha 3" xfId="4118"/>
    <cellStyle name="Dziesietny_Invoices2001Slovakia_10_Nha so 10_Dien1_tinh toan hoang ha 3 2" xfId="4119"/>
    <cellStyle name="Dziesiętny_Invoices2001Slovakia_10_Nha so 10_Dien1_tinh toan hoang ha 3 2" xfId="4120"/>
    <cellStyle name="Dziesietny_Invoices2001Slovakia_10_Nha so 10_Dien1_tinh toan hoang ha 4" xfId="4121"/>
    <cellStyle name="Dziesiętny_Invoices2001Slovakia_10_Nha so 10_Dien1_tinh toan hoang ha 4" xfId="4122"/>
    <cellStyle name="Dziesietny_Invoices2001Slovakia_10_Nha so 10_Dien1_tinh toan hoang ha 5" xfId="4123"/>
    <cellStyle name="Dziesiętny_Invoices2001Slovakia_10_Nha so 10_Dien1_tinh toan hoang ha 5" xfId="4124"/>
    <cellStyle name="Dziesietny_Invoices2001Slovakia_10_Nha so 10_Dien1_Tong von ĐTPT" xfId="4125"/>
    <cellStyle name="Dziesiętny_Invoices2001Slovakia_10_Nha so 10_Dien1_Tong von ĐTPT" xfId="4126"/>
    <cellStyle name="Dziesietny_Invoices2001Slovakia_10_Nha so 10_Dien1_Tong von ĐTPT 2" xfId="4127"/>
    <cellStyle name="Dziesiętny_Invoices2001Slovakia_10_Nha so 10_Dien1_Tong von ĐTPT 2" xfId="4128"/>
    <cellStyle name="Dziesietny_Invoices2001Slovakia_10_Nha so 10_Dien1_Tong von ĐTPT 2 2" xfId="4129"/>
    <cellStyle name="Dziesiętny_Invoices2001Slovakia_10_Nha so 10_Dien1_Tong von ĐTPT 2 2" xfId="4130"/>
    <cellStyle name="Dziesietny_Invoices2001Slovakia_10_Nha so 10_Dien1_Tong von ĐTPT 3" xfId="4131"/>
    <cellStyle name="Dziesiętny_Invoices2001Slovakia_10_Nha so 10_Dien1_Tong von ĐTPT 3" xfId="4132"/>
    <cellStyle name="Dziesietny_Invoices2001Slovakia_10_Nha so 10_Dien1_Tong von ĐTPT 3 2" xfId="4133"/>
    <cellStyle name="Dziesiętny_Invoices2001Slovakia_10_Nha so 10_Dien1_Tong von ĐTPT 3 2" xfId="4134"/>
    <cellStyle name="Dziesietny_Invoices2001Slovakia_10_Nha so 10_Dien1_Tong von ĐTPT 4" xfId="4135"/>
    <cellStyle name="Dziesiętny_Invoices2001Slovakia_10_Nha so 10_Dien1_Tong von ĐTPT 4" xfId="4136"/>
    <cellStyle name="Dziesietny_Invoices2001Slovakia_10_Nha so 10_Dien1_Tong von ĐTPT 5" xfId="4137"/>
    <cellStyle name="Dziesiętny_Invoices2001Slovakia_10_Nha so 10_Dien1_Tong von ĐTPT 5" xfId="4138"/>
    <cellStyle name="Dziesietny_Invoices2001Slovakia_bang so sanh gia tri" xfId="4139"/>
    <cellStyle name="Dziesiętny_Invoices2001Slovakia_bao_cao_TH_th_cong_tac_dau_thau_-_ngay251209" xfId="4140"/>
    <cellStyle name="Dziesietny_Invoices2001Slovakia_bieu tong hop lai kh von 2011 gui phong TH-KTDN" xfId="4141"/>
    <cellStyle name="Dziesiętny_Invoices2001Slovakia_bieu tong hop lai kh von 2011 gui phong TH-KTDN" xfId="4142"/>
    <cellStyle name="Dziesietny_Invoices2001Slovakia_bieu tong hop lai kh von 2011 gui phong TH-KTDN 2" xfId="4143"/>
    <cellStyle name="Dziesiętny_Invoices2001Slovakia_bieu tong hop lai kh von 2011 gui phong TH-KTDN 2" xfId="4144"/>
    <cellStyle name="Dziesietny_Invoices2001Slovakia_bieu tong hop lai kh von 2011 gui phong TH-KTDN 2 2" xfId="4145"/>
    <cellStyle name="Dziesiętny_Invoices2001Slovakia_bieu tong hop lai kh von 2011 gui phong TH-KTDN 2 2" xfId="4146"/>
    <cellStyle name="Dziesietny_Invoices2001Slovakia_bieu tong hop lai kh von 2011 gui phong TH-KTDN 3" xfId="4147"/>
    <cellStyle name="Dziesiętny_Invoices2001Slovakia_bieu tong hop lai kh von 2011 gui phong TH-KTDN 3" xfId="4148"/>
    <cellStyle name="Dziesietny_Invoices2001Slovakia_bieu tong hop lai kh von 2011 gui phong TH-KTDN 3 2" xfId="4149"/>
    <cellStyle name="Dziesiętny_Invoices2001Slovakia_bieu tong hop lai kh von 2011 gui phong TH-KTDN 3 2" xfId="4150"/>
    <cellStyle name="Dziesietny_Invoices2001Slovakia_bieu tong hop lai kh von 2011 gui phong TH-KTDN 4" xfId="4151"/>
    <cellStyle name="Dziesiętny_Invoices2001Slovakia_bieu tong hop lai kh von 2011 gui phong TH-KTDN 4" xfId="4152"/>
    <cellStyle name="Dziesietny_Invoices2001Slovakia_bieu tong hop lai kh von 2011 gui phong TH-KTDN_BIEU KE HOACH  2015 (KTN 6.11 sua)" xfId="4153"/>
    <cellStyle name="Dziesiętny_Invoices2001Slovakia_bieu tong hop lai kh von 2011 gui phong TH-KTDN_BIEU KE HOACH  2015 (KTN 6.11 sua)" xfId="4154"/>
    <cellStyle name="Dziesietny_Invoices2001Slovakia_BIỂU TỔNG HỢP LẦN CUỐI SỬA THEO NGHI QUYẾT SỐ 81" xfId="4155"/>
    <cellStyle name="Dziesiętny_Invoices2001Slovakia_Book1" xfId="4156"/>
    <cellStyle name="Dziesietny_Invoices2001Slovakia_Book1_1" xfId="4157"/>
    <cellStyle name="Dziesiętny_Invoices2001Slovakia_Book1_1" xfId="4158"/>
    <cellStyle name="Dziesietny_Invoices2001Slovakia_Book1_1 2" xfId="4159"/>
    <cellStyle name="Dziesiętny_Invoices2001Slovakia_Book1_1 2" xfId="4160"/>
    <cellStyle name="Dziesietny_Invoices2001Slovakia_Book1_1 3" xfId="4161"/>
    <cellStyle name="Dziesiętny_Invoices2001Slovakia_Book1_1 3" xfId="4162"/>
    <cellStyle name="Dziesietny_Invoices2001Slovakia_Book1_1 4" xfId="4163"/>
    <cellStyle name="Dziesiętny_Invoices2001Slovakia_Book1_1 4" xfId="4164"/>
    <cellStyle name="Dziesietny_Invoices2001Slovakia_Book1_1 5" xfId="4165"/>
    <cellStyle name="Dziesiętny_Invoices2001Slovakia_Book1_1 5" xfId="4166"/>
    <cellStyle name="Dziesietny_Invoices2001Slovakia_Book1_1_Bao cao danh muc cac cong trinh tren dia ban huyen 4-2010" xfId="4167"/>
    <cellStyle name="Dziesiętny_Invoices2001Slovakia_Book1_1_Bao cao danh muc cac cong trinh tren dia ban huyen 4-2010" xfId="4168"/>
    <cellStyle name="Dziesietny_Invoices2001Slovakia_Book1_1_Bao cao danh muc cac cong trinh tren dia ban huyen 4-2010 2" xfId="4169"/>
    <cellStyle name="Dziesiętny_Invoices2001Slovakia_Book1_1_Bao cao danh muc cac cong trinh tren dia ban huyen 4-2010 2" xfId="4170"/>
    <cellStyle name="Dziesietny_Invoices2001Slovakia_Book1_1_bieu ke hoach dau thau" xfId="4171"/>
    <cellStyle name="Dziesiętny_Invoices2001Slovakia_Book1_1_bieu ke hoach dau thau" xfId="4172"/>
    <cellStyle name="Dziesietny_Invoices2001Slovakia_Book1_1_bieu ke hoach dau thau 2" xfId="4173"/>
    <cellStyle name="Dziesiętny_Invoices2001Slovakia_Book1_1_bieu ke hoach dau thau 2" xfId="4174"/>
    <cellStyle name="Dziesietny_Invoices2001Slovakia_Book1_1_bieu ke hoach dau thau 2 2" xfId="4175"/>
    <cellStyle name="Dziesiętny_Invoices2001Slovakia_Book1_1_bieu ke hoach dau thau 2 2" xfId="4176"/>
    <cellStyle name="Dziesietny_Invoices2001Slovakia_Book1_1_bieu ke hoach dau thau 3" xfId="4177"/>
    <cellStyle name="Dziesiętny_Invoices2001Slovakia_Book1_1_bieu ke hoach dau thau 3" xfId="4178"/>
    <cellStyle name="Dziesietny_Invoices2001Slovakia_Book1_1_bieu ke hoach dau thau 3 2" xfId="4179"/>
    <cellStyle name="Dziesiętny_Invoices2001Slovakia_Book1_1_bieu ke hoach dau thau 3 2" xfId="4180"/>
    <cellStyle name="Dziesietny_Invoices2001Slovakia_Book1_1_bieu ke hoach dau thau 4" xfId="4181"/>
    <cellStyle name="Dziesiętny_Invoices2001Slovakia_Book1_1_bieu ke hoach dau thau 4" xfId="4182"/>
    <cellStyle name="Dziesietny_Invoices2001Slovakia_Book1_1_bieu ke hoach dau thau 5" xfId="4183"/>
    <cellStyle name="Dziesiętny_Invoices2001Slovakia_Book1_1_bieu ke hoach dau thau 5" xfId="4184"/>
    <cellStyle name="Dziesietny_Invoices2001Slovakia_Book1_1_bieu ke hoach dau thau truong mam non SKH" xfId="4185"/>
    <cellStyle name="Dziesiętny_Invoices2001Slovakia_Book1_1_bieu ke hoach dau thau truong mam non SKH" xfId="4186"/>
    <cellStyle name="Dziesietny_Invoices2001Slovakia_Book1_1_bieu ke hoach dau thau truong mam non SKH 2" xfId="4187"/>
    <cellStyle name="Dziesiętny_Invoices2001Slovakia_Book1_1_bieu ke hoach dau thau truong mam non SKH 2" xfId="4188"/>
    <cellStyle name="Dziesietny_Invoices2001Slovakia_Book1_1_bieu ke hoach dau thau truong mam non SKH 2 2" xfId="4189"/>
    <cellStyle name="Dziesiętny_Invoices2001Slovakia_Book1_1_bieu ke hoach dau thau truong mam non SKH 2 2" xfId="4190"/>
    <cellStyle name="Dziesietny_Invoices2001Slovakia_Book1_1_bieu ke hoach dau thau truong mam non SKH 3" xfId="4191"/>
    <cellStyle name="Dziesiętny_Invoices2001Slovakia_Book1_1_bieu ke hoach dau thau truong mam non SKH 3" xfId="4192"/>
    <cellStyle name="Dziesietny_Invoices2001Slovakia_Book1_1_bieu ke hoach dau thau truong mam non SKH 3 2" xfId="4193"/>
    <cellStyle name="Dziesiętny_Invoices2001Slovakia_Book1_1_bieu ke hoach dau thau truong mam non SKH 3 2" xfId="4194"/>
    <cellStyle name="Dziesietny_Invoices2001Slovakia_Book1_1_bieu ke hoach dau thau truong mam non SKH 4" xfId="4195"/>
    <cellStyle name="Dziesiętny_Invoices2001Slovakia_Book1_1_bieu ke hoach dau thau truong mam non SKH 4" xfId="4196"/>
    <cellStyle name="Dziesietny_Invoices2001Slovakia_Book1_1_bieu ke hoach dau thau truong mam non SKH 5" xfId="4197"/>
    <cellStyle name="Dziesiętny_Invoices2001Slovakia_Book1_1_bieu ke hoach dau thau truong mam non SKH 5" xfId="4198"/>
    <cellStyle name="Dziesietny_Invoices2001Slovakia_Book1_1_bieu tong hop lai kh von 2011 gui phong TH-KTDN" xfId="4199"/>
    <cellStyle name="Dziesiętny_Invoices2001Slovakia_Book1_1_bieu tong hop lai kh von 2011 gui phong TH-KTDN" xfId="4200"/>
    <cellStyle name="Dziesietny_Invoices2001Slovakia_Book1_1_bieu tong hop lai kh von 2011 gui phong TH-KTDN 2" xfId="4201"/>
    <cellStyle name="Dziesiętny_Invoices2001Slovakia_Book1_1_bieu tong hop lai kh von 2011 gui phong TH-KTDN 2" xfId="4202"/>
    <cellStyle name="Dziesietny_Invoices2001Slovakia_Book1_1_bieu tong hop lai kh von 2011 gui phong TH-KTDN 2 2" xfId="4203"/>
    <cellStyle name="Dziesiętny_Invoices2001Slovakia_Book1_1_bieu tong hop lai kh von 2011 gui phong TH-KTDN 2 2" xfId="4204"/>
    <cellStyle name="Dziesietny_Invoices2001Slovakia_Book1_1_bieu tong hop lai kh von 2011 gui phong TH-KTDN 3" xfId="4205"/>
    <cellStyle name="Dziesiętny_Invoices2001Slovakia_Book1_1_bieu tong hop lai kh von 2011 gui phong TH-KTDN 3" xfId="4206"/>
    <cellStyle name="Dziesietny_Invoices2001Slovakia_Book1_1_bieu tong hop lai kh von 2011 gui phong TH-KTDN 3 2" xfId="4207"/>
    <cellStyle name="Dziesiętny_Invoices2001Slovakia_Book1_1_bieu tong hop lai kh von 2011 gui phong TH-KTDN 3 2" xfId="4208"/>
    <cellStyle name="Dziesietny_Invoices2001Slovakia_Book1_1_bieu tong hop lai kh von 2011 gui phong TH-KTDN 4" xfId="4209"/>
    <cellStyle name="Dziesiętny_Invoices2001Slovakia_Book1_1_bieu tong hop lai kh von 2011 gui phong TH-KTDN 4" xfId="4210"/>
    <cellStyle name="Dziesietny_Invoices2001Slovakia_Book1_1_bieu tong hop lai kh von 2011 gui phong TH-KTDN_BIEU KE HOACH  2015 (KTN 6.11 sua)" xfId="4211"/>
    <cellStyle name="Dziesiętny_Invoices2001Slovakia_Book1_1_bieu tong hop lai kh von 2011 gui phong TH-KTDN_BIEU KE HOACH  2015 (KTN 6.11 sua)" xfId="4212"/>
    <cellStyle name="Dziesietny_Invoices2001Slovakia_Book1_1_Book1" xfId="4213"/>
    <cellStyle name="Dziesiętny_Invoices2001Slovakia_Book1_1_Book1" xfId="4214"/>
    <cellStyle name="Dziesietny_Invoices2001Slovakia_Book1_1_Book1 2" xfId="4215"/>
    <cellStyle name="Dziesiętny_Invoices2001Slovakia_Book1_1_Book1 2" xfId="4216"/>
    <cellStyle name="Dziesietny_Invoices2001Slovakia_Book1_1_Book1_1" xfId="4217"/>
    <cellStyle name="Dziesiętny_Invoices2001Slovakia_Book1_1_Book1_1" xfId="4218"/>
    <cellStyle name="Dziesietny_Invoices2001Slovakia_Book1_1_Book1_1 2" xfId="4219"/>
    <cellStyle name="Dziesiętny_Invoices2001Slovakia_Book1_1_Book1_1 2" xfId="4220"/>
    <cellStyle name="Dziesietny_Invoices2001Slovakia_Book1_1_Book1_1 2 2" xfId="4221"/>
    <cellStyle name="Dziesiętny_Invoices2001Slovakia_Book1_1_Book1_1 2 2" xfId="4222"/>
    <cellStyle name="Dziesietny_Invoices2001Slovakia_Book1_1_Book1_1 3" xfId="4223"/>
    <cellStyle name="Dziesiętny_Invoices2001Slovakia_Book1_1_Book1_1 3" xfId="4224"/>
    <cellStyle name="Dziesietny_Invoices2001Slovakia_Book1_1_Book1_1 3 2" xfId="4225"/>
    <cellStyle name="Dziesiętny_Invoices2001Slovakia_Book1_1_Book1_1 3 2" xfId="4226"/>
    <cellStyle name="Dziesietny_Invoices2001Slovakia_Book1_1_Book1_1 4" xfId="4227"/>
    <cellStyle name="Dziesiętny_Invoices2001Slovakia_Book1_1_Book1_1 4" xfId="4228"/>
    <cellStyle name="Dziesietny_Invoices2001Slovakia_Book1_1_Book1_1 5" xfId="4229"/>
    <cellStyle name="Dziesiętny_Invoices2001Slovakia_Book1_1_Book1_1 5" xfId="4230"/>
    <cellStyle name="Dziesietny_Invoices2001Slovakia_Book1_1_Book1_1_DTTD chieng chan Tham lai 29-9-2009" xfId="4231"/>
    <cellStyle name="Dziesiętny_Invoices2001Slovakia_Book1_1_Book1_1_DTTD chieng chan Tham lai 29-9-2009" xfId="4232"/>
    <cellStyle name="Dziesietny_Invoices2001Slovakia_Book1_1_Book1_1_DTTD chieng chan Tham lai 29-9-2009 2" xfId="4233"/>
    <cellStyle name="Dziesiętny_Invoices2001Slovakia_Book1_1_Book1_1_DTTD chieng chan Tham lai 29-9-2009 2" xfId="4234"/>
    <cellStyle name="Dziesietny_Invoices2001Slovakia_Book1_1_Book1_1_DTTD chieng chan Tham lai 29-9-2009 2 2" xfId="4235"/>
    <cellStyle name="Dziesiętny_Invoices2001Slovakia_Book1_1_Book1_1_DTTD chieng chan Tham lai 29-9-2009 2 2" xfId="4236"/>
    <cellStyle name="Dziesietny_Invoices2001Slovakia_Book1_1_Book1_1_DTTD chieng chan Tham lai 29-9-2009 3" xfId="4237"/>
    <cellStyle name="Dziesiętny_Invoices2001Slovakia_Book1_1_Book1_1_DTTD chieng chan Tham lai 29-9-2009 3" xfId="4238"/>
    <cellStyle name="Dziesietny_Invoices2001Slovakia_Book1_1_Book1_1_DTTD chieng chan Tham lai 29-9-2009 3 2" xfId="4239"/>
    <cellStyle name="Dziesiętny_Invoices2001Slovakia_Book1_1_Book1_1_DTTD chieng chan Tham lai 29-9-2009 3 2" xfId="4240"/>
    <cellStyle name="Dziesietny_Invoices2001Slovakia_Book1_1_Book1_1_DTTD chieng chan Tham lai 29-9-2009 4" xfId="4241"/>
    <cellStyle name="Dziesiętny_Invoices2001Slovakia_Book1_1_Book1_1_DTTD chieng chan Tham lai 29-9-2009 4" xfId="4242"/>
    <cellStyle name="Dziesietny_Invoices2001Slovakia_Book1_1_Book1_1_DTTD chieng chan Tham lai 29-9-2009 5" xfId="4243"/>
    <cellStyle name="Dziesiętny_Invoices2001Slovakia_Book1_1_Book1_1_DTTD chieng chan Tham lai 29-9-2009 5" xfId="4244"/>
    <cellStyle name="Dziesietny_Invoices2001Slovakia_Book1_1_Book1_1_Ke hoach 2010 (theo doi 11-8-2010)" xfId="4245"/>
    <cellStyle name="Dziesiętny_Invoices2001Slovakia_Book1_1_Book1_1_Ke hoach 2010 (theo doi 11-8-2010)" xfId="4246"/>
    <cellStyle name="Dziesietny_Invoices2001Slovakia_Book1_1_Book1_1_Ke hoach 2010 (theo doi 11-8-2010) 2" xfId="4247"/>
    <cellStyle name="Dziesiętny_Invoices2001Slovakia_Book1_1_Book1_1_Ke hoach 2010 (theo doi 11-8-2010) 2" xfId="4248"/>
    <cellStyle name="Dziesietny_Invoices2001Slovakia_Book1_1_Book1_1_Ke hoach 2010 (theo doi 11-8-2010) 2 2" xfId="4249"/>
    <cellStyle name="Dziesiętny_Invoices2001Slovakia_Book1_1_Book1_1_Ke hoach 2010 (theo doi 11-8-2010) 2 2" xfId="4250"/>
    <cellStyle name="Dziesietny_Invoices2001Slovakia_Book1_1_Book1_1_Ke hoach 2010 (theo doi 11-8-2010) 3" xfId="4251"/>
    <cellStyle name="Dziesiętny_Invoices2001Slovakia_Book1_1_Book1_1_Ke hoach 2010 (theo doi 11-8-2010) 3" xfId="4252"/>
    <cellStyle name="Dziesietny_Invoices2001Slovakia_Book1_1_Book1_1_Ke hoach 2010 (theo doi 11-8-2010) 3 2" xfId="4253"/>
    <cellStyle name="Dziesiętny_Invoices2001Slovakia_Book1_1_Book1_1_Ke hoach 2010 (theo doi 11-8-2010) 3 2" xfId="4254"/>
    <cellStyle name="Dziesietny_Invoices2001Slovakia_Book1_1_Book1_1_Ke hoach 2010 (theo doi 11-8-2010) 4" xfId="4255"/>
    <cellStyle name="Dziesiętny_Invoices2001Slovakia_Book1_1_Book1_1_Ke hoach 2010 (theo doi 11-8-2010) 4" xfId="4256"/>
    <cellStyle name="Dziesietny_Invoices2001Slovakia_Book1_1_Book1_1_Ke hoach 2010 (theo doi 11-8-2010)_BIEU KE HOACH  2015 (KTN 6.11 sua)" xfId="4257"/>
    <cellStyle name="Dziesiętny_Invoices2001Slovakia_Book1_1_Book1_1_Ke hoach 2010 (theo doi 11-8-2010)_BIEU KE HOACH  2015 (KTN 6.11 sua)" xfId="4258"/>
    <cellStyle name="Dziesietny_Invoices2001Slovakia_Book1_1_Book1_1_ke hoach dau thau 30-6-2010" xfId="4259"/>
    <cellStyle name="Dziesiętny_Invoices2001Slovakia_Book1_1_Book1_1_ke hoach dau thau 30-6-2010" xfId="4260"/>
    <cellStyle name="Dziesietny_Invoices2001Slovakia_Book1_1_Book1_1_ke hoach dau thau 30-6-2010 2" xfId="4261"/>
    <cellStyle name="Dziesiętny_Invoices2001Slovakia_Book1_1_Book1_1_ke hoach dau thau 30-6-2010 2" xfId="4262"/>
    <cellStyle name="Dziesietny_Invoices2001Slovakia_Book1_1_Book1_1_ke hoach dau thau 30-6-2010 2 2" xfId="4263"/>
    <cellStyle name="Dziesiętny_Invoices2001Slovakia_Book1_1_Book1_1_ke hoach dau thau 30-6-2010 2 2" xfId="4264"/>
    <cellStyle name="Dziesietny_Invoices2001Slovakia_Book1_1_Book1_1_ke hoach dau thau 30-6-2010 3" xfId="4265"/>
    <cellStyle name="Dziesiętny_Invoices2001Slovakia_Book1_1_Book1_1_ke hoach dau thau 30-6-2010 3" xfId="4266"/>
    <cellStyle name="Dziesietny_Invoices2001Slovakia_Book1_1_Book1_1_ke hoach dau thau 30-6-2010 3 2" xfId="4267"/>
    <cellStyle name="Dziesiętny_Invoices2001Slovakia_Book1_1_Book1_1_ke hoach dau thau 30-6-2010 3 2" xfId="4268"/>
    <cellStyle name="Dziesietny_Invoices2001Slovakia_Book1_1_Book1_1_ke hoach dau thau 30-6-2010 4" xfId="4269"/>
    <cellStyle name="Dziesiętny_Invoices2001Slovakia_Book1_1_Book1_1_ke hoach dau thau 30-6-2010 4" xfId="4270"/>
    <cellStyle name="Dziesietny_Invoices2001Slovakia_Book1_1_Book1_1_ke hoach dau thau 30-6-2010_BIEU KE HOACH  2015 (KTN 6.11 sua)" xfId="4271"/>
    <cellStyle name="Dziesiętny_Invoices2001Slovakia_Book1_1_Book1_1_ke hoach dau thau 30-6-2010_BIEU KE HOACH  2015 (KTN 6.11 sua)" xfId="4272"/>
    <cellStyle name="Dziesietny_Invoices2001Slovakia_Book1_1_Book1_2" xfId="4273"/>
    <cellStyle name="Dziesiętny_Invoices2001Slovakia_Book1_1_Book1_2" xfId="4274"/>
    <cellStyle name="Dziesietny_Invoices2001Slovakia_Book1_1_Book1_2 2" xfId="4275"/>
    <cellStyle name="Dziesiętny_Invoices2001Slovakia_Book1_1_Book1_2 2" xfId="4276"/>
    <cellStyle name="Dziesietny_Invoices2001Slovakia_Book1_1_Book1_2_ke hoach dau thau 30-6-2010" xfId="4277"/>
    <cellStyle name="Dziesiętny_Invoices2001Slovakia_Book1_1_Book1_2_ke hoach dau thau 30-6-2010" xfId="4278"/>
    <cellStyle name="Dziesietny_Invoices2001Slovakia_Book1_1_Book1_2_ke hoach dau thau 30-6-2010 2" xfId="4279"/>
    <cellStyle name="Dziesiętny_Invoices2001Slovakia_Book1_1_Book1_2_ke hoach dau thau 30-6-2010 2" xfId="4280"/>
    <cellStyle name="Dziesietny_Invoices2001Slovakia_Book1_1_Book1_2_ke hoach dau thau 30-6-2010 2 2" xfId="4281"/>
    <cellStyle name="Dziesiętny_Invoices2001Slovakia_Book1_1_Book1_2_ke hoach dau thau 30-6-2010 2 2" xfId="4282"/>
    <cellStyle name="Dziesietny_Invoices2001Slovakia_Book1_1_Book1_2_ke hoach dau thau 30-6-2010 3" xfId="4283"/>
    <cellStyle name="Dziesiętny_Invoices2001Slovakia_Book1_1_Book1_2_ke hoach dau thau 30-6-2010 3" xfId="4284"/>
    <cellStyle name="Dziesietny_Invoices2001Slovakia_Book1_1_Book1_2_ke hoach dau thau 30-6-2010 3 2" xfId="4285"/>
    <cellStyle name="Dziesiętny_Invoices2001Slovakia_Book1_1_Book1_2_ke hoach dau thau 30-6-2010 3 2" xfId="4286"/>
    <cellStyle name="Dziesietny_Invoices2001Slovakia_Book1_1_Book1_2_ke hoach dau thau 30-6-2010 4" xfId="4287"/>
    <cellStyle name="Dziesiętny_Invoices2001Slovakia_Book1_1_Book1_2_ke hoach dau thau 30-6-2010 4" xfId="4288"/>
    <cellStyle name="Dziesietny_Invoices2001Slovakia_Book1_1_Book1_2_ke hoach dau thau 30-6-2010 5" xfId="4289"/>
    <cellStyle name="Dziesiętny_Invoices2001Slovakia_Book1_1_Book1_2_ke hoach dau thau 30-6-2010 5" xfId="4290"/>
    <cellStyle name="Dziesietny_Invoices2001Slovakia_Book1_1_Book1_3" xfId="4291"/>
    <cellStyle name="Dziesiętny_Invoices2001Slovakia_Book1_1_Book1_3" xfId="4292"/>
    <cellStyle name="Dziesietny_Invoices2001Slovakia_Book1_1_Book1_3 2" xfId="4293"/>
    <cellStyle name="Dziesiętny_Invoices2001Slovakia_Book1_1_Book1_3 2" xfId="4294"/>
    <cellStyle name="Dziesietny_Invoices2001Slovakia_Book1_1_Book1_Bao cao danh muc cac cong trinh tren dia ban huyen 4-2010" xfId="4295"/>
    <cellStyle name="Dziesiętny_Invoices2001Slovakia_Book1_1_Book1_Bao cao danh muc cac cong trinh tren dia ban huyen 4-2010" xfId="4296"/>
    <cellStyle name="Dziesietny_Invoices2001Slovakia_Book1_1_Book1_Bao cao danh muc cac cong trinh tren dia ban huyen 4-2010 2" xfId="4297"/>
    <cellStyle name="Dziesiętny_Invoices2001Slovakia_Book1_1_Book1_Bao cao danh muc cac cong trinh tren dia ban huyen 4-2010 2" xfId="4298"/>
    <cellStyle name="Dziesietny_Invoices2001Slovakia_Book1_1_Book1_bieu ke hoach dau thau" xfId="4299"/>
    <cellStyle name="Dziesiętny_Invoices2001Slovakia_Book1_1_Book1_bieu ke hoach dau thau" xfId="4300"/>
    <cellStyle name="Dziesietny_Invoices2001Slovakia_Book1_1_Book1_bieu ke hoach dau thau 2" xfId="4301"/>
    <cellStyle name="Dziesiętny_Invoices2001Slovakia_Book1_1_Book1_bieu ke hoach dau thau 2" xfId="4302"/>
    <cellStyle name="Dziesietny_Invoices2001Slovakia_Book1_1_Book1_bieu ke hoach dau thau 2 2" xfId="4303"/>
    <cellStyle name="Dziesiętny_Invoices2001Slovakia_Book1_1_Book1_bieu ke hoach dau thau 2 2" xfId="4304"/>
    <cellStyle name="Dziesietny_Invoices2001Slovakia_Book1_1_Book1_bieu ke hoach dau thau 3" xfId="4305"/>
    <cellStyle name="Dziesiętny_Invoices2001Slovakia_Book1_1_Book1_bieu ke hoach dau thau 3" xfId="4306"/>
    <cellStyle name="Dziesietny_Invoices2001Slovakia_Book1_1_Book1_bieu ke hoach dau thau 3 2" xfId="4307"/>
    <cellStyle name="Dziesiętny_Invoices2001Slovakia_Book1_1_Book1_bieu ke hoach dau thau 3 2" xfId="4308"/>
    <cellStyle name="Dziesietny_Invoices2001Slovakia_Book1_1_Book1_bieu ke hoach dau thau 4" xfId="4309"/>
    <cellStyle name="Dziesiętny_Invoices2001Slovakia_Book1_1_Book1_bieu ke hoach dau thau 4" xfId="4310"/>
    <cellStyle name="Dziesietny_Invoices2001Slovakia_Book1_1_Book1_bieu ke hoach dau thau truong mam non SKH" xfId="4311"/>
    <cellStyle name="Dziesiętny_Invoices2001Slovakia_Book1_1_Book1_bieu ke hoach dau thau truong mam non SKH" xfId="4312"/>
    <cellStyle name="Dziesietny_Invoices2001Slovakia_Book1_1_Book1_bieu ke hoach dau thau truong mam non SKH 2" xfId="4313"/>
    <cellStyle name="Dziesiętny_Invoices2001Slovakia_Book1_1_Book1_bieu ke hoach dau thau truong mam non SKH 2" xfId="4314"/>
    <cellStyle name="Dziesietny_Invoices2001Slovakia_Book1_1_Book1_bieu ke hoach dau thau truong mam non SKH 2 2" xfId="4315"/>
    <cellStyle name="Dziesiętny_Invoices2001Slovakia_Book1_1_Book1_bieu ke hoach dau thau truong mam non SKH 2 2" xfId="4316"/>
    <cellStyle name="Dziesietny_Invoices2001Slovakia_Book1_1_Book1_bieu ke hoach dau thau truong mam non SKH 3" xfId="4317"/>
    <cellStyle name="Dziesiętny_Invoices2001Slovakia_Book1_1_Book1_bieu ke hoach dau thau truong mam non SKH 3" xfId="4318"/>
    <cellStyle name="Dziesietny_Invoices2001Slovakia_Book1_1_Book1_bieu ke hoach dau thau truong mam non SKH 3 2" xfId="4319"/>
    <cellStyle name="Dziesiętny_Invoices2001Slovakia_Book1_1_Book1_bieu ke hoach dau thau truong mam non SKH 3 2" xfId="4320"/>
    <cellStyle name="Dziesietny_Invoices2001Slovakia_Book1_1_Book1_bieu ke hoach dau thau truong mam non SKH 4" xfId="4321"/>
    <cellStyle name="Dziesiętny_Invoices2001Slovakia_Book1_1_Book1_bieu ke hoach dau thau truong mam non SKH 4" xfId="4322"/>
    <cellStyle name="Dziesietny_Invoices2001Slovakia_Book1_1_Book1_bieu tong hop lai kh von 2011 gui phong TH-KTDN" xfId="4323"/>
    <cellStyle name="Dziesiętny_Invoices2001Slovakia_Book1_1_Book1_bieu tong hop lai kh von 2011 gui phong TH-KTDN" xfId="4324"/>
    <cellStyle name="Dziesietny_Invoices2001Slovakia_Book1_1_Book1_bieu tong hop lai kh von 2011 gui phong TH-KTDN 2" xfId="4325"/>
    <cellStyle name="Dziesiętny_Invoices2001Slovakia_Book1_1_Book1_bieu tong hop lai kh von 2011 gui phong TH-KTDN 2" xfId="4326"/>
    <cellStyle name="Dziesietny_Invoices2001Slovakia_Book1_1_Book1_bieu tong hop lai kh von 2011 gui phong TH-KTDN 2 2" xfId="4327"/>
    <cellStyle name="Dziesiętny_Invoices2001Slovakia_Book1_1_Book1_bieu tong hop lai kh von 2011 gui phong TH-KTDN 2 2" xfId="4328"/>
    <cellStyle name="Dziesietny_Invoices2001Slovakia_Book1_1_Book1_bieu tong hop lai kh von 2011 gui phong TH-KTDN 3" xfId="4329"/>
    <cellStyle name="Dziesiętny_Invoices2001Slovakia_Book1_1_Book1_bieu tong hop lai kh von 2011 gui phong TH-KTDN 3" xfId="4330"/>
    <cellStyle name="Dziesietny_Invoices2001Slovakia_Book1_1_Book1_bieu tong hop lai kh von 2011 gui phong TH-KTDN 3 2" xfId="4331"/>
    <cellStyle name="Dziesiętny_Invoices2001Slovakia_Book1_1_Book1_bieu tong hop lai kh von 2011 gui phong TH-KTDN 3 2" xfId="4332"/>
    <cellStyle name="Dziesietny_Invoices2001Slovakia_Book1_1_Book1_bieu tong hop lai kh von 2011 gui phong TH-KTDN 4" xfId="4333"/>
    <cellStyle name="Dziesiętny_Invoices2001Slovakia_Book1_1_Book1_bieu tong hop lai kh von 2011 gui phong TH-KTDN 4" xfId="4334"/>
    <cellStyle name="Dziesietny_Invoices2001Slovakia_Book1_1_Book1_bieu tong hop lai kh von 2011 gui phong TH-KTDN_BIEU KE HOACH  2015 (KTN 6.11 sua)" xfId="4335"/>
    <cellStyle name="Dziesiętny_Invoices2001Slovakia_Book1_1_Book1_bieu tong hop lai kh von 2011 gui phong TH-KTDN_BIEU KE HOACH  2015 (KTN 6.11 sua)" xfId="4336"/>
    <cellStyle name="Dziesietny_Invoices2001Slovakia_Book1_1_Book1_Book1" xfId="4337"/>
    <cellStyle name="Dziesiętny_Invoices2001Slovakia_Book1_1_Book1_Book1" xfId="4338"/>
    <cellStyle name="Dziesietny_Invoices2001Slovakia_Book1_1_Book1_Book1 2" xfId="4339"/>
    <cellStyle name="Dziesiętny_Invoices2001Slovakia_Book1_1_Book1_Book1 2" xfId="4340"/>
    <cellStyle name="Dziesietny_Invoices2001Slovakia_Book1_1_Book1_Book1 2 2" xfId="4341"/>
    <cellStyle name="Dziesiętny_Invoices2001Slovakia_Book1_1_Book1_Book1 2 2" xfId="4342"/>
    <cellStyle name="Dziesietny_Invoices2001Slovakia_Book1_1_Book1_Book1 3" xfId="4343"/>
    <cellStyle name="Dziesiętny_Invoices2001Slovakia_Book1_1_Book1_Book1 3" xfId="4344"/>
    <cellStyle name="Dziesietny_Invoices2001Slovakia_Book1_1_Book1_Book1 3 2" xfId="4345"/>
    <cellStyle name="Dziesiętny_Invoices2001Slovakia_Book1_1_Book1_Book1 3 2" xfId="4346"/>
    <cellStyle name="Dziesietny_Invoices2001Slovakia_Book1_1_Book1_Book1 4" xfId="4347"/>
    <cellStyle name="Dziesiętny_Invoices2001Slovakia_Book1_1_Book1_Book1 4" xfId="4348"/>
    <cellStyle name="Dziesietny_Invoices2001Slovakia_Book1_1_Book1_Book1_1" xfId="4349"/>
    <cellStyle name="Dziesiętny_Invoices2001Slovakia_Book1_1_Book1_Book1_1" xfId="4350"/>
    <cellStyle name="Dziesietny_Invoices2001Slovakia_Book1_1_Book1_Book1_1 2" xfId="4351"/>
    <cellStyle name="Dziesiętny_Invoices2001Slovakia_Book1_1_Book1_Book1_1 2" xfId="4352"/>
    <cellStyle name="Dziesietny_Invoices2001Slovakia_Book1_1_Book1_Book1_1 2 2" xfId="4353"/>
    <cellStyle name="Dziesiętny_Invoices2001Slovakia_Book1_1_Book1_Book1_1 2 2" xfId="4354"/>
    <cellStyle name="Dziesietny_Invoices2001Slovakia_Book1_1_Book1_Book1_1 3" xfId="4355"/>
    <cellStyle name="Dziesiętny_Invoices2001Slovakia_Book1_1_Book1_Book1_1 3" xfId="4356"/>
    <cellStyle name="Dziesietny_Invoices2001Slovakia_Book1_1_Book1_Book1_1 3 2" xfId="4357"/>
    <cellStyle name="Dziesiętny_Invoices2001Slovakia_Book1_1_Book1_Book1_1 3 2" xfId="4358"/>
    <cellStyle name="Dziesietny_Invoices2001Slovakia_Book1_1_Book1_Book1_1 4" xfId="4359"/>
    <cellStyle name="Dziesiętny_Invoices2001Slovakia_Book1_1_Book1_Book1_1 4" xfId="4360"/>
    <cellStyle name="Dziesietny_Invoices2001Slovakia_Book1_1_Book1_Book1_DTTD chieng chan Tham lai 29-9-2009" xfId="4361"/>
    <cellStyle name="Dziesiętny_Invoices2001Slovakia_Book1_1_Book1_Book1_DTTD chieng chan Tham lai 29-9-2009" xfId="4362"/>
    <cellStyle name="Dziesietny_Invoices2001Slovakia_Book1_1_Book1_Book1_DTTD chieng chan Tham lai 29-9-2009 2" xfId="4363"/>
    <cellStyle name="Dziesiętny_Invoices2001Slovakia_Book1_1_Book1_Book1_DTTD chieng chan Tham lai 29-9-2009 2" xfId="4364"/>
    <cellStyle name="Dziesietny_Invoices2001Slovakia_Book1_1_Book1_Book1_DTTD chieng chan Tham lai 29-9-2009 2 2" xfId="4365"/>
    <cellStyle name="Dziesiętny_Invoices2001Slovakia_Book1_1_Book1_Book1_DTTD chieng chan Tham lai 29-9-2009 2 2" xfId="4366"/>
    <cellStyle name="Dziesietny_Invoices2001Slovakia_Book1_1_Book1_Book1_DTTD chieng chan Tham lai 29-9-2009 3" xfId="4367"/>
    <cellStyle name="Dziesiętny_Invoices2001Slovakia_Book1_1_Book1_Book1_DTTD chieng chan Tham lai 29-9-2009 3" xfId="4368"/>
    <cellStyle name="Dziesietny_Invoices2001Slovakia_Book1_1_Book1_Book1_DTTD chieng chan Tham lai 29-9-2009 3 2" xfId="4369"/>
    <cellStyle name="Dziesiętny_Invoices2001Slovakia_Book1_1_Book1_Book1_DTTD chieng chan Tham lai 29-9-2009 3 2" xfId="4370"/>
    <cellStyle name="Dziesietny_Invoices2001Slovakia_Book1_1_Book1_Book1_DTTD chieng chan Tham lai 29-9-2009 4" xfId="4371"/>
    <cellStyle name="Dziesiętny_Invoices2001Slovakia_Book1_1_Book1_Book1_DTTD chieng chan Tham lai 29-9-2009 4" xfId="4372"/>
    <cellStyle name="Dziesietny_Invoices2001Slovakia_Book1_1_Book1_Book1_Ke hoach 2010 (theo doi 11-8-2010)" xfId="4373"/>
    <cellStyle name="Dziesiętny_Invoices2001Slovakia_Book1_1_Book1_Book1_Ke hoach 2010 (theo doi 11-8-2010)" xfId="4374"/>
    <cellStyle name="Dziesietny_Invoices2001Slovakia_Book1_1_Book1_Book1_Ke hoach 2010 (theo doi 11-8-2010) 2" xfId="4375"/>
    <cellStyle name="Dziesiętny_Invoices2001Slovakia_Book1_1_Book1_Book1_Ke hoach 2010 (theo doi 11-8-2010) 2" xfId="4376"/>
    <cellStyle name="Dziesietny_Invoices2001Slovakia_Book1_1_Book1_Book1_Ke hoach 2010 (theo doi 11-8-2010) 2 2" xfId="4377"/>
    <cellStyle name="Dziesiętny_Invoices2001Slovakia_Book1_1_Book1_Book1_Ke hoach 2010 (theo doi 11-8-2010) 2 2" xfId="4378"/>
    <cellStyle name="Dziesietny_Invoices2001Slovakia_Book1_1_Book1_Book1_Ke hoach 2010 (theo doi 11-8-2010) 3" xfId="4379"/>
    <cellStyle name="Dziesiętny_Invoices2001Slovakia_Book1_1_Book1_Book1_Ke hoach 2010 (theo doi 11-8-2010) 3" xfId="4380"/>
    <cellStyle name="Dziesietny_Invoices2001Slovakia_Book1_1_Book1_Book1_Ke hoach 2010 (theo doi 11-8-2010) 3 2" xfId="4381"/>
    <cellStyle name="Dziesiętny_Invoices2001Slovakia_Book1_1_Book1_Book1_Ke hoach 2010 (theo doi 11-8-2010) 3 2" xfId="4382"/>
    <cellStyle name="Dziesietny_Invoices2001Slovakia_Book1_1_Book1_Book1_Ke hoach 2010 (theo doi 11-8-2010) 4" xfId="4383"/>
    <cellStyle name="Dziesiętny_Invoices2001Slovakia_Book1_1_Book1_Book1_Ke hoach 2010 (theo doi 11-8-2010) 4" xfId="4384"/>
    <cellStyle name="Dziesietny_Invoices2001Slovakia_Book1_1_Book1_Book1_Ke hoach 2010 (theo doi 11-8-2010)_BIEU KE HOACH  2015 (KTN 6.11 sua)" xfId="4385"/>
    <cellStyle name="Dziesiętny_Invoices2001Slovakia_Book1_1_Book1_Book1_Ke hoach 2010 (theo doi 11-8-2010)_BIEU KE HOACH  2015 (KTN 6.11 sua)" xfId="4386"/>
    <cellStyle name="Dziesietny_Invoices2001Slovakia_Book1_1_Book1_Book1_ke hoach dau thau 30-6-2010" xfId="4387"/>
    <cellStyle name="Dziesiętny_Invoices2001Slovakia_Book1_1_Book1_Book1_ke hoach dau thau 30-6-2010" xfId="4388"/>
    <cellStyle name="Dziesietny_Invoices2001Slovakia_Book1_1_Book1_Book1_ke hoach dau thau 30-6-2010 2" xfId="4389"/>
    <cellStyle name="Dziesiętny_Invoices2001Slovakia_Book1_1_Book1_Book1_ke hoach dau thau 30-6-2010 2" xfId="4390"/>
    <cellStyle name="Dziesietny_Invoices2001Slovakia_Book1_1_Book1_Book1_ke hoach dau thau 30-6-2010 2 2" xfId="4391"/>
    <cellStyle name="Dziesiętny_Invoices2001Slovakia_Book1_1_Book1_Book1_ke hoach dau thau 30-6-2010 2 2" xfId="4392"/>
    <cellStyle name="Dziesietny_Invoices2001Slovakia_Book1_1_Book1_Book1_ke hoach dau thau 30-6-2010 3" xfId="4393"/>
    <cellStyle name="Dziesiętny_Invoices2001Slovakia_Book1_1_Book1_Book1_ke hoach dau thau 30-6-2010 3" xfId="4394"/>
    <cellStyle name="Dziesietny_Invoices2001Slovakia_Book1_1_Book1_Book1_ke hoach dau thau 30-6-2010 3 2" xfId="4395"/>
    <cellStyle name="Dziesiętny_Invoices2001Slovakia_Book1_1_Book1_Book1_ke hoach dau thau 30-6-2010 3 2" xfId="4396"/>
    <cellStyle name="Dziesietny_Invoices2001Slovakia_Book1_1_Book1_Book1_ke hoach dau thau 30-6-2010 4" xfId="4397"/>
    <cellStyle name="Dziesiętny_Invoices2001Slovakia_Book1_1_Book1_Book1_ke hoach dau thau 30-6-2010 4" xfId="4398"/>
    <cellStyle name="Dziesietny_Invoices2001Slovakia_Book1_1_Book1_Book1_ke hoach dau thau 30-6-2010_BIEU KE HOACH  2015 (KTN 6.11 sua)" xfId="4399"/>
    <cellStyle name="Dziesiętny_Invoices2001Slovakia_Book1_1_Book1_Book1_ke hoach dau thau 30-6-2010_BIEU KE HOACH  2015 (KTN 6.11 sua)" xfId="4400"/>
    <cellStyle name="Dziesietny_Invoices2001Slovakia_Book1_1_Book1_Copy of KH PHAN BO VON ĐỐI ỨNG NAM 2011 (30 TY phuong án gop WB)" xfId="4401"/>
    <cellStyle name="Dziesiętny_Invoices2001Slovakia_Book1_1_Book1_Copy of KH PHAN BO VON ĐỐI ỨNG NAM 2011 (30 TY phuong án gop WB)" xfId="4402"/>
    <cellStyle name="Dziesietny_Invoices2001Slovakia_Book1_1_Book1_Copy of KH PHAN BO VON ĐỐI ỨNG NAM 2011 (30 TY phuong án gop WB) 2" xfId="4403"/>
    <cellStyle name="Dziesiętny_Invoices2001Slovakia_Book1_1_Book1_Copy of KH PHAN BO VON ĐỐI ỨNG NAM 2011 (30 TY phuong án gop WB) 2" xfId="4404"/>
    <cellStyle name="Dziesietny_Invoices2001Slovakia_Book1_1_Book1_Copy of KH PHAN BO VON ĐỐI ỨNG NAM 2011 (30 TY phuong án gop WB) 2 2" xfId="4405"/>
    <cellStyle name="Dziesiętny_Invoices2001Slovakia_Book1_1_Book1_Copy of KH PHAN BO VON ĐỐI ỨNG NAM 2011 (30 TY phuong án gop WB) 2 2" xfId="4406"/>
    <cellStyle name="Dziesietny_Invoices2001Slovakia_Book1_1_Book1_Copy of KH PHAN BO VON ĐỐI ỨNG NAM 2011 (30 TY phuong án gop WB) 3" xfId="4407"/>
    <cellStyle name="Dziesiętny_Invoices2001Slovakia_Book1_1_Book1_Copy of KH PHAN BO VON ĐỐI ỨNG NAM 2011 (30 TY phuong án gop WB) 3" xfId="4408"/>
    <cellStyle name="Dziesietny_Invoices2001Slovakia_Book1_1_Book1_Copy of KH PHAN BO VON ĐỐI ỨNG NAM 2011 (30 TY phuong án gop WB) 3 2" xfId="4409"/>
    <cellStyle name="Dziesiętny_Invoices2001Slovakia_Book1_1_Book1_Copy of KH PHAN BO VON ĐỐI ỨNG NAM 2011 (30 TY phuong án gop WB) 3 2" xfId="4410"/>
    <cellStyle name="Dziesietny_Invoices2001Slovakia_Book1_1_Book1_Copy of KH PHAN BO VON ĐỐI ỨNG NAM 2011 (30 TY phuong án gop WB) 4" xfId="4411"/>
    <cellStyle name="Dziesiętny_Invoices2001Slovakia_Book1_1_Book1_Copy of KH PHAN BO VON ĐỐI ỨNG NAM 2011 (30 TY phuong án gop WB) 4" xfId="4412"/>
    <cellStyle name="Dziesietny_Invoices2001Slovakia_Book1_1_Book1_Copy of KH PHAN BO VON ĐỐI ỨNG NAM 2011 (30 TY phuong án gop WB)_BIEU KE HOACH  2015 (KTN 6.11 sua)" xfId="4413"/>
    <cellStyle name="Dziesiętny_Invoices2001Slovakia_Book1_1_Book1_Copy of KH PHAN BO VON ĐỐI ỨNG NAM 2011 (30 TY phuong án gop WB)_BIEU KE HOACH  2015 (KTN 6.11 sua)" xfId="4414"/>
    <cellStyle name="Dziesietny_Invoices2001Slovakia_Book1_1_Book1_DTTD chieng chan Tham lai 29-9-2009" xfId="4415"/>
    <cellStyle name="Dziesiętny_Invoices2001Slovakia_Book1_1_Book1_DTTD chieng chan Tham lai 29-9-2009" xfId="4416"/>
    <cellStyle name="Dziesietny_Invoices2001Slovakia_Book1_1_Book1_DTTD chieng chan Tham lai 29-9-2009 2" xfId="4417"/>
    <cellStyle name="Dziesiętny_Invoices2001Slovakia_Book1_1_Book1_DTTD chieng chan Tham lai 29-9-2009 2" xfId="4418"/>
    <cellStyle name="Dziesietny_Invoices2001Slovakia_Book1_1_Book1_DTTD chieng chan Tham lai 29-9-2009 2 2" xfId="4419"/>
    <cellStyle name="Dziesiętny_Invoices2001Slovakia_Book1_1_Book1_DTTD chieng chan Tham lai 29-9-2009 2 2" xfId="4420"/>
    <cellStyle name="Dziesietny_Invoices2001Slovakia_Book1_1_Book1_DTTD chieng chan Tham lai 29-9-2009 3" xfId="4421"/>
    <cellStyle name="Dziesiętny_Invoices2001Slovakia_Book1_1_Book1_DTTD chieng chan Tham lai 29-9-2009 3" xfId="4422"/>
    <cellStyle name="Dziesietny_Invoices2001Slovakia_Book1_1_Book1_DTTD chieng chan Tham lai 29-9-2009 3 2" xfId="4423"/>
    <cellStyle name="Dziesiętny_Invoices2001Slovakia_Book1_1_Book1_DTTD chieng chan Tham lai 29-9-2009 3 2" xfId="4424"/>
    <cellStyle name="Dziesietny_Invoices2001Slovakia_Book1_1_Book1_DTTD chieng chan Tham lai 29-9-2009 4" xfId="4425"/>
    <cellStyle name="Dziesiętny_Invoices2001Slovakia_Book1_1_Book1_DTTD chieng chan Tham lai 29-9-2009 4" xfId="4426"/>
    <cellStyle name="Dziesietny_Invoices2001Slovakia_Book1_1_Book1_DTTD chieng chan Tham lai 29-9-2009_BIEU KE HOACH  2015 (KTN 6.11 sua)" xfId="4427"/>
    <cellStyle name="Dziesiętny_Invoices2001Slovakia_Book1_1_Book1_DTTD chieng chan Tham lai 29-9-2009_BIEU KE HOACH  2015 (KTN 6.11 sua)" xfId="4428"/>
    <cellStyle name="Dziesietny_Invoices2001Slovakia_Book1_1_Book1_Du toan nuoc San Thang (GD2)" xfId="4429"/>
    <cellStyle name="Dziesiętny_Invoices2001Slovakia_Book1_1_Book1_Du toan nuoc San Thang (GD2)" xfId="4430"/>
    <cellStyle name="Dziesietny_Invoices2001Slovakia_Book1_1_Book1_Du toan nuoc San Thang (GD2) 2" xfId="4431"/>
    <cellStyle name="Dziesiętny_Invoices2001Slovakia_Book1_1_Book1_Du toan nuoc San Thang (GD2) 2" xfId="4432"/>
    <cellStyle name="Dziesietny_Invoices2001Slovakia_Book1_1_Book1_Du toan nuoc San Thang (GD2) 2 2" xfId="4433"/>
    <cellStyle name="Dziesiętny_Invoices2001Slovakia_Book1_1_Book1_Du toan nuoc San Thang (GD2) 2 2" xfId="4434"/>
    <cellStyle name="Dziesietny_Invoices2001Slovakia_Book1_1_Book1_Du toan nuoc San Thang (GD2) 3" xfId="4435"/>
    <cellStyle name="Dziesiętny_Invoices2001Slovakia_Book1_1_Book1_Du toan nuoc San Thang (GD2) 3" xfId="4436"/>
    <cellStyle name="Dziesietny_Invoices2001Slovakia_Book1_1_Book1_Du toan nuoc San Thang (GD2) 3 2" xfId="4437"/>
    <cellStyle name="Dziesiętny_Invoices2001Slovakia_Book1_1_Book1_Du toan nuoc San Thang (GD2) 3 2" xfId="4438"/>
    <cellStyle name="Dziesietny_Invoices2001Slovakia_Book1_1_Book1_Du toan nuoc San Thang (GD2) 4" xfId="4439"/>
    <cellStyle name="Dziesiętny_Invoices2001Slovakia_Book1_1_Book1_Du toan nuoc San Thang (GD2) 4" xfId="4440"/>
    <cellStyle name="Dziesietny_Invoices2001Slovakia_Book1_1_Book1_Ke hoach 2010 (theo doi 11-8-2010)" xfId="4441"/>
    <cellStyle name="Dziesiętny_Invoices2001Slovakia_Book1_1_Book1_Ke hoach 2010 (theo doi 11-8-2010)" xfId="4442"/>
    <cellStyle name="Dziesietny_Invoices2001Slovakia_Book1_1_Book1_Ke hoach 2010 (theo doi 11-8-2010) 2" xfId="4443"/>
    <cellStyle name="Dziesiętny_Invoices2001Slovakia_Book1_1_Book1_Ke hoach 2010 (theo doi 11-8-2010) 2" xfId="4444"/>
    <cellStyle name="Dziesietny_Invoices2001Slovakia_Book1_1_Book1_Ke hoach 2010 (theo doi 11-8-2010) 2 2" xfId="4445"/>
    <cellStyle name="Dziesiętny_Invoices2001Slovakia_Book1_1_Book1_Ke hoach 2010 (theo doi 11-8-2010) 2 2" xfId="4446"/>
    <cellStyle name="Dziesietny_Invoices2001Slovakia_Book1_1_Book1_Ke hoach 2010 (theo doi 11-8-2010) 3" xfId="4447"/>
    <cellStyle name="Dziesiętny_Invoices2001Slovakia_Book1_1_Book1_Ke hoach 2010 (theo doi 11-8-2010) 3" xfId="4448"/>
    <cellStyle name="Dziesietny_Invoices2001Slovakia_Book1_1_Book1_Ke hoach 2010 (theo doi 11-8-2010) 3 2" xfId="4449"/>
    <cellStyle name="Dziesiętny_Invoices2001Slovakia_Book1_1_Book1_Ke hoach 2010 (theo doi 11-8-2010) 3 2" xfId="4450"/>
    <cellStyle name="Dziesietny_Invoices2001Slovakia_Book1_1_Book1_Ke hoach 2010 (theo doi 11-8-2010) 4" xfId="4451"/>
    <cellStyle name="Dziesiętny_Invoices2001Slovakia_Book1_1_Book1_Ke hoach 2010 (theo doi 11-8-2010) 4" xfId="4452"/>
    <cellStyle name="Dziesietny_Invoices2001Slovakia_Book1_1_Book1_ke hoach dau thau 30-6-2010" xfId="4453"/>
    <cellStyle name="Dziesiętny_Invoices2001Slovakia_Book1_1_Book1_ke hoach dau thau 30-6-2010" xfId="4454"/>
    <cellStyle name="Dziesietny_Invoices2001Slovakia_Book1_1_Book1_ke hoach dau thau 30-6-2010 2" xfId="4455"/>
    <cellStyle name="Dziesiętny_Invoices2001Slovakia_Book1_1_Book1_ke hoach dau thau 30-6-2010 2" xfId="4456"/>
    <cellStyle name="Dziesietny_Invoices2001Slovakia_Book1_1_Book1_ke hoach dau thau 30-6-2010 2 2" xfId="4457"/>
    <cellStyle name="Dziesiętny_Invoices2001Slovakia_Book1_1_Book1_ke hoach dau thau 30-6-2010 2 2" xfId="4458"/>
    <cellStyle name="Dziesietny_Invoices2001Slovakia_Book1_1_Book1_ke hoach dau thau 30-6-2010 3" xfId="4459"/>
    <cellStyle name="Dziesiętny_Invoices2001Slovakia_Book1_1_Book1_ke hoach dau thau 30-6-2010 3" xfId="4460"/>
    <cellStyle name="Dziesietny_Invoices2001Slovakia_Book1_1_Book1_ke hoach dau thau 30-6-2010 3 2" xfId="4461"/>
    <cellStyle name="Dziesiętny_Invoices2001Slovakia_Book1_1_Book1_ke hoach dau thau 30-6-2010 3 2" xfId="4462"/>
    <cellStyle name="Dziesietny_Invoices2001Slovakia_Book1_1_Book1_ke hoach dau thau 30-6-2010 4" xfId="4463"/>
    <cellStyle name="Dziesiętny_Invoices2001Slovakia_Book1_1_Book1_ke hoach dau thau 30-6-2010 4" xfId="4464"/>
    <cellStyle name="Dziesietny_Invoices2001Slovakia_Book1_1_Book1_KH Von 2012 gui BKH 1" xfId="4465"/>
    <cellStyle name="Dziesiętny_Invoices2001Slovakia_Book1_1_Book1_KH Von 2012 gui BKH 1" xfId="4466"/>
    <cellStyle name="Dziesietny_Invoices2001Slovakia_Book1_1_Book1_KH Von 2012 gui BKH 1 2" xfId="4467"/>
    <cellStyle name="Dziesiętny_Invoices2001Slovakia_Book1_1_Book1_KH Von 2012 gui BKH 1 2" xfId="4468"/>
    <cellStyle name="Dziesietny_Invoices2001Slovakia_Book1_1_Book1_KH Von 2012 gui BKH 1 2 2" xfId="4469"/>
    <cellStyle name="Dziesiętny_Invoices2001Slovakia_Book1_1_Book1_KH Von 2012 gui BKH 1 2 2" xfId="4470"/>
    <cellStyle name="Dziesietny_Invoices2001Slovakia_Book1_1_Book1_KH Von 2012 gui BKH 1 3" xfId="4471"/>
    <cellStyle name="Dziesiętny_Invoices2001Slovakia_Book1_1_Book1_KH Von 2012 gui BKH 1 3" xfId="4472"/>
    <cellStyle name="Dziesietny_Invoices2001Slovakia_Book1_1_Book1_KH Von 2012 gui BKH 1 3 2" xfId="4473"/>
    <cellStyle name="Dziesiętny_Invoices2001Slovakia_Book1_1_Book1_KH Von 2012 gui BKH 1 3 2" xfId="4474"/>
    <cellStyle name="Dziesietny_Invoices2001Slovakia_Book1_1_Book1_KH Von 2012 gui BKH 1 4" xfId="4475"/>
    <cellStyle name="Dziesiętny_Invoices2001Slovakia_Book1_1_Book1_KH Von 2012 gui BKH 1 4" xfId="4476"/>
    <cellStyle name="Dziesietny_Invoices2001Slovakia_Book1_1_Book1_KH Von 2012 gui BKH 1_BIEU KE HOACH  2015 (KTN 6.11 sua)" xfId="4477"/>
    <cellStyle name="Dziesiętny_Invoices2001Slovakia_Book1_1_Book1_KH Von 2012 gui BKH 1_BIEU KE HOACH  2015 (KTN 6.11 sua)" xfId="4478"/>
    <cellStyle name="Dziesietny_Invoices2001Slovakia_Book1_1_Book1_QD ke hoach dau thau" xfId="4479"/>
    <cellStyle name="Dziesiętny_Invoices2001Slovakia_Book1_1_Book1_QD ke hoach dau thau" xfId="4480"/>
    <cellStyle name="Dziesietny_Invoices2001Slovakia_Book1_1_Book1_QD ke hoach dau thau 2" xfId="4481"/>
    <cellStyle name="Dziesiętny_Invoices2001Slovakia_Book1_1_Book1_QD ke hoach dau thau 2" xfId="4482"/>
    <cellStyle name="Dziesietny_Invoices2001Slovakia_Book1_1_Book1_QD ke hoach dau thau 2 2" xfId="4483"/>
    <cellStyle name="Dziesiętny_Invoices2001Slovakia_Book1_1_Book1_QD ke hoach dau thau 2 2" xfId="4484"/>
    <cellStyle name="Dziesietny_Invoices2001Slovakia_Book1_1_Book1_QD ke hoach dau thau 3" xfId="4485"/>
    <cellStyle name="Dziesiętny_Invoices2001Slovakia_Book1_1_Book1_QD ke hoach dau thau 3" xfId="4486"/>
    <cellStyle name="Dziesietny_Invoices2001Slovakia_Book1_1_Book1_QD ke hoach dau thau 3 2" xfId="4487"/>
    <cellStyle name="Dziesiętny_Invoices2001Slovakia_Book1_1_Book1_QD ke hoach dau thau 3 2" xfId="4488"/>
    <cellStyle name="Dziesietny_Invoices2001Slovakia_Book1_1_Book1_QD ke hoach dau thau 4" xfId="4489"/>
    <cellStyle name="Dziesiętny_Invoices2001Slovakia_Book1_1_Book1_QD ke hoach dau thau 4" xfId="4490"/>
    <cellStyle name="Dziesietny_Invoices2001Slovakia_Book1_1_Book1_tien luong" xfId="4491"/>
    <cellStyle name="Dziesiętny_Invoices2001Slovakia_Book1_1_Book1_tien luong" xfId="4492"/>
    <cellStyle name="Dziesietny_Invoices2001Slovakia_Book1_1_Book1_tien luong 2" xfId="4493"/>
    <cellStyle name="Dziesiętny_Invoices2001Slovakia_Book1_1_Book1_tien luong 2" xfId="4494"/>
    <cellStyle name="Dziesietny_Invoices2001Slovakia_Book1_1_Book1_Tien luong chuan 01" xfId="4495"/>
    <cellStyle name="Dziesiętny_Invoices2001Slovakia_Book1_1_Book1_Tien luong chuan 01" xfId="4496"/>
    <cellStyle name="Dziesietny_Invoices2001Slovakia_Book1_1_Book1_Tien luong chuan 01 2" xfId="4497"/>
    <cellStyle name="Dziesiętny_Invoices2001Slovakia_Book1_1_Book1_Tien luong chuan 01 2" xfId="4498"/>
    <cellStyle name="Dziesietny_Invoices2001Slovakia_Book1_1_Book1_tinh toan hoang ha" xfId="4499"/>
    <cellStyle name="Dziesiętny_Invoices2001Slovakia_Book1_1_Book1_tinh toan hoang ha" xfId="4500"/>
    <cellStyle name="Dziesietny_Invoices2001Slovakia_Book1_1_Book1_tinh toan hoang ha 2" xfId="4501"/>
    <cellStyle name="Dziesiętny_Invoices2001Slovakia_Book1_1_Book1_tinh toan hoang ha 2" xfId="4502"/>
    <cellStyle name="Dziesietny_Invoices2001Slovakia_Book1_1_Book1_tinh toan hoang ha 2 2" xfId="4503"/>
    <cellStyle name="Dziesiętny_Invoices2001Slovakia_Book1_1_Book1_tinh toan hoang ha 2 2" xfId="4504"/>
    <cellStyle name="Dziesietny_Invoices2001Slovakia_Book1_1_Book1_tinh toan hoang ha 3" xfId="4505"/>
    <cellStyle name="Dziesiętny_Invoices2001Slovakia_Book1_1_Book1_tinh toan hoang ha 3" xfId="4506"/>
    <cellStyle name="Dziesietny_Invoices2001Slovakia_Book1_1_Book1_tinh toan hoang ha 3 2" xfId="4507"/>
    <cellStyle name="Dziesiętny_Invoices2001Slovakia_Book1_1_Book1_tinh toan hoang ha 3 2" xfId="4508"/>
    <cellStyle name="Dziesietny_Invoices2001Slovakia_Book1_1_Book1_tinh toan hoang ha 4" xfId="4509"/>
    <cellStyle name="Dziesiętny_Invoices2001Slovakia_Book1_1_Book1_tinh toan hoang ha 4" xfId="4510"/>
    <cellStyle name="Dziesietny_Invoices2001Slovakia_Book1_1_Book1_Tong von ĐTPT" xfId="4511"/>
    <cellStyle name="Dziesiętny_Invoices2001Slovakia_Book1_1_Book1_Tong von ĐTPT" xfId="4512"/>
    <cellStyle name="Dziesietny_Invoices2001Slovakia_Book1_1_Book1_Tong von ĐTPT 2" xfId="4513"/>
    <cellStyle name="Dziesiętny_Invoices2001Slovakia_Book1_1_Book1_Tong von ĐTPT 2" xfId="4514"/>
    <cellStyle name="Dziesietny_Invoices2001Slovakia_Book1_1_Book1_Tong von ĐTPT 2 2" xfId="4515"/>
    <cellStyle name="Dziesiętny_Invoices2001Slovakia_Book1_1_Book1_Tong von ĐTPT 2 2" xfId="4516"/>
    <cellStyle name="Dziesietny_Invoices2001Slovakia_Book1_1_Book1_Tong von ĐTPT 3" xfId="4517"/>
    <cellStyle name="Dziesiętny_Invoices2001Slovakia_Book1_1_Book1_Tong von ĐTPT 3" xfId="4518"/>
    <cellStyle name="Dziesietny_Invoices2001Slovakia_Book1_1_Book1_Tong von ĐTPT 3 2" xfId="4519"/>
    <cellStyle name="Dziesiętny_Invoices2001Slovakia_Book1_1_Book1_Tong von ĐTPT 3 2" xfId="4520"/>
    <cellStyle name="Dziesietny_Invoices2001Slovakia_Book1_1_Book1_Tong von ĐTPT 4" xfId="4521"/>
    <cellStyle name="Dziesiętny_Invoices2001Slovakia_Book1_1_Book1_Tong von ĐTPT 4" xfId="4522"/>
    <cellStyle name="Dziesietny_Invoices2001Slovakia_Book1_1_Copy of KH PHAN BO VON ĐỐI ỨNG NAM 2011 (30 TY phuong án gop WB)" xfId="4523"/>
    <cellStyle name="Dziesiętny_Invoices2001Slovakia_Book1_1_Copy of KH PHAN BO VON ĐỐI ỨNG NAM 2011 (30 TY phuong án gop WB)" xfId="4524"/>
    <cellStyle name="Dziesietny_Invoices2001Slovakia_Book1_1_Copy of KH PHAN BO VON ĐỐI ỨNG NAM 2011 (30 TY phuong án gop WB) 2" xfId="4525"/>
    <cellStyle name="Dziesiętny_Invoices2001Slovakia_Book1_1_Copy of KH PHAN BO VON ĐỐI ỨNG NAM 2011 (30 TY phuong án gop WB) 2" xfId="4526"/>
    <cellStyle name="Dziesietny_Invoices2001Slovakia_Book1_1_Copy of KH PHAN BO VON ĐỐI ỨNG NAM 2011 (30 TY phuong án gop WB) 2 2" xfId="4527"/>
    <cellStyle name="Dziesiętny_Invoices2001Slovakia_Book1_1_Copy of KH PHAN BO VON ĐỐI ỨNG NAM 2011 (30 TY phuong án gop WB) 2 2" xfId="4528"/>
    <cellStyle name="Dziesietny_Invoices2001Slovakia_Book1_1_Copy of KH PHAN BO VON ĐỐI ỨNG NAM 2011 (30 TY phuong án gop WB) 3" xfId="4529"/>
    <cellStyle name="Dziesiętny_Invoices2001Slovakia_Book1_1_Copy of KH PHAN BO VON ĐỐI ỨNG NAM 2011 (30 TY phuong án gop WB) 3" xfId="4530"/>
    <cellStyle name="Dziesietny_Invoices2001Slovakia_Book1_1_Copy of KH PHAN BO VON ĐỐI ỨNG NAM 2011 (30 TY phuong án gop WB) 3 2" xfId="4531"/>
    <cellStyle name="Dziesiętny_Invoices2001Slovakia_Book1_1_Copy of KH PHAN BO VON ĐỐI ỨNG NAM 2011 (30 TY phuong án gop WB) 3 2" xfId="4532"/>
    <cellStyle name="Dziesietny_Invoices2001Slovakia_Book1_1_Copy of KH PHAN BO VON ĐỐI ỨNG NAM 2011 (30 TY phuong án gop WB) 4" xfId="4533"/>
    <cellStyle name="Dziesiętny_Invoices2001Slovakia_Book1_1_Copy of KH PHAN BO VON ĐỐI ỨNG NAM 2011 (30 TY phuong án gop WB) 4" xfId="4534"/>
    <cellStyle name="Dziesietny_Invoices2001Slovakia_Book1_1_Copy of KH PHAN BO VON ĐỐI ỨNG NAM 2011 (30 TY phuong án gop WB)_BIEU KE HOACH  2015 (KTN 6.11 sua)" xfId="4535"/>
    <cellStyle name="Dziesiętny_Invoices2001Slovakia_Book1_1_Copy of KH PHAN BO VON ĐỐI ỨNG NAM 2011 (30 TY phuong án gop WB)_BIEU KE HOACH  2015 (KTN 6.11 sua)" xfId="4536"/>
    <cellStyle name="Dziesietny_Invoices2001Slovakia_Book1_1_Danh Mục KCM trinh BKH 2011 (BS 30A)" xfId="4537"/>
    <cellStyle name="Dziesiętny_Invoices2001Slovakia_Book1_1_Danh Mục KCM trinh BKH 2011 (BS 30A)" xfId="4538"/>
    <cellStyle name="Dziesietny_Invoices2001Slovakia_Book1_1_Danh Mục KCM trinh BKH 2011 (BS 30A) 2" xfId="4539"/>
    <cellStyle name="Dziesiętny_Invoices2001Slovakia_Book1_1_Danh Mục KCM trinh BKH 2011 (BS 30A) 2" xfId="4540"/>
    <cellStyle name="Dziesietny_Invoices2001Slovakia_Book1_1_DTTD chieng chan Tham lai 29-9-2009" xfId="4541"/>
    <cellStyle name="Dziesiętny_Invoices2001Slovakia_Book1_1_DTTD chieng chan Tham lai 29-9-2009" xfId="4542"/>
    <cellStyle name="Dziesietny_Invoices2001Slovakia_Book1_1_DTTD chieng chan Tham lai 29-9-2009 2" xfId="4543"/>
    <cellStyle name="Dziesiętny_Invoices2001Slovakia_Book1_1_DTTD chieng chan Tham lai 29-9-2009 2" xfId="4544"/>
    <cellStyle name="Dziesietny_Invoices2001Slovakia_Book1_1_DTTD chieng chan Tham lai 29-9-2009 2 2" xfId="4545"/>
    <cellStyle name="Dziesiętny_Invoices2001Slovakia_Book1_1_DTTD chieng chan Tham lai 29-9-2009 2 2" xfId="4546"/>
    <cellStyle name="Dziesietny_Invoices2001Slovakia_Book1_1_DTTD chieng chan Tham lai 29-9-2009 3" xfId="4547"/>
    <cellStyle name="Dziesiętny_Invoices2001Slovakia_Book1_1_DTTD chieng chan Tham lai 29-9-2009 3" xfId="4548"/>
    <cellStyle name="Dziesietny_Invoices2001Slovakia_Book1_1_DTTD chieng chan Tham lai 29-9-2009 3 2" xfId="4549"/>
    <cellStyle name="Dziesiętny_Invoices2001Slovakia_Book1_1_DTTD chieng chan Tham lai 29-9-2009 3 2" xfId="4550"/>
    <cellStyle name="Dziesietny_Invoices2001Slovakia_Book1_1_DTTD chieng chan Tham lai 29-9-2009 4" xfId="4551"/>
    <cellStyle name="Dziesiętny_Invoices2001Slovakia_Book1_1_DTTD chieng chan Tham lai 29-9-2009 4" xfId="4552"/>
    <cellStyle name="Dziesietny_Invoices2001Slovakia_Book1_1_DTTD chieng chan Tham lai 29-9-2009_BIEU KE HOACH  2015 (KTN 6.11 sua)" xfId="4553"/>
    <cellStyle name="Dziesiętny_Invoices2001Slovakia_Book1_1_DTTD chieng chan Tham lai 29-9-2009_BIEU KE HOACH  2015 (KTN 6.11 sua)" xfId="4554"/>
    <cellStyle name="Dziesietny_Invoices2001Slovakia_Book1_1_Du toan nuoc San Thang (GD2)" xfId="4555"/>
    <cellStyle name="Dziesiętny_Invoices2001Slovakia_Book1_1_Du toan nuoc San Thang (GD2)" xfId="4556"/>
    <cellStyle name="Dziesietny_Invoices2001Slovakia_Book1_1_Du toan nuoc San Thang (GD2) 2" xfId="4557"/>
    <cellStyle name="Dziesiętny_Invoices2001Slovakia_Book1_1_Du toan nuoc San Thang (GD2) 2" xfId="4558"/>
    <cellStyle name="Dziesietny_Invoices2001Slovakia_Book1_1_Du toan nuoc San Thang (GD2) 2 2" xfId="4559"/>
    <cellStyle name="Dziesiętny_Invoices2001Slovakia_Book1_1_Du toan nuoc San Thang (GD2) 2 2" xfId="4560"/>
    <cellStyle name="Dziesietny_Invoices2001Slovakia_Book1_1_Du toan nuoc San Thang (GD2) 3" xfId="4561"/>
    <cellStyle name="Dziesiętny_Invoices2001Slovakia_Book1_1_Du toan nuoc San Thang (GD2) 3" xfId="4562"/>
    <cellStyle name="Dziesietny_Invoices2001Slovakia_Book1_1_Du toan nuoc San Thang (GD2) 3 2" xfId="4563"/>
    <cellStyle name="Dziesiętny_Invoices2001Slovakia_Book1_1_Du toan nuoc San Thang (GD2) 3 2" xfId="4564"/>
    <cellStyle name="Dziesietny_Invoices2001Slovakia_Book1_1_Du toan nuoc San Thang (GD2) 4" xfId="4565"/>
    <cellStyle name="Dziesiętny_Invoices2001Slovakia_Book1_1_Du toan nuoc San Thang (GD2) 4" xfId="4566"/>
    <cellStyle name="Dziesietny_Invoices2001Slovakia_Book1_1_Du toan nuoc San Thang (GD2) 5" xfId="4567"/>
    <cellStyle name="Dziesiętny_Invoices2001Slovakia_Book1_1_Du toan nuoc San Thang (GD2) 5" xfId="4568"/>
    <cellStyle name="Dziesietny_Invoices2001Slovakia_Book1_1_Ke hoach 2010 (theo doi 11-8-2010)" xfId="4569"/>
    <cellStyle name="Dziesiętny_Invoices2001Slovakia_Book1_1_Ke hoach 2010 (theo doi 11-8-2010)" xfId="4570"/>
    <cellStyle name="Dziesietny_Invoices2001Slovakia_Book1_1_Ke hoach 2010 (theo doi 11-8-2010) 2" xfId="4571"/>
    <cellStyle name="Dziesiętny_Invoices2001Slovakia_Book1_1_Ke hoach 2010 (theo doi 11-8-2010) 2" xfId="4572"/>
    <cellStyle name="Dziesietny_Invoices2001Slovakia_Book1_1_Ke hoach 2010 (theo doi 11-8-2010) 2 2" xfId="4573"/>
    <cellStyle name="Dziesiętny_Invoices2001Slovakia_Book1_1_Ke hoach 2010 (theo doi 11-8-2010) 2 2" xfId="4574"/>
    <cellStyle name="Dziesietny_Invoices2001Slovakia_Book1_1_Ke hoach 2010 (theo doi 11-8-2010) 3" xfId="4575"/>
    <cellStyle name="Dziesiętny_Invoices2001Slovakia_Book1_1_Ke hoach 2010 (theo doi 11-8-2010) 3" xfId="4576"/>
    <cellStyle name="Dziesietny_Invoices2001Slovakia_Book1_1_Ke hoach 2010 (theo doi 11-8-2010) 3 2" xfId="4577"/>
    <cellStyle name="Dziesiętny_Invoices2001Slovakia_Book1_1_Ke hoach 2010 (theo doi 11-8-2010) 3 2" xfId="4578"/>
    <cellStyle name="Dziesietny_Invoices2001Slovakia_Book1_1_Ke hoach 2010 (theo doi 11-8-2010) 4" xfId="4579"/>
    <cellStyle name="Dziesiętny_Invoices2001Slovakia_Book1_1_Ke hoach 2010 (theo doi 11-8-2010) 4" xfId="4580"/>
    <cellStyle name="Dziesietny_Invoices2001Slovakia_Book1_1_Ke hoach 2010 (theo doi 11-8-2010) 5" xfId="4581"/>
    <cellStyle name="Dziesiętny_Invoices2001Slovakia_Book1_1_Ke hoach 2010 (theo doi 11-8-2010) 5" xfId="4582"/>
    <cellStyle name="Dziesietny_Invoices2001Slovakia_Book1_1_Ke hoach 2010 ngay 31-01" xfId="4583"/>
    <cellStyle name="Dziesiętny_Invoices2001Slovakia_Book1_1_Ke hoach 2010 ngay 31-01" xfId="4584"/>
    <cellStyle name="Dziesietny_Invoices2001Slovakia_Book1_1_Ke hoach 2010 ngay 31-01 2" xfId="4585"/>
    <cellStyle name="Dziesiętny_Invoices2001Slovakia_Book1_1_Ke hoach 2010 ngay 31-01 2" xfId="4586"/>
    <cellStyle name="Dziesietny_Invoices2001Slovakia_Book1_1_Ke hoach 2010 ngay 31-01 2 2" xfId="4587"/>
    <cellStyle name="Dziesiętny_Invoices2001Slovakia_Book1_1_Ke hoach 2010 ngay 31-01 2 2" xfId="4588"/>
    <cellStyle name="Dziesietny_Invoices2001Slovakia_Book1_1_Ke hoach 2010 ngay 31-01 3" xfId="4589"/>
    <cellStyle name="Dziesiętny_Invoices2001Slovakia_Book1_1_Ke hoach 2010 ngay 31-01 3" xfId="4590"/>
    <cellStyle name="Dziesietny_Invoices2001Slovakia_Book1_1_Ke hoach 2010 ngay 31-01 3 2" xfId="4591"/>
    <cellStyle name="Dziesiętny_Invoices2001Slovakia_Book1_1_Ke hoach 2010 ngay 31-01 3 2" xfId="4592"/>
    <cellStyle name="Dziesietny_Invoices2001Slovakia_Book1_1_Ke hoach 2010 ngay 31-01 4" xfId="4593"/>
    <cellStyle name="Dziesiętny_Invoices2001Slovakia_Book1_1_Ke hoach 2010 ngay 31-01 4" xfId="4594"/>
    <cellStyle name="Dziesietny_Invoices2001Slovakia_Book1_1_Ke hoach 2010 ngay 31-01 5" xfId="4595"/>
    <cellStyle name="Dziesiętny_Invoices2001Slovakia_Book1_1_Ke hoach 2010 ngay 31-01 5" xfId="4596"/>
    <cellStyle name="Dziesietny_Invoices2001Slovakia_Book1_1_ke hoach dau thau 30-6-2010" xfId="4597"/>
    <cellStyle name="Dziesiętny_Invoices2001Slovakia_Book1_1_ke hoach dau thau 30-6-2010" xfId="4598"/>
    <cellStyle name="Dziesietny_Invoices2001Slovakia_Book1_1_ke hoach dau thau 30-6-2010 2" xfId="4599"/>
    <cellStyle name="Dziesiętny_Invoices2001Slovakia_Book1_1_ke hoach dau thau 30-6-2010 2" xfId="4600"/>
    <cellStyle name="Dziesietny_Invoices2001Slovakia_Book1_1_ke hoach dau thau 30-6-2010 2 2" xfId="4601"/>
    <cellStyle name="Dziesiętny_Invoices2001Slovakia_Book1_1_ke hoach dau thau 30-6-2010 2 2" xfId="4602"/>
    <cellStyle name="Dziesietny_Invoices2001Slovakia_Book1_1_ke hoach dau thau 30-6-2010 3" xfId="4603"/>
    <cellStyle name="Dziesiętny_Invoices2001Slovakia_Book1_1_ke hoach dau thau 30-6-2010 3" xfId="4604"/>
    <cellStyle name="Dziesietny_Invoices2001Slovakia_Book1_1_ke hoach dau thau 30-6-2010 3 2" xfId="4605"/>
    <cellStyle name="Dziesiętny_Invoices2001Slovakia_Book1_1_ke hoach dau thau 30-6-2010 3 2" xfId="4606"/>
    <cellStyle name="Dziesietny_Invoices2001Slovakia_Book1_1_ke hoach dau thau 30-6-2010 4" xfId="4607"/>
    <cellStyle name="Dziesiętny_Invoices2001Slovakia_Book1_1_ke hoach dau thau 30-6-2010 4" xfId="4608"/>
    <cellStyle name="Dziesietny_Invoices2001Slovakia_Book1_1_ke hoach dau thau 30-6-2010 5" xfId="4609"/>
    <cellStyle name="Dziesiętny_Invoices2001Slovakia_Book1_1_ke hoach dau thau 30-6-2010 5" xfId="4610"/>
    <cellStyle name="Dziesietny_Invoices2001Slovakia_Book1_1_KH Von 2012 gui BKH 1" xfId="4611"/>
    <cellStyle name="Dziesiętny_Invoices2001Slovakia_Book1_1_KH Von 2012 gui BKH 1" xfId="4612"/>
    <cellStyle name="Dziesietny_Invoices2001Slovakia_Book1_1_KH Von 2012 gui BKH 1 2" xfId="4613"/>
    <cellStyle name="Dziesiętny_Invoices2001Slovakia_Book1_1_KH Von 2012 gui BKH 1 2" xfId="4614"/>
    <cellStyle name="Dziesietny_Invoices2001Slovakia_Book1_1_KH Von 2012 gui BKH 1 2 2" xfId="4615"/>
    <cellStyle name="Dziesiętny_Invoices2001Slovakia_Book1_1_KH Von 2012 gui BKH 1 2 2" xfId="4616"/>
    <cellStyle name="Dziesietny_Invoices2001Slovakia_Book1_1_KH Von 2012 gui BKH 1 3" xfId="4617"/>
    <cellStyle name="Dziesiętny_Invoices2001Slovakia_Book1_1_KH Von 2012 gui BKH 1 3" xfId="4618"/>
    <cellStyle name="Dziesietny_Invoices2001Slovakia_Book1_1_KH Von 2012 gui BKH 1 3 2" xfId="4619"/>
    <cellStyle name="Dziesiętny_Invoices2001Slovakia_Book1_1_KH Von 2012 gui BKH 1 3 2" xfId="4620"/>
    <cellStyle name="Dziesietny_Invoices2001Slovakia_Book1_1_KH Von 2012 gui BKH 1 4" xfId="4621"/>
    <cellStyle name="Dziesiętny_Invoices2001Slovakia_Book1_1_KH Von 2012 gui BKH 1 4" xfId="4622"/>
    <cellStyle name="Dziesietny_Invoices2001Slovakia_Book1_1_KH Von 2012 gui BKH 1_BIEU KE HOACH  2015 (KTN 6.11 sua)" xfId="4623"/>
    <cellStyle name="Dziesiętny_Invoices2001Slovakia_Book1_1_KH Von 2012 gui BKH 1_BIEU KE HOACH  2015 (KTN 6.11 sua)" xfId="4624"/>
    <cellStyle name="Dziesietny_Invoices2001Slovakia_Book1_1_KH Von 2012 gui BKH 2" xfId="4625"/>
    <cellStyle name="Dziesiętny_Invoices2001Slovakia_Book1_1_KH Von 2012 gui BKH 2" xfId="4626"/>
    <cellStyle name="Dziesietny_Invoices2001Slovakia_Book1_1_KH Von 2012 gui BKH 2 2" xfId="4627"/>
    <cellStyle name="Dziesiętny_Invoices2001Slovakia_Book1_1_KH Von 2012 gui BKH 2 2" xfId="4628"/>
    <cellStyle name="Dziesietny_Invoices2001Slovakia_Book1_1_KH Von 2012 gui BKH 2 2 2" xfId="4629"/>
    <cellStyle name="Dziesiętny_Invoices2001Slovakia_Book1_1_KH Von 2012 gui BKH 2 2 2" xfId="4630"/>
    <cellStyle name="Dziesietny_Invoices2001Slovakia_Book1_1_KH Von 2012 gui BKH 2 3" xfId="4631"/>
    <cellStyle name="Dziesiętny_Invoices2001Slovakia_Book1_1_KH Von 2012 gui BKH 2 3" xfId="4632"/>
    <cellStyle name="Dziesietny_Invoices2001Slovakia_Book1_1_KH Von 2012 gui BKH 2 3 2" xfId="4633"/>
    <cellStyle name="Dziesiętny_Invoices2001Slovakia_Book1_1_KH Von 2012 gui BKH 2 3 2" xfId="4634"/>
    <cellStyle name="Dziesietny_Invoices2001Slovakia_Book1_1_KH Von 2012 gui BKH 2 4" xfId="4635"/>
    <cellStyle name="Dziesiętny_Invoices2001Slovakia_Book1_1_KH Von 2012 gui BKH 2 4" xfId="4636"/>
    <cellStyle name="Dziesietny_Invoices2001Slovakia_Book1_1_KH Von 2012 gui BKH 2 5" xfId="4637"/>
    <cellStyle name="Dziesiętny_Invoices2001Slovakia_Book1_1_KH Von 2012 gui BKH 2 5" xfId="4638"/>
    <cellStyle name="Dziesietny_Invoices2001Slovakia_Book1_1_QD ke hoach dau thau" xfId="4639"/>
    <cellStyle name="Dziesiętny_Invoices2001Slovakia_Book1_1_QD ke hoach dau thau" xfId="4640"/>
    <cellStyle name="Dziesietny_Invoices2001Slovakia_Book1_1_QD ke hoach dau thau 2" xfId="4641"/>
    <cellStyle name="Dziesiętny_Invoices2001Slovakia_Book1_1_QD ke hoach dau thau 2" xfId="4642"/>
    <cellStyle name="Dziesietny_Invoices2001Slovakia_Book1_1_QD ke hoach dau thau 2 2" xfId="4643"/>
    <cellStyle name="Dziesiętny_Invoices2001Slovakia_Book1_1_QD ke hoach dau thau 2 2" xfId="4644"/>
    <cellStyle name="Dziesietny_Invoices2001Slovakia_Book1_1_QD ke hoach dau thau 3" xfId="4645"/>
    <cellStyle name="Dziesiętny_Invoices2001Slovakia_Book1_1_QD ke hoach dau thau 3" xfId="4646"/>
    <cellStyle name="Dziesietny_Invoices2001Slovakia_Book1_1_QD ke hoach dau thau 3 2" xfId="4647"/>
    <cellStyle name="Dziesiętny_Invoices2001Slovakia_Book1_1_QD ke hoach dau thau 3 2" xfId="4648"/>
    <cellStyle name="Dziesietny_Invoices2001Slovakia_Book1_1_QD ke hoach dau thau 4" xfId="4649"/>
    <cellStyle name="Dziesiętny_Invoices2001Slovakia_Book1_1_QD ke hoach dau thau 4" xfId="4650"/>
    <cellStyle name="Dziesietny_Invoices2001Slovakia_Book1_1_QD ke hoach dau thau 5" xfId="4651"/>
    <cellStyle name="Dziesiętny_Invoices2001Slovakia_Book1_1_QD ke hoach dau thau 5" xfId="4652"/>
    <cellStyle name="Dziesietny_Invoices2001Slovakia_Book1_1_Ra soat KH von 2011 (Huy-11-11-11)" xfId="4653"/>
    <cellStyle name="Dziesiętny_Invoices2001Slovakia_Book1_1_Ra soat KH von 2011 (Huy-11-11-11)" xfId="4654"/>
    <cellStyle name="Dziesietny_Invoices2001Slovakia_Book1_1_Ra soat KH von 2011 (Huy-11-11-11) 2" xfId="4655"/>
    <cellStyle name="Dziesiętny_Invoices2001Slovakia_Book1_1_Ra soat KH von 2011 (Huy-11-11-11) 2" xfId="4656"/>
    <cellStyle name="Dziesietny_Invoices2001Slovakia_Book1_1_tien luong" xfId="4657"/>
    <cellStyle name="Dziesiętny_Invoices2001Slovakia_Book1_1_tien luong" xfId="4658"/>
    <cellStyle name="Dziesietny_Invoices2001Slovakia_Book1_1_tien luong 2" xfId="4659"/>
    <cellStyle name="Dziesiętny_Invoices2001Slovakia_Book1_1_tien luong 2" xfId="4660"/>
    <cellStyle name="Dziesietny_Invoices2001Slovakia_Book1_1_Tien luong chuan 01" xfId="4661"/>
    <cellStyle name="Dziesiętny_Invoices2001Slovakia_Book1_1_Tien luong chuan 01" xfId="4662"/>
    <cellStyle name="Dziesietny_Invoices2001Slovakia_Book1_1_Tien luong chuan 01 2" xfId="4663"/>
    <cellStyle name="Dziesiętny_Invoices2001Slovakia_Book1_1_Tien luong chuan 01 2" xfId="4664"/>
    <cellStyle name="Dziesietny_Invoices2001Slovakia_Book1_1_tinh toan hoang ha" xfId="4665"/>
    <cellStyle name="Dziesiętny_Invoices2001Slovakia_Book1_1_tinh toan hoang ha" xfId="4666"/>
    <cellStyle name="Dziesietny_Invoices2001Slovakia_Book1_1_tinh toan hoang ha 2" xfId="4667"/>
    <cellStyle name="Dziesiętny_Invoices2001Slovakia_Book1_1_tinh toan hoang ha 2" xfId="4668"/>
    <cellStyle name="Dziesietny_Invoices2001Slovakia_Book1_1_tinh toan hoang ha 2 2" xfId="4669"/>
    <cellStyle name="Dziesiętny_Invoices2001Slovakia_Book1_1_tinh toan hoang ha 2 2" xfId="4670"/>
    <cellStyle name="Dziesietny_Invoices2001Slovakia_Book1_1_tinh toan hoang ha 3" xfId="4671"/>
    <cellStyle name="Dziesiętny_Invoices2001Slovakia_Book1_1_tinh toan hoang ha 3" xfId="4672"/>
    <cellStyle name="Dziesietny_Invoices2001Slovakia_Book1_1_tinh toan hoang ha 3 2" xfId="4673"/>
    <cellStyle name="Dziesiętny_Invoices2001Slovakia_Book1_1_tinh toan hoang ha 3 2" xfId="4674"/>
    <cellStyle name="Dziesietny_Invoices2001Slovakia_Book1_1_tinh toan hoang ha 4" xfId="4675"/>
    <cellStyle name="Dziesiętny_Invoices2001Slovakia_Book1_1_tinh toan hoang ha 4" xfId="4676"/>
    <cellStyle name="Dziesietny_Invoices2001Slovakia_Book1_1_tinh toan hoang ha 5" xfId="4677"/>
    <cellStyle name="Dziesiętny_Invoices2001Slovakia_Book1_1_tinh toan hoang ha 5" xfId="4678"/>
    <cellStyle name="Dziesietny_Invoices2001Slovakia_Book1_1_Tong von ĐTPT" xfId="4679"/>
    <cellStyle name="Dziesiętny_Invoices2001Slovakia_Book1_1_Tong von ĐTPT" xfId="4680"/>
    <cellStyle name="Dziesietny_Invoices2001Slovakia_Book1_1_Tong von ĐTPT 2" xfId="4681"/>
    <cellStyle name="Dziesiętny_Invoices2001Slovakia_Book1_1_Tong von ĐTPT 2" xfId="4682"/>
    <cellStyle name="Dziesietny_Invoices2001Slovakia_Book1_1_Tong von ĐTPT 2 2" xfId="4683"/>
    <cellStyle name="Dziesiętny_Invoices2001Slovakia_Book1_1_Tong von ĐTPT 2 2" xfId="4684"/>
    <cellStyle name="Dziesietny_Invoices2001Slovakia_Book1_1_Tong von ĐTPT 3" xfId="4685"/>
    <cellStyle name="Dziesiętny_Invoices2001Slovakia_Book1_1_Tong von ĐTPT 3" xfId="4686"/>
    <cellStyle name="Dziesietny_Invoices2001Slovakia_Book1_1_Tong von ĐTPT 3 2" xfId="4687"/>
    <cellStyle name="Dziesiętny_Invoices2001Slovakia_Book1_1_Tong von ĐTPT 3 2" xfId="4688"/>
    <cellStyle name="Dziesietny_Invoices2001Slovakia_Book1_1_Tong von ĐTPT 4" xfId="4689"/>
    <cellStyle name="Dziesiętny_Invoices2001Slovakia_Book1_1_Tong von ĐTPT 4" xfId="4690"/>
    <cellStyle name="Dziesietny_Invoices2001Slovakia_Book1_1_Tong von ĐTPT 5" xfId="4691"/>
    <cellStyle name="Dziesiętny_Invoices2001Slovakia_Book1_1_Tong von ĐTPT 5" xfId="4692"/>
    <cellStyle name="Dziesietny_Invoices2001Slovakia_Book1_1_Viec Huy dang lam" xfId="4693"/>
    <cellStyle name="Dziesiętny_Invoices2001Slovakia_Book1_1_Viec Huy dang lam" xfId="4694"/>
    <cellStyle name="Dziesietny_Invoices2001Slovakia_Book1_2" xfId="4695"/>
    <cellStyle name="Dziesiętny_Invoices2001Slovakia_Book1_2" xfId="4696"/>
    <cellStyle name="Dziesietny_Invoices2001Slovakia_Book1_2 2" xfId="4697"/>
    <cellStyle name="Dziesiętny_Invoices2001Slovakia_Book1_2 2" xfId="4698"/>
    <cellStyle name="Dziesietny_Invoices2001Slovakia_Book1_2 3" xfId="4699"/>
    <cellStyle name="Dziesiętny_Invoices2001Slovakia_Book1_2 3" xfId="4700"/>
    <cellStyle name="Dziesietny_Invoices2001Slovakia_Book1_2_bieu ke hoach dau thau" xfId="4701"/>
    <cellStyle name="Dziesiętny_Invoices2001Slovakia_Book1_2_bieu ke hoach dau thau" xfId="4702"/>
    <cellStyle name="Dziesietny_Invoices2001Slovakia_Book1_2_bieu ke hoach dau thau 2" xfId="4703"/>
    <cellStyle name="Dziesiętny_Invoices2001Slovakia_Book1_2_bieu ke hoach dau thau 2" xfId="4704"/>
    <cellStyle name="Dziesietny_Invoices2001Slovakia_Book1_2_bieu ke hoach dau thau 2 2" xfId="4705"/>
    <cellStyle name="Dziesiętny_Invoices2001Slovakia_Book1_2_bieu ke hoach dau thau 2 2" xfId="4706"/>
    <cellStyle name="Dziesietny_Invoices2001Slovakia_Book1_2_bieu ke hoach dau thau 3" xfId="4707"/>
    <cellStyle name="Dziesiętny_Invoices2001Slovakia_Book1_2_bieu ke hoach dau thau 3" xfId="4708"/>
    <cellStyle name="Dziesietny_Invoices2001Slovakia_Book1_2_bieu ke hoach dau thau 3 2" xfId="4709"/>
    <cellStyle name="Dziesiętny_Invoices2001Slovakia_Book1_2_bieu ke hoach dau thau 3 2" xfId="4710"/>
    <cellStyle name="Dziesietny_Invoices2001Slovakia_Book1_2_bieu ke hoach dau thau 4" xfId="4711"/>
    <cellStyle name="Dziesiętny_Invoices2001Slovakia_Book1_2_bieu ke hoach dau thau 4" xfId="4712"/>
    <cellStyle name="Dziesietny_Invoices2001Slovakia_Book1_2_bieu ke hoach dau thau truong mam non SKH" xfId="4713"/>
    <cellStyle name="Dziesiętny_Invoices2001Slovakia_Book1_2_bieu ke hoach dau thau truong mam non SKH" xfId="4714"/>
    <cellStyle name="Dziesietny_Invoices2001Slovakia_Book1_2_bieu ke hoach dau thau truong mam non SKH 2" xfId="4715"/>
    <cellStyle name="Dziesiętny_Invoices2001Slovakia_Book1_2_bieu ke hoach dau thau truong mam non SKH 2" xfId="4716"/>
    <cellStyle name="Dziesietny_Invoices2001Slovakia_Book1_2_bieu ke hoach dau thau truong mam non SKH 2 2" xfId="4717"/>
    <cellStyle name="Dziesiętny_Invoices2001Slovakia_Book1_2_bieu ke hoach dau thau truong mam non SKH 2 2" xfId="4718"/>
    <cellStyle name="Dziesietny_Invoices2001Slovakia_Book1_2_bieu ke hoach dau thau truong mam non SKH 3" xfId="4719"/>
    <cellStyle name="Dziesiętny_Invoices2001Slovakia_Book1_2_bieu ke hoach dau thau truong mam non SKH 3" xfId="4720"/>
    <cellStyle name="Dziesietny_Invoices2001Slovakia_Book1_2_bieu ke hoach dau thau truong mam non SKH 3 2" xfId="4721"/>
    <cellStyle name="Dziesiętny_Invoices2001Slovakia_Book1_2_bieu ke hoach dau thau truong mam non SKH 3 2" xfId="4722"/>
    <cellStyle name="Dziesietny_Invoices2001Slovakia_Book1_2_bieu ke hoach dau thau truong mam non SKH 4" xfId="4723"/>
    <cellStyle name="Dziesiętny_Invoices2001Slovakia_Book1_2_bieu ke hoach dau thau truong mam non SKH 4" xfId="4724"/>
    <cellStyle name="Dziesietny_Invoices2001Slovakia_Book1_2_bieu tong hop lai kh von 2011 gui phong TH-KTDN" xfId="4725"/>
    <cellStyle name="Dziesiętny_Invoices2001Slovakia_Book1_2_bieu tong hop lai kh von 2011 gui phong TH-KTDN" xfId="4726"/>
    <cellStyle name="Dziesietny_Invoices2001Slovakia_Book1_2_bieu tong hop lai kh von 2011 gui phong TH-KTDN 2" xfId="4727"/>
    <cellStyle name="Dziesiętny_Invoices2001Slovakia_Book1_2_bieu tong hop lai kh von 2011 gui phong TH-KTDN 2" xfId="4728"/>
    <cellStyle name="Dziesietny_Invoices2001Slovakia_Book1_2_bieu tong hop lai kh von 2011 gui phong TH-KTDN 2 2" xfId="4729"/>
    <cellStyle name="Dziesiętny_Invoices2001Slovakia_Book1_2_bieu tong hop lai kh von 2011 gui phong TH-KTDN 2 2" xfId="4730"/>
    <cellStyle name="Dziesietny_Invoices2001Slovakia_Book1_2_bieu tong hop lai kh von 2011 gui phong TH-KTDN 3" xfId="4731"/>
    <cellStyle name="Dziesiętny_Invoices2001Slovakia_Book1_2_bieu tong hop lai kh von 2011 gui phong TH-KTDN 3" xfId="4732"/>
    <cellStyle name="Dziesietny_Invoices2001Slovakia_Book1_2_bieu tong hop lai kh von 2011 gui phong TH-KTDN 3 2" xfId="4733"/>
    <cellStyle name="Dziesiętny_Invoices2001Slovakia_Book1_2_bieu tong hop lai kh von 2011 gui phong TH-KTDN 3 2" xfId="4734"/>
    <cellStyle name="Dziesietny_Invoices2001Slovakia_Book1_2_bieu tong hop lai kh von 2011 gui phong TH-KTDN 4" xfId="4735"/>
    <cellStyle name="Dziesiętny_Invoices2001Slovakia_Book1_2_bieu tong hop lai kh von 2011 gui phong TH-KTDN 4" xfId="4736"/>
    <cellStyle name="Dziesietny_Invoices2001Slovakia_Book1_2_bieu tong hop lai kh von 2011 gui phong TH-KTDN_BIEU KE HOACH  2015 (KTN 6.11 sua)" xfId="4737"/>
    <cellStyle name="Dziesiętny_Invoices2001Slovakia_Book1_2_bieu tong hop lai kh von 2011 gui phong TH-KTDN_BIEU KE HOACH  2015 (KTN 6.11 sua)" xfId="4738"/>
    <cellStyle name="Dziesietny_Invoices2001Slovakia_Book1_2_Book1" xfId="4739"/>
    <cellStyle name="Dziesiętny_Invoices2001Slovakia_Book1_2_Book1" xfId="4740"/>
    <cellStyle name="Dziesietny_Invoices2001Slovakia_Book1_2_Book1 2" xfId="4741"/>
    <cellStyle name="Dziesiętny_Invoices2001Slovakia_Book1_2_Book1 2" xfId="4742"/>
    <cellStyle name="Dziesietny_Invoices2001Slovakia_Book1_2_Book1 2 2" xfId="4743"/>
    <cellStyle name="Dziesiętny_Invoices2001Slovakia_Book1_2_Book1 2 2" xfId="4744"/>
    <cellStyle name="Dziesietny_Invoices2001Slovakia_Book1_2_Book1 3" xfId="4745"/>
    <cellStyle name="Dziesiętny_Invoices2001Slovakia_Book1_2_Book1 3" xfId="4746"/>
    <cellStyle name="Dziesietny_Invoices2001Slovakia_Book1_2_Book1 3 2" xfId="4747"/>
    <cellStyle name="Dziesiętny_Invoices2001Slovakia_Book1_2_Book1 3 2" xfId="4748"/>
    <cellStyle name="Dziesietny_Invoices2001Slovakia_Book1_2_Book1 4" xfId="4749"/>
    <cellStyle name="Dziesiętny_Invoices2001Slovakia_Book1_2_Book1 4" xfId="4750"/>
    <cellStyle name="Dziesietny_Invoices2001Slovakia_Book1_2_Book1_1" xfId="4751"/>
    <cellStyle name="Dziesiętny_Invoices2001Slovakia_Book1_2_Book1_1" xfId="4752"/>
    <cellStyle name="Dziesietny_Invoices2001Slovakia_Book1_2_Book1_1 2" xfId="4753"/>
    <cellStyle name="Dziesiętny_Invoices2001Slovakia_Book1_2_Book1_1 2" xfId="4754"/>
    <cellStyle name="Dziesietny_Invoices2001Slovakia_Book1_2_Book1_1 2 2" xfId="4755"/>
    <cellStyle name="Dziesiętny_Invoices2001Slovakia_Book1_2_Book1_1 2 2" xfId="4756"/>
    <cellStyle name="Dziesietny_Invoices2001Slovakia_Book1_2_Book1_1 3" xfId="4757"/>
    <cellStyle name="Dziesiętny_Invoices2001Slovakia_Book1_2_Book1_1 3" xfId="4758"/>
    <cellStyle name="Dziesietny_Invoices2001Slovakia_Book1_2_Book1_1 3 2" xfId="4759"/>
    <cellStyle name="Dziesiętny_Invoices2001Slovakia_Book1_2_Book1_1 3 2" xfId="4760"/>
    <cellStyle name="Dziesietny_Invoices2001Slovakia_Book1_2_Book1_1 4" xfId="4761"/>
    <cellStyle name="Dziesiętny_Invoices2001Slovakia_Book1_2_Book1_1 4" xfId="4762"/>
    <cellStyle name="Dziesietny_Invoices2001Slovakia_Book1_2_Book1_1 5" xfId="4763"/>
    <cellStyle name="Dziesiętny_Invoices2001Slovakia_Book1_2_Book1_1 5" xfId="4764"/>
    <cellStyle name="Dziesietny_Invoices2001Slovakia_Book1_2_Book1_Ke hoach 2010 (theo doi 11-8-2010)" xfId="4765"/>
    <cellStyle name="Dziesiętny_Invoices2001Slovakia_Book1_2_Book1_Ke hoach 2010 (theo doi 11-8-2010)" xfId="4766"/>
    <cellStyle name="Dziesietny_Invoices2001Slovakia_Book1_2_Book1_Ke hoach 2010 (theo doi 11-8-2010) 2" xfId="4767"/>
    <cellStyle name="Dziesiętny_Invoices2001Slovakia_Book1_2_Book1_Ke hoach 2010 (theo doi 11-8-2010) 2" xfId="4768"/>
    <cellStyle name="Dziesietny_Invoices2001Slovakia_Book1_2_Book1_Ke hoach 2010 (theo doi 11-8-2010) 2 2" xfId="4769"/>
    <cellStyle name="Dziesiętny_Invoices2001Slovakia_Book1_2_Book1_Ke hoach 2010 (theo doi 11-8-2010) 2 2" xfId="4770"/>
    <cellStyle name="Dziesietny_Invoices2001Slovakia_Book1_2_Book1_Ke hoach 2010 (theo doi 11-8-2010) 3" xfId="4771"/>
    <cellStyle name="Dziesiętny_Invoices2001Slovakia_Book1_2_Book1_Ke hoach 2010 (theo doi 11-8-2010) 3" xfId="4772"/>
    <cellStyle name="Dziesietny_Invoices2001Slovakia_Book1_2_Book1_Ke hoach 2010 (theo doi 11-8-2010) 3 2" xfId="4773"/>
    <cellStyle name="Dziesiętny_Invoices2001Slovakia_Book1_2_Book1_Ke hoach 2010 (theo doi 11-8-2010) 3 2" xfId="4774"/>
    <cellStyle name="Dziesietny_Invoices2001Slovakia_Book1_2_Book1_Ke hoach 2010 (theo doi 11-8-2010) 4" xfId="4775"/>
    <cellStyle name="Dziesiętny_Invoices2001Slovakia_Book1_2_Book1_Ke hoach 2010 (theo doi 11-8-2010) 4" xfId="4776"/>
    <cellStyle name="Dziesietny_Invoices2001Slovakia_Book1_2_Book1_Ke hoach 2010 (theo doi 11-8-2010)_BIEU KE HOACH  2015 (KTN 6.11 sua)" xfId="4777"/>
    <cellStyle name="Dziesiętny_Invoices2001Slovakia_Book1_2_Book1_Ke hoach 2010 (theo doi 11-8-2010)_BIEU KE HOACH  2015 (KTN 6.11 sua)" xfId="4778"/>
    <cellStyle name="Dziesietny_Invoices2001Slovakia_Book1_2_Book1_ke hoach dau thau 30-6-2010" xfId="4779"/>
    <cellStyle name="Dziesiętny_Invoices2001Slovakia_Book1_2_Book1_ke hoach dau thau 30-6-2010" xfId="4780"/>
    <cellStyle name="Dziesietny_Invoices2001Slovakia_Book1_2_Book1_ke hoach dau thau 30-6-2010 2" xfId="4781"/>
    <cellStyle name="Dziesiętny_Invoices2001Slovakia_Book1_2_Book1_ke hoach dau thau 30-6-2010 2" xfId="4782"/>
    <cellStyle name="Dziesietny_Invoices2001Slovakia_Book1_2_Book1_ke hoach dau thau 30-6-2010 2 2" xfId="4783"/>
    <cellStyle name="Dziesiętny_Invoices2001Slovakia_Book1_2_Book1_ke hoach dau thau 30-6-2010 2 2" xfId="4784"/>
    <cellStyle name="Dziesietny_Invoices2001Slovakia_Book1_2_Book1_ke hoach dau thau 30-6-2010 3" xfId="4785"/>
    <cellStyle name="Dziesiętny_Invoices2001Slovakia_Book1_2_Book1_ke hoach dau thau 30-6-2010 3" xfId="4786"/>
    <cellStyle name="Dziesietny_Invoices2001Slovakia_Book1_2_Book1_ke hoach dau thau 30-6-2010 3 2" xfId="4787"/>
    <cellStyle name="Dziesiętny_Invoices2001Slovakia_Book1_2_Book1_ke hoach dau thau 30-6-2010 3 2" xfId="4788"/>
    <cellStyle name="Dziesietny_Invoices2001Slovakia_Book1_2_Book1_ke hoach dau thau 30-6-2010 4" xfId="4789"/>
    <cellStyle name="Dziesiętny_Invoices2001Slovakia_Book1_2_Book1_ke hoach dau thau 30-6-2010 4" xfId="4790"/>
    <cellStyle name="Dziesietny_Invoices2001Slovakia_Book1_2_Book1_ke hoach dau thau 30-6-2010_BIEU KE HOACH  2015 (KTN 6.11 sua)" xfId="4791"/>
    <cellStyle name="Dziesiętny_Invoices2001Slovakia_Book1_2_Book1_ke hoach dau thau 30-6-2010_BIEU KE HOACH  2015 (KTN 6.11 sua)" xfId="4792"/>
    <cellStyle name="Dziesietny_Invoices2001Slovakia_Book1_2_Copy of KH PHAN BO VON ĐỐI ỨNG NAM 2011 (30 TY phuong án gop WB)" xfId="4793"/>
    <cellStyle name="Dziesiętny_Invoices2001Slovakia_Book1_2_Copy of KH PHAN BO VON ĐỐI ỨNG NAM 2011 (30 TY phuong án gop WB)" xfId="4794"/>
    <cellStyle name="Dziesietny_Invoices2001Slovakia_Book1_2_Copy of KH PHAN BO VON ĐỐI ỨNG NAM 2011 (30 TY phuong án gop WB) 2" xfId="4795"/>
    <cellStyle name="Dziesiętny_Invoices2001Slovakia_Book1_2_Copy of KH PHAN BO VON ĐỐI ỨNG NAM 2011 (30 TY phuong án gop WB) 2" xfId="4796"/>
    <cellStyle name="Dziesietny_Invoices2001Slovakia_Book1_2_Copy of KH PHAN BO VON ĐỐI ỨNG NAM 2011 (30 TY phuong án gop WB) 2 2" xfId="4797"/>
    <cellStyle name="Dziesiętny_Invoices2001Slovakia_Book1_2_Copy of KH PHAN BO VON ĐỐI ỨNG NAM 2011 (30 TY phuong án gop WB) 2 2" xfId="4798"/>
    <cellStyle name="Dziesietny_Invoices2001Slovakia_Book1_2_Copy of KH PHAN BO VON ĐỐI ỨNG NAM 2011 (30 TY phuong án gop WB) 3" xfId="4799"/>
    <cellStyle name="Dziesiętny_Invoices2001Slovakia_Book1_2_Copy of KH PHAN BO VON ĐỐI ỨNG NAM 2011 (30 TY phuong án gop WB) 3" xfId="4800"/>
    <cellStyle name="Dziesietny_Invoices2001Slovakia_Book1_2_Copy of KH PHAN BO VON ĐỐI ỨNG NAM 2011 (30 TY phuong án gop WB) 3 2" xfId="4801"/>
    <cellStyle name="Dziesiętny_Invoices2001Slovakia_Book1_2_Copy of KH PHAN BO VON ĐỐI ỨNG NAM 2011 (30 TY phuong án gop WB) 3 2" xfId="4802"/>
    <cellStyle name="Dziesietny_Invoices2001Slovakia_Book1_2_Copy of KH PHAN BO VON ĐỐI ỨNG NAM 2011 (30 TY phuong án gop WB) 4" xfId="4803"/>
    <cellStyle name="Dziesiętny_Invoices2001Slovakia_Book1_2_Copy of KH PHAN BO VON ĐỐI ỨNG NAM 2011 (30 TY phuong án gop WB) 4" xfId="4804"/>
    <cellStyle name="Dziesietny_Invoices2001Slovakia_Book1_2_Copy of KH PHAN BO VON ĐỐI ỨNG NAM 2011 (30 TY phuong án gop WB)_BIEU KE HOACH  2015 (KTN 6.11 sua)" xfId="4805"/>
    <cellStyle name="Dziesiętny_Invoices2001Slovakia_Book1_2_Copy of KH PHAN BO VON ĐỐI ỨNG NAM 2011 (30 TY phuong án gop WB)_BIEU KE HOACH  2015 (KTN 6.11 sua)" xfId="4806"/>
    <cellStyle name="Dziesietny_Invoices2001Slovakia_Book1_2_Danh Mục KCM trinh BKH 2011 (BS 30A)" xfId="4807"/>
    <cellStyle name="Dziesiętny_Invoices2001Slovakia_Book1_2_Danh Mục KCM trinh BKH 2011 (BS 30A)" xfId="4808"/>
    <cellStyle name="Dziesietny_Invoices2001Slovakia_Book1_2_Danh Mục KCM trinh BKH 2011 (BS 30A) 2" xfId="4809"/>
    <cellStyle name="Dziesiętny_Invoices2001Slovakia_Book1_2_Danh Mục KCM trinh BKH 2011 (BS 30A) 2" xfId="4810"/>
    <cellStyle name="Dziesietny_Invoices2001Slovakia_Book1_2_DTTD chieng chan Tham lai 29-9-2009" xfId="4811"/>
    <cellStyle name="Dziesiętny_Invoices2001Slovakia_Book1_2_DTTD chieng chan Tham lai 29-9-2009" xfId="4812"/>
    <cellStyle name="Dziesietny_Invoices2001Slovakia_Book1_2_DTTD chieng chan Tham lai 29-9-2009 2" xfId="4813"/>
    <cellStyle name="Dziesiętny_Invoices2001Slovakia_Book1_2_DTTD chieng chan Tham lai 29-9-2009 2" xfId="4814"/>
    <cellStyle name="Dziesietny_Invoices2001Slovakia_Book1_2_DTTD chieng chan Tham lai 29-9-2009 2 2" xfId="4815"/>
    <cellStyle name="Dziesiętny_Invoices2001Slovakia_Book1_2_DTTD chieng chan Tham lai 29-9-2009 2 2" xfId="4816"/>
    <cellStyle name="Dziesietny_Invoices2001Slovakia_Book1_2_DTTD chieng chan Tham lai 29-9-2009 3" xfId="4817"/>
    <cellStyle name="Dziesiętny_Invoices2001Slovakia_Book1_2_DTTD chieng chan Tham lai 29-9-2009 3" xfId="4818"/>
    <cellStyle name="Dziesietny_Invoices2001Slovakia_Book1_2_DTTD chieng chan Tham lai 29-9-2009 3 2" xfId="4819"/>
    <cellStyle name="Dziesiętny_Invoices2001Slovakia_Book1_2_DTTD chieng chan Tham lai 29-9-2009 3 2" xfId="4820"/>
    <cellStyle name="Dziesietny_Invoices2001Slovakia_Book1_2_DTTD chieng chan Tham lai 29-9-2009 4" xfId="4821"/>
    <cellStyle name="Dziesiętny_Invoices2001Slovakia_Book1_2_DTTD chieng chan Tham lai 29-9-2009 4" xfId="4822"/>
    <cellStyle name="Dziesietny_Invoices2001Slovakia_Book1_2_DTTD chieng chan Tham lai 29-9-2009_BIEU KE HOACH  2015 (KTN 6.11 sua)" xfId="4823"/>
    <cellStyle name="Dziesiętny_Invoices2001Slovakia_Book1_2_DTTD chieng chan Tham lai 29-9-2009_BIEU KE HOACH  2015 (KTN 6.11 sua)" xfId="4824"/>
    <cellStyle name="Dziesietny_Invoices2001Slovakia_Book1_2_Du toan nuoc San Thang (GD2)" xfId="4825"/>
    <cellStyle name="Dziesiętny_Invoices2001Slovakia_Book1_2_Du toan nuoc San Thang (GD2)" xfId="4826"/>
    <cellStyle name="Dziesietny_Invoices2001Slovakia_Book1_2_Du toan nuoc San Thang (GD2) 2" xfId="4827"/>
    <cellStyle name="Dziesiętny_Invoices2001Slovakia_Book1_2_Du toan nuoc San Thang (GD2) 2" xfId="4828"/>
    <cellStyle name="Dziesietny_Invoices2001Slovakia_Book1_2_Du toan nuoc San Thang (GD2) 2 2" xfId="4829"/>
    <cellStyle name="Dziesiętny_Invoices2001Slovakia_Book1_2_Du toan nuoc San Thang (GD2) 2 2" xfId="4830"/>
    <cellStyle name="Dziesietny_Invoices2001Slovakia_Book1_2_Du toan nuoc San Thang (GD2) 3" xfId="4831"/>
    <cellStyle name="Dziesiętny_Invoices2001Slovakia_Book1_2_Du toan nuoc San Thang (GD2) 3" xfId="4832"/>
    <cellStyle name="Dziesietny_Invoices2001Slovakia_Book1_2_Du toan nuoc San Thang (GD2) 3 2" xfId="4833"/>
    <cellStyle name="Dziesiętny_Invoices2001Slovakia_Book1_2_Du toan nuoc San Thang (GD2) 3 2" xfId="4834"/>
    <cellStyle name="Dziesietny_Invoices2001Slovakia_Book1_2_Du toan nuoc San Thang (GD2) 4" xfId="4835"/>
    <cellStyle name="Dziesiętny_Invoices2001Slovakia_Book1_2_Du toan nuoc San Thang (GD2) 4" xfId="4836"/>
    <cellStyle name="Dziesietny_Invoices2001Slovakia_Book1_2_Ke hoach 2010 (theo doi 11-8-2010)" xfId="4837"/>
    <cellStyle name="Dziesiętny_Invoices2001Slovakia_Book1_2_Ke hoach 2010 (theo doi 11-8-2010)" xfId="4838"/>
    <cellStyle name="Dziesietny_Invoices2001Slovakia_Book1_2_Ke hoach 2010 (theo doi 11-8-2010) 2" xfId="4839"/>
    <cellStyle name="Dziesiętny_Invoices2001Slovakia_Book1_2_Ke hoach 2010 (theo doi 11-8-2010) 2" xfId="4840"/>
    <cellStyle name="Dziesietny_Invoices2001Slovakia_Book1_2_Ke hoach 2010 (theo doi 11-8-2010) 2 2" xfId="4841"/>
    <cellStyle name="Dziesiętny_Invoices2001Slovakia_Book1_2_Ke hoach 2010 (theo doi 11-8-2010) 2 2" xfId="4842"/>
    <cellStyle name="Dziesietny_Invoices2001Slovakia_Book1_2_Ke hoach 2010 (theo doi 11-8-2010) 3" xfId="4843"/>
    <cellStyle name="Dziesiętny_Invoices2001Slovakia_Book1_2_Ke hoach 2010 (theo doi 11-8-2010) 3" xfId="4844"/>
    <cellStyle name="Dziesietny_Invoices2001Slovakia_Book1_2_Ke hoach 2010 (theo doi 11-8-2010) 3 2" xfId="4845"/>
    <cellStyle name="Dziesiętny_Invoices2001Slovakia_Book1_2_Ke hoach 2010 (theo doi 11-8-2010) 3 2" xfId="4846"/>
    <cellStyle name="Dziesietny_Invoices2001Slovakia_Book1_2_Ke hoach 2010 (theo doi 11-8-2010) 4" xfId="4847"/>
    <cellStyle name="Dziesiętny_Invoices2001Slovakia_Book1_2_Ke hoach 2010 (theo doi 11-8-2010) 4" xfId="4848"/>
    <cellStyle name="Dziesietny_Invoices2001Slovakia_Book1_2_Ke hoach 2010 ngay 31-01" xfId="4849"/>
    <cellStyle name="Dziesiętny_Invoices2001Slovakia_Book1_2_Ke hoach 2010 ngay 31-01" xfId="4850"/>
    <cellStyle name="Dziesietny_Invoices2001Slovakia_Book1_2_Ke hoach 2010 ngay 31-01 2" xfId="4851"/>
    <cellStyle name="Dziesiętny_Invoices2001Slovakia_Book1_2_Ke hoach 2010 ngay 31-01 2" xfId="4852"/>
    <cellStyle name="Dziesietny_Invoices2001Slovakia_Book1_2_Ke hoach 2010 ngay 31-01 2 2" xfId="4853"/>
    <cellStyle name="Dziesiętny_Invoices2001Slovakia_Book1_2_Ke hoach 2010 ngay 31-01 2 2" xfId="4854"/>
    <cellStyle name="Dziesietny_Invoices2001Slovakia_Book1_2_Ke hoach 2010 ngay 31-01 3" xfId="4855"/>
    <cellStyle name="Dziesiętny_Invoices2001Slovakia_Book1_2_Ke hoach 2010 ngay 31-01 3" xfId="4856"/>
    <cellStyle name="Dziesietny_Invoices2001Slovakia_Book1_2_Ke hoach 2010 ngay 31-01 3 2" xfId="4857"/>
    <cellStyle name="Dziesiętny_Invoices2001Slovakia_Book1_2_Ke hoach 2010 ngay 31-01 3 2" xfId="4858"/>
    <cellStyle name="Dziesietny_Invoices2001Slovakia_Book1_2_Ke hoach 2010 ngay 31-01 4" xfId="4859"/>
    <cellStyle name="Dziesiętny_Invoices2001Slovakia_Book1_2_Ke hoach 2010 ngay 31-01 4" xfId="4860"/>
    <cellStyle name="Dziesietny_Invoices2001Slovakia_Book1_2_ke hoach dau thau 30-6-2010" xfId="4861"/>
    <cellStyle name="Dziesiętny_Invoices2001Slovakia_Book1_2_ke hoach dau thau 30-6-2010" xfId="4862"/>
    <cellStyle name="Dziesietny_Invoices2001Slovakia_Book1_2_ke hoach dau thau 30-6-2010 2" xfId="4863"/>
    <cellStyle name="Dziesiętny_Invoices2001Slovakia_Book1_2_ke hoach dau thau 30-6-2010 2" xfId="4864"/>
    <cellStyle name="Dziesietny_Invoices2001Slovakia_Book1_2_ke hoach dau thau 30-6-2010 2 2" xfId="4865"/>
    <cellStyle name="Dziesiętny_Invoices2001Slovakia_Book1_2_ke hoach dau thau 30-6-2010 2 2" xfId="4866"/>
    <cellStyle name="Dziesietny_Invoices2001Slovakia_Book1_2_ke hoach dau thau 30-6-2010 3" xfId="4867"/>
    <cellStyle name="Dziesiętny_Invoices2001Slovakia_Book1_2_ke hoach dau thau 30-6-2010 3" xfId="4868"/>
    <cellStyle name="Dziesietny_Invoices2001Slovakia_Book1_2_ke hoach dau thau 30-6-2010 3 2" xfId="4869"/>
    <cellStyle name="Dziesiętny_Invoices2001Slovakia_Book1_2_ke hoach dau thau 30-6-2010 3 2" xfId="4870"/>
    <cellStyle name="Dziesietny_Invoices2001Slovakia_Book1_2_ke hoach dau thau 30-6-2010 4" xfId="4871"/>
    <cellStyle name="Dziesiętny_Invoices2001Slovakia_Book1_2_ke hoach dau thau 30-6-2010 4" xfId="4872"/>
    <cellStyle name="Dziesietny_Invoices2001Slovakia_Book1_2_KH Von 2012 gui BKH 1" xfId="4873"/>
    <cellStyle name="Dziesiętny_Invoices2001Slovakia_Book1_2_KH Von 2012 gui BKH 1" xfId="4874"/>
    <cellStyle name="Dziesietny_Invoices2001Slovakia_Book1_2_KH Von 2012 gui BKH 1 2" xfId="4875"/>
    <cellStyle name="Dziesiętny_Invoices2001Slovakia_Book1_2_KH Von 2012 gui BKH 1 2" xfId="4876"/>
    <cellStyle name="Dziesietny_Invoices2001Slovakia_Book1_2_KH Von 2012 gui BKH 1 2 2" xfId="4877"/>
    <cellStyle name="Dziesiętny_Invoices2001Slovakia_Book1_2_KH Von 2012 gui BKH 1 2 2" xfId="4878"/>
    <cellStyle name="Dziesietny_Invoices2001Slovakia_Book1_2_KH Von 2012 gui BKH 1 3" xfId="4879"/>
    <cellStyle name="Dziesiętny_Invoices2001Slovakia_Book1_2_KH Von 2012 gui BKH 1 3" xfId="4880"/>
    <cellStyle name="Dziesietny_Invoices2001Slovakia_Book1_2_KH Von 2012 gui BKH 1 3 2" xfId="4881"/>
    <cellStyle name="Dziesiętny_Invoices2001Slovakia_Book1_2_KH Von 2012 gui BKH 1 3 2" xfId="4882"/>
    <cellStyle name="Dziesietny_Invoices2001Slovakia_Book1_2_KH Von 2012 gui BKH 1 4" xfId="4883"/>
    <cellStyle name="Dziesiętny_Invoices2001Slovakia_Book1_2_KH Von 2012 gui BKH 1 4" xfId="4884"/>
    <cellStyle name="Dziesietny_Invoices2001Slovakia_Book1_2_KH Von 2012 gui BKH 1_BIEU KE HOACH  2015 (KTN 6.11 sua)" xfId="4885"/>
    <cellStyle name="Dziesiętny_Invoices2001Slovakia_Book1_2_KH Von 2012 gui BKH 1_BIEU KE HOACH  2015 (KTN 6.11 sua)" xfId="4886"/>
    <cellStyle name="Dziesietny_Invoices2001Slovakia_Book1_2_KH Von 2012 gui BKH 2" xfId="4887"/>
    <cellStyle name="Dziesiętny_Invoices2001Slovakia_Book1_2_KH Von 2012 gui BKH 2" xfId="4888"/>
    <cellStyle name="Dziesietny_Invoices2001Slovakia_Book1_2_KH Von 2012 gui BKH 2 2" xfId="4889"/>
    <cellStyle name="Dziesiętny_Invoices2001Slovakia_Book1_2_KH Von 2012 gui BKH 2 2" xfId="4890"/>
    <cellStyle name="Dziesietny_Invoices2001Slovakia_Book1_2_KH Von 2012 gui BKH 2 2 2" xfId="4891"/>
    <cellStyle name="Dziesiętny_Invoices2001Slovakia_Book1_2_KH Von 2012 gui BKH 2 2 2" xfId="4892"/>
    <cellStyle name="Dziesietny_Invoices2001Slovakia_Book1_2_KH Von 2012 gui BKH 2 3" xfId="4893"/>
    <cellStyle name="Dziesiętny_Invoices2001Slovakia_Book1_2_KH Von 2012 gui BKH 2 3" xfId="4894"/>
    <cellStyle name="Dziesietny_Invoices2001Slovakia_Book1_2_KH Von 2012 gui BKH 2 3 2" xfId="4895"/>
    <cellStyle name="Dziesiętny_Invoices2001Slovakia_Book1_2_KH Von 2012 gui BKH 2 3 2" xfId="4896"/>
    <cellStyle name="Dziesietny_Invoices2001Slovakia_Book1_2_KH Von 2012 gui BKH 2 4" xfId="4897"/>
    <cellStyle name="Dziesiętny_Invoices2001Slovakia_Book1_2_KH Von 2012 gui BKH 2 4" xfId="4898"/>
    <cellStyle name="Dziesietny_Invoices2001Slovakia_Book1_2_QD ke hoach dau thau" xfId="4899"/>
    <cellStyle name="Dziesiętny_Invoices2001Slovakia_Book1_2_QD ke hoach dau thau" xfId="4900"/>
    <cellStyle name="Dziesietny_Invoices2001Slovakia_Book1_2_QD ke hoach dau thau 2" xfId="4901"/>
    <cellStyle name="Dziesiętny_Invoices2001Slovakia_Book1_2_QD ke hoach dau thau 2" xfId="4902"/>
    <cellStyle name="Dziesietny_Invoices2001Slovakia_Book1_2_QD ke hoach dau thau 2 2" xfId="4903"/>
    <cellStyle name="Dziesiętny_Invoices2001Slovakia_Book1_2_QD ke hoach dau thau 2 2" xfId="4904"/>
    <cellStyle name="Dziesietny_Invoices2001Slovakia_Book1_2_QD ke hoach dau thau 3" xfId="4905"/>
    <cellStyle name="Dziesiętny_Invoices2001Slovakia_Book1_2_QD ke hoach dau thau 3" xfId="4906"/>
    <cellStyle name="Dziesietny_Invoices2001Slovakia_Book1_2_QD ke hoach dau thau 3 2" xfId="4907"/>
    <cellStyle name="Dziesiętny_Invoices2001Slovakia_Book1_2_QD ke hoach dau thau 3 2" xfId="4908"/>
    <cellStyle name="Dziesietny_Invoices2001Slovakia_Book1_2_QD ke hoach dau thau 4" xfId="4909"/>
    <cellStyle name="Dziesiętny_Invoices2001Slovakia_Book1_2_QD ke hoach dau thau 4" xfId="4910"/>
    <cellStyle name="Dziesietny_Invoices2001Slovakia_Book1_2_Ra soat KH von 2011 (Huy-11-11-11)" xfId="4911"/>
    <cellStyle name="Dziesiętny_Invoices2001Slovakia_Book1_2_Ra soat KH von 2011 (Huy-11-11-11)" xfId="4912"/>
    <cellStyle name="Dziesietny_Invoices2001Slovakia_Book1_2_Ra soat KH von 2011 (Huy-11-11-11) 2" xfId="4913"/>
    <cellStyle name="Dziesiętny_Invoices2001Slovakia_Book1_2_Ra soat KH von 2011 (Huy-11-11-11) 2" xfId="4914"/>
    <cellStyle name="Dziesietny_Invoices2001Slovakia_Book1_2_Ra soat KH von 2011 (Huy-11-11-11) 2 2" xfId="4915"/>
    <cellStyle name="Dziesiętny_Invoices2001Slovakia_Book1_2_Ra soat KH von 2011 (Huy-11-11-11) 2 2" xfId="4916"/>
    <cellStyle name="Dziesietny_Invoices2001Slovakia_Book1_2_Ra soat KH von 2011 (Huy-11-11-11) 3" xfId="4917"/>
    <cellStyle name="Dziesiętny_Invoices2001Slovakia_Book1_2_Ra soat KH von 2011 (Huy-11-11-11) 3" xfId="4918"/>
    <cellStyle name="Dziesietny_Invoices2001Slovakia_Book1_2_Ra soat KH von 2011 (Huy-11-11-11) 3 2" xfId="4919"/>
    <cellStyle name="Dziesiętny_Invoices2001Slovakia_Book1_2_Ra soat KH von 2011 (Huy-11-11-11) 3 2" xfId="4920"/>
    <cellStyle name="Dziesietny_Invoices2001Slovakia_Book1_2_Ra soat KH von 2011 (Huy-11-11-11) 4" xfId="4921"/>
    <cellStyle name="Dziesiętny_Invoices2001Slovakia_Book1_2_Ra soat KH von 2011 (Huy-11-11-11) 4" xfId="4922"/>
    <cellStyle name="Dziesietny_Invoices2001Slovakia_Book1_2_Ra soat KH von 2011 (Huy-11-11-11) 5" xfId="4923"/>
    <cellStyle name="Dziesiętny_Invoices2001Slovakia_Book1_2_Ra soat KH von 2011 (Huy-11-11-11) 5" xfId="4924"/>
    <cellStyle name="Dziesietny_Invoices2001Slovakia_Book1_2_tinh toan hoang ha" xfId="4925"/>
    <cellStyle name="Dziesiętny_Invoices2001Slovakia_Book1_2_tinh toan hoang ha" xfId="4926"/>
    <cellStyle name="Dziesietny_Invoices2001Slovakia_Book1_2_tinh toan hoang ha 2" xfId="4927"/>
    <cellStyle name="Dziesiętny_Invoices2001Slovakia_Book1_2_tinh toan hoang ha 2" xfId="4928"/>
    <cellStyle name="Dziesietny_Invoices2001Slovakia_Book1_2_tinh toan hoang ha 2 2" xfId="4929"/>
    <cellStyle name="Dziesiętny_Invoices2001Slovakia_Book1_2_tinh toan hoang ha 2 2" xfId="4930"/>
    <cellStyle name="Dziesietny_Invoices2001Slovakia_Book1_2_tinh toan hoang ha 3" xfId="4931"/>
    <cellStyle name="Dziesiętny_Invoices2001Slovakia_Book1_2_tinh toan hoang ha 3" xfId="4932"/>
    <cellStyle name="Dziesietny_Invoices2001Slovakia_Book1_2_tinh toan hoang ha 3 2" xfId="4933"/>
    <cellStyle name="Dziesiętny_Invoices2001Slovakia_Book1_2_tinh toan hoang ha 3 2" xfId="4934"/>
    <cellStyle name="Dziesietny_Invoices2001Slovakia_Book1_2_tinh toan hoang ha 4" xfId="4935"/>
    <cellStyle name="Dziesiętny_Invoices2001Slovakia_Book1_2_tinh toan hoang ha 4" xfId="4936"/>
    <cellStyle name="Dziesietny_Invoices2001Slovakia_Book1_2_Tong von ĐTPT" xfId="4937"/>
    <cellStyle name="Dziesiętny_Invoices2001Slovakia_Book1_2_Tong von ĐTPT" xfId="4938"/>
    <cellStyle name="Dziesietny_Invoices2001Slovakia_Book1_2_Tong von ĐTPT 2" xfId="4939"/>
    <cellStyle name="Dziesiętny_Invoices2001Slovakia_Book1_2_Tong von ĐTPT 2" xfId="4940"/>
    <cellStyle name="Dziesietny_Invoices2001Slovakia_Book1_2_Tong von ĐTPT 2 2" xfId="4941"/>
    <cellStyle name="Dziesiętny_Invoices2001Slovakia_Book1_2_Tong von ĐTPT 2 2" xfId="4942"/>
    <cellStyle name="Dziesietny_Invoices2001Slovakia_Book1_2_Tong von ĐTPT 3" xfId="4943"/>
    <cellStyle name="Dziesiętny_Invoices2001Slovakia_Book1_2_Tong von ĐTPT 3" xfId="4944"/>
    <cellStyle name="Dziesietny_Invoices2001Slovakia_Book1_2_Tong von ĐTPT 3 2" xfId="4945"/>
    <cellStyle name="Dziesiętny_Invoices2001Slovakia_Book1_2_Tong von ĐTPT 3 2" xfId="4946"/>
    <cellStyle name="Dziesietny_Invoices2001Slovakia_Book1_2_Tong von ĐTPT 4" xfId="4947"/>
    <cellStyle name="Dziesiętny_Invoices2001Slovakia_Book1_2_Tong von ĐTPT 4" xfId="4948"/>
    <cellStyle name="Dziesietny_Invoices2001Slovakia_Book1_2_Viec Huy dang lam" xfId="4949"/>
    <cellStyle name="Dziesiętny_Invoices2001Slovakia_Book1_2_Viec Huy dang lam" xfId="4950"/>
    <cellStyle name="Dziesietny_Invoices2001Slovakia_Book1_3" xfId="4951"/>
    <cellStyle name="Dziesiętny_Invoices2001Slovakia_Book1_3" xfId="4952"/>
    <cellStyle name="Dziesietny_Invoices2001Slovakia_Book1_3 2" xfId="4953"/>
    <cellStyle name="Dziesiętny_Invoices2001Slovakia_Book1_3 2" xfId="4954"/>
    <cellStyle name="Dziesietny_Invoices2001Slovakia_Book1_3 2 2" xfId="4955"/>
    <cellStyle name="Dziesiętny_Invoices2001Slovakia_Book1_3 2 2" xfId="4956"/>
    <cellStyle name="Dziesietny_Invoices2001Slovakia_Book1_3 3" xfId="4957"/>
    <cellStyle name="Dziesiętny_Invoices2001Slovakia_Book1_3 3" xfId="4958"/>
    <cellStyle name="Dziesietny_Invoices2001Slovakia_Book1_3 3 2" xfId="4959"/>
    <cellStyle name="Dziesiętny_Invoices2001Slovakia_Book1_3 3 2" xfId="4960"/>
    <cellStyle name="Dziesietny_Invoices2001Slovakia_Book1_3 4" xfId="4961"/>
    <cellStyle name="Dziesiętny_Invoices2001Slovakia_Book1_3 4" xfId="4962"/>
    <cellStyle name="Dziesietny_Invoices2001Slovakia_Book1_Bao cao 9 thang  XDCB" xfId="4963"/>
    <cellStyle name="Dziesiętny_Invoices2001Slovakia_Book1_Book1" xfId="4964"/>
    <cellStyle name="Dziesietny_Invoices2001Slovakia_Book1_dự toán 30a 2013" xfId="4965"/>
    <cellStyle name="Dziesiętny_Invoices2001Slovakia_Book1_Nhu cau von ung truoc 2011 Tha h Hoa + Nge An gui TW" xfId="4966"/>
    <cellStyle name="Dziesietny_Invoices2001Slovakia_Book1_Tong hop Cac tuyen(9-1-06)" xfId="4967"/>
    <cellStyle name="Dziesiętny_Invoices2001Slovakia_Book1_Tong hop Cac tuyen(9-1-06)" xfId="4968"/>
    <cellStyle name="Dziesietny_Invoices2001Slovakia_Book1_Tong hop Cac tuyen(9-1-06) 2" xfId="4969"/>
    <cellStyle name="Dziesiętny_Invoices2001Slovakia_Book1_Tong hop Cac tuyen(9-1-06) 2" xfId="4970"/>
    <cellStyle name="Dziesietny_Invoices2001Slovakia_Book1_Tong hop Cac tuyen(9-1-06)_bieu tong hop lai kh von 2011 gui phong TH-KTDN" xfId="4971"/>
    <cellStyle name="Dziesiętny_Invoices2001Slovakia_Book1_Tong hop Cac tuyen(9-1-06)_bieu tong hop lai kh von 2011 gui phong TH-KTDN" xfId="4972"/>
    <cellStyle name="Dziesietny_Invoices2001Slovakia_Book1_Tong hop Cac tuyen(9-1-06)_bieu tong hop lai kh von 2011 gui phong TH-KTDN 2" xfId="4973"/>
    <cellStyle name="Dziesiętny_Invoices2001Slovakia_Book1_Tong hop Cac tuyen(9-1-06)_bieu tong hop lai kh von 2011 gui phong TH-KTDN 2" xfId="4974"/>
    <cellStyle name="Dziesietny_Invoices2001Slovakia_Book1_Tong hop Cac tuyen(9-1-06)_Copy of KH PHAN BO VON ĐỐI ỨNG NAM 2011 (30 TY phuong án gop WB)" xfId="4975"/>
    <cellStyle name="Dziesiętny_Invoices2001Slovakia_Book1_Tong hop Cac tuyen(9-1-06)_Copy of KH PHAN BO VON ĐỐI ỨNG NAM 2011 (30 TY phuong án gop WB)" xfId="4976"/>
    <cellStyle name="Dziesietny_Invoices2001Slovakia_Book1_Tong hop Cac tuyen(9-1-06)_Copy of KH PHAN BO VON ĐỐI ỨNG NAM 2011 (30 TY phuong án gop WB) 2" xfId="4977"/>
    <cellStyle name="Dziesiętny_Invoices2001Slovakia_Book1_Tong hop Cac tuyen(9-1-06)_Copy of KH PHAN BO VON ĐỐI ỨNG NAM 2011 (30 TY phuong án gop WB) 2" xfId="4978"/>
    <cellStyle name="Dziesietny_Invoices2001Slovakia_Book1_Tong hop Cac tuyen(9-1-06)_Ke hoach 2010 (theo doi 11-8-2010)" xfId="4979"/>
    <cellStyle name="Dziesiętny_Invoices2001Slovakia_Book1_Tong hop Cac tuyen(9-1-06)_Ke hoach 2010 (theo doi 11-8-2010)" xfId="4980"/>
    <cellStyle name="Dziesietny_Invoices2001Slovakia_Book1_Tong hop Cac tuyen(9-1-06)_Ke hoach 2010 (theo doi 11-8-2010) 2" xfId="4981"/>
    <cellStyle name="Dziesiętny_Invoices2001Slovakia_Book1_Tong hop Cac tuyen(9-1-06)_Ke hoach 2010 (theo doi 11-8-2010) 2" xfId="4982"/>
    <cellStyle name="Dziesietny_Invoices2001Slovakia_Book1_Tong hop Cac tuyen(9-1-06)_KH Von 2012 gui BKH 1" xfId="4983"/>
    <cellStyle name="Dziesiętny_Invoices2001Slovakia_Book1_Tong hop Cac tuyen(9-1-06)_KH Von 2012 gui BKH 1" xfId="4984"/>
    <cellStyle name="Dziesietny_Invoices2001Slovakia_Book1_Tong hop Cac tuyen(9-1-06)_KH Von 2012 gui BKH 1 2" xfId="4985"/>
    <cellStyle name="Dziesiętny_Invoices2001Slovakia_Book1_Tong hop Cac tuyen(9-1-06)_KH Von 2012 gui BKH 1 2" xfId="4986"/>
    <cellStyle name="Dziesietny_Invoices2001Slovakia_Book1_Tong hop Cac tuyen(9-1-06)_QD ke hoach dau thau" xfId="4987"/>
    <cellStyle name="Dziesiętny_Invoices2001Slovakia_Book1_Tong hop Cac tuyen(9-1-06)_QD ke hoach dau thau" xfId="4988"/>
    <cellStyle name="Dziesietny_Invoices2001Slovakia_Book1_Tong hop Cac tuyen(9-1-06)_QD ke hoach dau thau 2" xfId="4989"/>
    <cellStyle name="Dziesiętny_Invoices2001Slovakia_Book1_Tong hop Cac tuyen(9-1-06)_QD ke hoach dau thau 2" xfId="4990"/>
    <cellStyle name="Dziesietny_Invoices2001Slovakia_Book1_Tong hop Cac tuyen(9-1-06)_Tong von ĐTPT" xfId="4991"/>
    <cellStyle name="Dziesiętny_Invoices2001Slovakia_Book1_Tong hop Cac tuyen(9-1-06)_Tong von ĐTPT" xfId="4992"/>
    <cellStyle name="Dziesietny_Invoices2001Slovakia_Book1_Tong hop Cac tuyen(9-1-06)_Tong von ĐTPT 2" xfId="4993"/>
    <cellStyle name="Dziesiętny_Invoices2001Slovakia_Book1_Tong hop Cac tuyen(9-1-06)_Tong von ĐTPT 2" xfId="4994"/>
    <cellStyle name="Dziesietny_Invoices2001Slovakia_Book1_TONG HOP HOAN THUE NAM 2011" xfId="4995"/>
    <cellStyle name="Dziesiętny_Invoices2001Slovakia_Book1_ung truoc 2011 NSTW Thanh Hoa + Nge An gui Thu 12-5" xfId="4996"/>
    <cellStyle name="Dziesietny_Invoices2001Slovakia_Copy of KH PHAN BO VON ĐỐI ỨNG NAM 2011 (30 TY phuong án gop WB)" xfId="5001"/>
    <cellStyle name="Dziesiętny_Invoices2001Slovakia_Copy of KH PHAN BO VON ĐỐI ỨNG NAM 2011 (30 TY phuong án gop WB)" xfId="5002"/>
    <cellStyle name="Dziesietny_Invoices2001Slovakia_Copy of KH PHAN BO VON ĐỐI ỨNG NAM 2011 (30 TY phuong án gop WB) 2" xfId="5003"/>
    <cellStyle name="Dziesiętny_Invoices2001Slovakia_Copy of KH PHAN BO VON ĐỐI ỨNG NAM 2011 (30 TY phuong án gop WB) 2" xfId="5004"/>
    <cellStyle name="Dziesietny_Invoices2001Slovakia_Copy of KH PHAN BO VON ĐỐI ỨNG NAM 2011 (30 TY phuong án gop WB) 2 2" xfId="5005"/>
    <cellStyle name="Dziesiętny_Invoices2001Slovakia_Copy of KH PHAN BO VON ĐỐI ỨNG NAM 2011 (30 TY phuong án gop WB) 2 2" xfId="5006"/>
    <cellStyle name="Dziesietny_Invoices2001Slovakia_Copy of KH PHAN BO VON ĐỐI ỨNG NAM 2011 (30 TY phuong án gop WB) 3" xfId="5007"/>
    <cellStyle name="Dziesiętny_Invoices2001Slovakia_Copy of KH PHAN BO VON ĐỐI ỨNG NAM 2011 (30 TY phuong án gop WB) 3" xfId="5008"/>
    <cellStyle name="Dziesietny_Invoices2001Slovakia_Copy of KH PHAN BO VON ĐỐI ỨNG NAM 2011 (30 TY phuong án gop WB) 3 2" xfId="5009"/>
    <cellStyle name="Dziesiętny_Invoices2001Slovakia_Copy of KH PHAN BO VON ĐỐI ỨNG NAM 2011 (30 TY phuong án gop WB) 3 2" xfId="5010"/>
    <cellStyle name="Dziesietny_Invoices2001Slovakia_Copy of KH PHAN BO VON ĐỐI ỨNG NAM 2011 (30 TY phuong án gop WB) 4" xfId="5011"/>
    <cellStyle name="Dziesiętny_Invoices2001Slovakia_Copy of KH PHAN BO VON ĐỐI ỨNG NAM 2011 (30 TY phuong án gop WB) 4" xfId="5012"/>
    <cellStyle name="Dziesietny_Invoices2001Slovakia_Copy of KH PHAN BO VON ĐỐI ỨNG NAM 2011 (30 TY phuong án gop WB)_BIEU KE HOACH  2015 (KTN 6.11 sua)" xfId="5013"/>
    <cellStyle name="Dziesiętny_Invoices2001Slovakia_Copy of KH PHAN BO VON ĐỐI ỨNG NAM 2011 (30 TY phuong án gop WB)_BIEU KE HOACH  2015 (KTN 6.11 sua)" xfId="5014"/>
    <cellStyle name="Dziesietny_Invoices2001Slovakia_Chi tieu KH nam 2009" xfId="4997"/>
    <cellStyle name="Dziesiętny_Invoices2001Slovakia_Chi tieu KH nam 2009" xfId="4998"/>
    <cellStyle name="Dziesietny_Invoices2001Slovakia_Chi tieu KH nam 2009 2" xfId="4999"/>
    <cellStyle name="Dziesiętny_Invoices2001Slovakia_Chi tieu KH nam 2009 2" xfId="5000"/>
    <cellStyle name="Dziesietny_Invoices2001Slovakia_Danh Mục KCM trinh BKH 2011 (BS 30A)" xfId="5015"/>
    <cellStyle name="Dziesiętny_Invoices2001Slovakia_Danh Mục KCM trinh BKH 2011 (BS 30A)" xfId="5016"/>
    <cellStyle name="Dziesietny_Invoices2001Slovakia_Danh Mục KCM trinh BKH 2011 (BS 30A) 2" xfId="5017"/>
    <cellStyle name="Dziesiętny_Invoices2001Slovakia_Danh Mục KCM trinh BKH 2011 (BS 30A) 2" xfId="5018"/>
    <cellStyle name="Dziesietny_Invoices2001Slovakia_DT 1751 Muong Khoa" xfId="5019"/>
    <cellStyle name="Dziesiętny_Invoices2001Slovakia_DT 1751 Muong Khoa" xfId="5020"/>
    <cellStyle name="Dziesietny_Invoices2001Slovakia_DT 1751 Muong Khoa 2" xfId="5021"/>
    <cellStyle name="Dziesiętny_Invoices2001Slovakia_DT 1751 Muong Khoa 2" xfId="5022"/>
    <cellStyle name="Dziesietny_Invoices2001Slovakia_DT Nam vai" xfId="5023"/>
    <cellStyle name="Dziesiętny_Invoices2001Slovakia_DT tieu hoc diem TDC ban Cho 28-02-09" xfId="5024"/>
    <cellStyle name="Dziesietny_Invoices2001Slovakia_DT truong THPT  quyet thang tinh 04-3-09" xfId="5025"/>
    <cellStyle name="Dziesiętny_Invoices2001Slovakia_DT truong THPT  quyet thang tinh 04-3-09" xfId="5026"/>
    <cellStyle name="Dziesietny_Invoices2001Slovakia_DT truong THPT  quyet thang tinh 04-3-09 2" xfId="5027"/>
    <cellStyle name="Dziesiętny_Invoices2001Slovakia_DT truong THPT  quyet thang tinh 04-3-09 2" xfId="5028"/>
    <cellStyle name="Dziesietny_Invoices2001Slovakia_DTTD chieng chan Tham lai 29-9-2009" xfId="5029"/>
    <cellStyle name="Dziesiętny_Invoices2001Slovakia_DTTD chieng chan Tham lai 29-9-2009" xfId="5030"/>
    <cellStyle name="Dziesietny_Invoices2001Slovakia_DTTD chieng chan Tham lai 29-9-2009 2" xfId="5031"/>
    <cellStyle name="Dziesiętny_Invoices2001Slovakia_DTTD chieng chan Tham lai 29-9-2009 2" xfId="5032"/>
    <cellStyle name="Dziesietny_Invoices2001Slovakia_DTTD chieng chan Tham lai 29-9-2009 2 2" xfId="5033"/>
    <cellStyle name="Dziesiętny_Invoices2001Slovakia_DTTD chieng chan Tham lai 29-9-2009 2 2" xfId="5034"/>
    <cellStyle name="Dziesietny_Invoices2001Slovakia_DTTD chieng chan Tham lai 29-9-2009 3" xfId="5035"/>
    <cellStyle name="Dziesiętny_Invoices2001Slovakia_DTTD chieng chan Tham lai 29-9-2009 3" xfId="5036"/>
    <cellStyle name="Dziesietny_Invoices2001Slovakia_DTTD chieng chan Tham lai 29-9-2009 3 2" xfId="5037"/>
    <cellStyle name="Dziesiętny_Invoices2001Slovakia_DTTD chieng chan Tham lai 29-9-2009 3 2" xfId="5038"/>
    <cellStyle name="Dziesietny_Invoices2001Slovakia_DTTD chieng chan Tham lai 29-9-2009 4" xfId="5039"/>
    <cellStyle name="Dziesiętny_Invoices2001Slovakia_DTTD chieng chan Tham lai 29-9-2009 4" xfId="5040"/>
    <cellStyle name="Dziesietny_Invoices2001Slovakia_DTTD chieng chan Tham lai 29-9-2009_BIEU KE HOACH  2015 (KTN 6.11 sua)" xfId="5041"/>
    <cellStyle name="Dziesiętny_Invoices2001Slovakia_DTTD chieng chan Tham lai 29-9-2009_BIEU KE HOACH  2015 (KTN 6.11 sua)" xfId="5042"/>
    <cellStyle name="Dziesietny_Invoices2001Slovakia_d-uong+TDT" xfId="5043"/>
    <cellStyle name="Dziesiętny_Invoices2001Slovakia_GVL" xfId="5044"/>
    <cellStyle name="Dziesietny_Invoices2001Slovakia_Ke hoach 2010 (theo doi 11-8-2010)" xfId="5045"/>
    <cellStyle name="Dziesiętny_Invoices2001Slovakia_Ke hoach 2010 (theo doi 11-8-2010)" xfId="5046"/>
    <cellStyle name="Dziesietny_Invoices2001Slovakia_Ke hoach 2010 (theo doi 11-8-2010) 2" xfId="5047"/>
    <cellStyle name="Dziesiętny_Invoices2001Slovakia_Ke hoach 2010 (theo doi 11-8-2010) 2" xfId="5048"/>
    <cellStyle name="Dziesietny_Invoices2001Slovakia_ke hoach dau thau 30-6-2010" xfId="5049"/>
    <cellStyle name="Dziesiętny_Invoices2001Slovakia_ke hoach dau thau 30-6-2010" xfId="5050"/>
    <cellStyle name="Dziesietny_Invoices2001Slovakia_ke hoach dau thau 30-6-2010 2" xfId="5051"/>
    <cellStyle name="Dziesiętny_Invoices2001Slovakia_ke hoach dau thau 30-6-2010 2" xfId="5052"/>
    <cellStyle name="Dziesietny_Invoices2001Slovakia_KL K.C mat duong" xfId="5053"/>
    <cellStyle name="Dziesiętny_Invoices2001Slovakia_Nhµ ®Ó xe" xfId="5054"/>
    <cellStyle name="Dziesietny_Invoices2001Slovakia_Nha bao ve(28-7-05)" xfId="5055"/>
    <cellStyle name="Dziesiętny_Invoices2001Slovakia_Nha bao ve(28-7-05)" xfId="5056"/>
    <cellStyle name="Dziesietny_Invoices2001Slovakia_NHA de xe nguyen du" xfId="5057"/>
    <cellStyle name="Dziesiętny_Invoices2001Slovakia_NHA de xe nguyen du" xfId="5058"/>
    <cellStyle name="Dziesietny_Invoices2001Slovakia_Nhalamviec VTC(25-1-05)" xfId="5059"/>
    <cellStyle name="Dziesiętny_Invoices2001Slovakia_Nhalamviec VTC(25-1-05)" xfId="5060"/>
    <cellStyle name="Dziesietny_Invoices2001Slovakia_Nhu cau von ung truoc 2011 Tha h Hoa + Nge An gui TW" xfId="5061"/>
    <cellStyle name="Dziesiętny_Invoices2001Slovakia_Phan pha do" xfId="5062"/>
    <cellStyle name="Dziesietny_Invoices2001Slovakia_Ra soat KH von 2011 (Huy-11-11-11)" xfId="5063"/>
    <cellStyle name="Dziesiętny_Invoices2001Slovakia_Ra soat KH von 2011 (Huy-11-11-11)" xfId="5064"/>
    <cellStyle name="Dziesietny_Invoices2001Slovakia_Sheet2" xfId="5065"/>
    <cellStyle name="Dziesiętny_Invoices2001Slovakia_Sheet2" xfId="5066"/>
    <cellStyle name="Dziesietny_Invoices2001Slovakia_Sheet2 2" xfId="5067"/>
    <cellStyle name="Dziesiętny_Invoices2001Slovakia_Sheet2 2" xfId="5068"/>
    <cellStyle name="Dziesietny_Invoices2001Slovakia_TDT KHANH HOA" xfId="5069"/>
    <cellStyle name="Dziesiętny_Invoices2001Slovakia_TDT KHANH HOA" xfId="5070"/>
    <cellStyle name="Dziesietny_Invoices2001Slovakia_TDT KHANH HOA 2" xfId="5071"/>
    <cellStyle name="Dziesiętny_Invoices2001Slovakia_TDT KHANH HOA 2" xfId="5072"/>
    <cellStyle name="Dziesietny_Invoices2001Slovakia_TDT KHANH HOA 3" xfId="5073"/>
    <cellStyle name="Dziesiętny_Invoices2001Slovakia_TDT KHANH HOA 3" xfId="5074"/>
    <cellStyle name="Dziesietny_Invoices2001Slovakia_TDT KHANH HOA 4" xfId="5075"/>
    <cellStyle name="Dziesiętny_Invoices2001Slovakia_TDT KHANH HOA 4" xfId="5076"/>
    <cellStyle name="Dziesietny_Invoices2001Slovakia_TDT KHANH HOA 5" xfId="5077"/>
    <cellStyle name="Dziesiętny_Invoices2001Slovakia_TDT KHANH HOA 5" xfId="5078"/>
    <cellStyle name="Dziesietny_Invoices2001Slovakia_TDT KHANH HOA_bao_cao_TH_th_cong_tac_dau_thau_-_ngay251209" xfId="5079"/>
    <cellStyle name="Dziesiętny_Invoices2001Slovakia_TDT KHANH HOA_bao_cao_TH_th_cong_tac_dau_thau_-_ngay251209" xfId="5080"/>
    <cellStyle name="Dziesietny_Invoices2001Slovakia_TDT KHANH HOA_bao_cao_TH_th_cong_tac_dau_thau_-_ngay251209 2" xfId="5081"/>
    <cellStyle name="Dziesiętny_Invoices2001Slovakia_TDT KHANH HOA_bao_cao_TH_th_cong_tac_dau_thau_-_ngay251209 2" xfId="5082"/>
    <cellStyle name="Dziesietny_Invoices2001Slovakia_TDT KHANH HOA_Bieu chi tieu KH 2014 (Huy-04-11)" xfId="5083"/>
    <cellStyle name="Dziesiętny_Invoices2001Slovakia_TDT KHANH HOA_Bieu chi tieu KH 2014 (Huy-04-11)" xfId="5084"/>
    <cellStyle name="Dziesietny_Invoices2001Slovakia_TDT KHANH HOA_bieu ke hoach dau thau" xfId="5085"/>
    <cellStyle name="Dziesiętny_Invoices2001Slovakia_TDT KHANH HOA_bieu ke hoach dau thau" xfId="5086"/>
    <cellStyle name="Dziesietny_Invoices2001Slovakia_TDT KHANH HOA_bieu ke hoach dau thau 2" xfId="5087"/>
    <cellStyle name="Dziesiętny_Invoices2001Slovakia_TDT KHANH HOA_bieu ke hoach dau thau 2" xfId="5088"/>
    <cellStyle name="Dziesietny_Invoices2001Slovakia_TDT KHANH HOA_bieu ke hoach dau thau truong mam non SKH" xfId="5089"/>
    <cellStyle name="Dziesiętny_Invoices2001Slovakia_TDT KHANH HOA_bieu ke hoach dau thau truong mam non SKH" xfId="5090"/>
    <cellStyle name="Dziesietny_Invoices2001Slovakia_TDT KHANH HOA_bieu ke hoach dau thau truong mam non SKH 2" xfId="5091"/>
    <cellStyle name="Dziesiętny_Invoices2001Slovakia_TDT KHANH HOA_bieu ke hoach dau thau truong mam non SKH 2" xfId="5092"/>
    <cellStyle name="Dziesietny_Invoices2001Slovakia_TDT KHANH HOA_bieu tong hop lai kh von 2011 gui phong TH-KTDN" xfId="5093"/>
    <cellStyle name="Dziesiętny_Invoices2001Slovakia_TDT KHANH HOA_bieu tong hop lai kh von 2011 gui phong TH-KTDN" xfId="5094"/>
    <cellStyle name="Dziesietny_Invoices2001Slovakia_TDT KHANH HOA_bieu tong hop lai kh von 2011 gui phong TH-KTDN 2" xfId="5095"/>
    <cellStyle name="Dziesiętny_Invoices2001Slovakia_TDT KHANH HOA_bieu tong hop lai kh von 2011 gui phong TH-KTDN 2" xfId="5096"/>
    <cellStyle name="Dziesietny_Invoices2001Slovakia_TDT KHANH HOA_bieu tong hop lai kh von 2011 gui phong TH-KTDN 2 2" xfId="5097"/>
    <cellStyle name="Dziesiętny_Invoices2001Slovakia_TDT KHANH HOA_bieu tong hop lai kh von 2011 gui phong TH-KTDN 2 2" xfId="5098"/>
    <cellStyle name="Dziesietny_Invoices2001Slovakia_TDT KHANH HOA_bieu tong hop lai kh von 2011 gui phong TH-KTDN 3" xfId="5099"/>
    <cellStyle name="Dziesiętny_Invoices2001Slovakia_TDT KHANH HOA_bieu tong hop lai kh von 2011 gui phong TH-KTDN 3" xfId="5100"/>
    <cellStyle name="Dziesietny_Invoices2001Slovakia_TDT KHANH HOA_bieu tong hop lai kh von 2011 gui phong TH-KTDN 3 2" xfId="5101"/>
    <cellStyle name="Dziesiętny_Invoices2001Slovakia_TDT KHANH HOA_bieu tong hop lai kh von 2011 gui phong TH-KTDN 3 2" xfId="5102"/>
    <cellStyle name="Dziesietny_Invoices2001Slovakia_TDT KHANH HOA_bieu tong hop lai kh von 2011 gui phong TH-KTDN 4" xfId="5103"/>
    <cellStyle name="Dziesiętny_Invoices2001Slovakia_TDT KHANH HOA_bieu tong hop lai kh von 2011 gui phong TH-KTDN 4" xfId="5104"/>
    <cellStyle name="Dziesietny_Invoices2001Slovakia_TDT KHANH HOA_bieu tong hop lai kh von 2011 gui phong TH-KTDN_BIEU KE HOACH  2015 (KTN 6.11 sua)" xfId="5105"/>
    <cellStyle name="Dziesiętny_Invoices2001Slovakia_TDT KHANH HOA_bieu tong hop lai kh von 2011 gui phong TH-KTDN_BIEU KE HOACH  2015 (KTN 6.11 sua)" xfId="5106"/>
    <cellStyle name="Dziesietny_Invoices2001Slovakia_TDT KHANH HOA_Book1" xfId="5107"/>
    <cellStyle name="Dziesiętny_Invoices2001Slovakia_TDT KHANH HOA_Book1" xfId="5108"/>
    <cellStyle name="Dziesietny_Invoices2001Slovakia_TDT KHANH HOA_Book1 2" xfId="5109"/>
    <cellStyle name="Dziesiętny_Invoices2001Slovakia_TDT KHANH HOA_Book1 2" xfId="5110"/>
    <cellStyle name="Dziesietny_Invoices2001Slovakia_TDT KHANH HOA_Book1_1" xfId="5111"/>
    <cellStyle name="Dziesiętny_Invoices2001Slovakia_TDT KHANH HOA_Book1_1" xfId="5112"/>
    <cellStyle name="Dziesietny_Invoices2001Slovakia_TDT KHANH HOA_Book1_1 2" xfId="5113"/>
    <cellStyle name="Dziesiętny_Invoices2001Slovakia_TDT KHANH HOA_Book1_1 2" xfId="5114"/>
    <cellStyle name="Dziesietny_Invoices2001Slovakia_TDT KHANH HOA_Book1_1_ke hoach dau thau 30-6-2010" xfId="5115"/>
    <cellStyle name="Dziesiętny_Invoices2001Slovakia_TDT KHANH HOA_Book1_1_ke hoach dau thau 30-6-2010" xfId="5116"/>
    <cellStyle name="Dziesietny_Invoices2001Slovakia_TDT KHANH HOA_Book1_1_ke hoach dau thau 30-6-2010 2" xfId="5117"/>
    <cellStyle name="Dziesiętny_Invoices2001Slovakia_TDT KHANH HOA_Book1_1_ke hoach dau thau 30-6-2010 2" xfId="5118"/>
    <cellStyle name="Dziesietny_Invoices2001Slovakia_TDT KHANH HOA_Book1_2" xfId="5119"/>
    <cellStyle name="Dziesiętny_Invoices2001Slovakia_TDT KHANH HOA_Book1_2" xfId="5120"/>
    <cellStyle name="Dziesietny_Invoices2001Slovakia_TDT KHANH HOA_Book1_2 2" xfId="5121"/>
    <cellStyle name="Dziesiętny_Invoices2001Slovakia_TDT KHANH HOA_Book1_2 2" xfId="5122"/>
    <cellStyle name="Dziesietny_Invoices2001Slovakia_TDT KHANH HOA_Book1_Book1" xfId="5123"/>
    <cellStyle name="Dziesiętny_Invoices2001Slovakia_TDT KHANH HOA_Book1_Book1" xfId="5124"/>
    <cellStyle name="Dziesietny_Invoices2001Slovakia_TDT KHANH HOA_Book1_Book1 2" xfId="5125"/>
    <cellStyle name="Dziesiętny_Invoices2001Slovakia_TDT KHANH HOA_Book1_Book1 2" xfId="5126"/>
    <cellStyle name="Dziesietny_Invoices2001Slovakia_TDT KHANH HOA_Book1_DTTD chieng chan Tham lai 29-9-2009" xfId="5127"/>
    <cellStyle name="Dziesiętny_Invoices2001Slovakia_TDT KHANH HOA_Book1_DTTD chieng chan Tham lai 29-9-2009" xfId="5128"/>
    <cellStyle name="Dziesietny_Invoices2001Slovakia_TDT KHANH HOA_Book1_DTTD chieng chan Tham lai 29-9-2009 2" xfId="5129"/>
    <cellStyle name="Dziesiętny_Invoices2001Slovakia_TDT KHANH HOA_Book1_DTTD chieng chan Tham lai 29-9-2009 2" xfId="5130"/>
    <cellStyle name="Dziesietny_Invoices2001Slovakia_TDT KHANH HOA_Book1_Ke hoach 2010 (theo doi 11-8-2010)" xfId="5131"/>
    <cellStyle name="Dziesiętny_Invoices2001Slovakia_TDT KHANH HOA_Book1_Ke hoach 2010 (theo doi 11-8-2010)" xfId="5132"/>
    <cellStyle name="Dziesietny_Invoices2001Slovakia_TDT KHANH HOA_Book1_Ke hoach 2010 (theo doi 11-8-2010) 2" xfId="5133"/>
    <cellStyle name="Dziesiętny_Invoices2001Slovakia_TDT KHANH HOA_Book1_Ke hoach 2010 (theo doi 11-8-2010) 2" xfId="5134"/>
    <cellStyle name="Dziesietny_Invoices2001Slovakia_TDT KHANH HOA_Book1_ke hoach dau thau 30-6-2010" xfId="5135"/>
    <cellStyle name="Dziesiętny_Invoices2001Slovakia_TDT KHANH HOA_Book1_ke hoach dau thau 30-6-2010" xfId="5136"/>
    <cellStyle name="Dziesietny_Invoices2001Slovakia_TDT KHANH HOA_Book1_ke hoach dau thau 30-6-2010 2" xfId="5137"/>
    <cellStyle name="Dziesiętny_Invoices2001Slovakia_TDT KHANH HOA_Book1_ke hoach dau thau 30-6-2010 2" xfId="5138"/>
    <cellStyle name="Dziesietny_Invoices2001Slovakia_TDT KHANH HOA_Book1_ke hoach dau thau 30-6-2010 2 2" xfId="5139"/>
    <cellStyle name="Dziesiętny_Invoices2001Slovakia_TDT KHANH HOA_Book1_ke hoach dau thau 30-6-2010 2 2" xfId="5140"/>
    <cellStyle name="Dziesietny_Invoices2001Slovakia_TDT KHANH HOA_Book1_ke hoach dau thau 30-6-2010 3" xfId="5141"/>
    <cellStyle name="Dziesiętny_Invoices2001Slovakia_TDT KHANH HOA_Book1_ke hoach dau thau 30-6-2010 3" xfId="5142"/>
    <cellStyle name="Dziesietny_Invoices2001Slovakia_TDT KHANH HOA_Book1_ke hoach dau thau 30-6-2010 3 2" xfId="5143"/>
    <cellStyle name="Dziesiętny_Invoices2001Slovakia_TDT KHANH HOA_Book1_ke hoach dau thau 30-6-2010 3 2" xfId="5144"/>
    <cellStyle name="Dziesietny_Invoices2001Slovakia_TDT KHANH HOA_Book1_ke hoach dau thau 30-6-2010 4" xfId="5145"/>
    <cellStyle name="Dziesiętny_Invoices2001Slovakia_TDT KHANH HOA_Book1_ke hoach dau thau 30-6-2010 4" xfId="5146"/>
    <cellStyle name="Dziesietny_Invoices2001Slovakia_TDT KHANH HOA_Book1_ke hoach dau thau 30-6-2010_BIEU KE HOACH  2015 (KTN 6.11 sua)" xfId="5147"/>
    <cellStyle name="Dziesiętny_Invoices2001Slovakia_TDT KHANH HOA_Book1_ke hoach dau thau 30-6-2010_BIEU KE HOACH  2015 (KTN 6.11 sua)" xfId="5148"/>
    <cellStyle name="Dziesietny_Invoices2001Slovakia_TDT KHANH HOA_Book1_KH Von 2012 gui BKH 1" xfId="5149"/>
    <cellStyle name="Dziesiętny_Invoices2001Slovakia_TDT KHANH HOA_Book1_KH Von 2012 gui BKH 1" xfId="5150"/>
    <cellStyle name="Dziesietny_Invoices2001Slovakia_TDT KHANH HOA_Book1_KH Von 2012 gui BKH 1 2" xfId="5151"/>
    <cellStyle name="Dziesiętny_Invoices2001Slovakia_TDT KHANH HOA_Book1_KH Von 2012 gui BKH 1 2" xfId="5152"/>
    <cellStyle name="Dziesietny_Invoices2001Slovakia_TDT KHANH HOA_Book1_KH Von 2012 gui BKH 2" xfId="5153"/>
    <cellStyle name="Dziesiętny_Invoices2001Slovakia_TDT KHANH HOA_Book1_KH Von 2012 gui BKH 2" xfId="5154"/>
    <cellStyle name="Dziesietny_Invoices2001Slovakia_TDT KHANH HOA_Book1_KH Von 2012 gui BKH 2 2" xfId="5155"/>
    <cellStyle name="Dziesiętny_Invoices2001Slovakia_TDT KHANH HOA_Book1_KH Von 2012 gui BKH 2 2" xfId="5156"/>
    <cellStyle name="Dziesietny_Invoices2001Slovakia_TDT KHANH HOA_Copy of KH PHAN BO VON ĐỐI ỨNG NAM 2011 (30 TY phuong án gop WB)" xfId="5161"/>
    <cellStyle name="Dziesiętny_Invoices2001Slovakia_TDT KHANH HOA_Copy of KH PHAN BO VON ĐỐI ỨNG NAM 2011 (30 TY phuong án gop WB)" xfId="5162"/>
    <cellStyle name="Dziesietny_Invoices2001Slovakia_TDT KHANH HOA_Copy of KH PHAN BO VON ĐỐI ỨNG NAM 2011 (30 TY phuong án gop WB) 2" xfId="5163"/>
    <cellStyle name="Dziesiętny_Invoices2001Slovakia_TDT KHANH HOA_Copy of KH PHAN BO VON ĐỐI ỨNG NAM 2011 (30 TY phuong án gop WB) 2" xfId="5164"/>
    <cellStyle name="Dziesietny_Invoices2001Slovakia_TDT KHANH HOA_Copy of KH PHAN BO VON ĐỐI ỨNG NAM 2011 (30 TY phuong án gop WB) 2 2" xfId="5165"/>
    <cellStyle name="Dziesiętny_Invoices2001Slovakia_TDT KHANH HOA_Copy of KH PHAN BO VON ĐỐI ỨNG NAM 2011 (30 TY phuong án gop WB) 2 2" xfId="5166"/>
    <cellStyle name="Dziesietny_Invoices2001Slovakia_TDT KHANH HOA_Copy of KH PHAN BO VON ĐỐI ỨNG NAM 2011 (30 TY phuong án gop WB) 3" xfId="5167"/>
    <cellStyle name="Dziesiętny_Invoices2001Slovakia_TDT KHANH HOA_Copy of KH PHAN BO VON ĐỐI ỨNG NAM 2011 (30 TY phuong án gop WB) 3" xfId="5168"/>
    <cellStyle name="Dziesietny_Invoices2001Slovakia_TDT KHANH HOA_Copy of KH PHAN BO VON ĐỐI ỨNG NAM 2011 (30 TY phuong án gop WB) 3 2" xfId="5169"/>
    <cellStyle name="Dziesiętny_Invoices2001Slovakia_TDT KHANH HOA_Copy of KH PHAN BO VON ĐỐI ỨNG NAM 2011 (30 TY phuong án gop WB) 3 2" xfId="5170"/>
    <cellStyle name="Dziesietny_Invoices2001Slovakia_TDT KHANH HOA_Copy of KH PHAN BO VON ĐỐI ỨNG NAM 2011 (30 TY phuong án gop WB) 4" xfId="5171"/>
    <cellStyle name="Dziesiętny_Invoices2001Slovakia_TDT KHANH HOA_Copy of KH PHAN BO VON ĐỐI ỨNG NAM 2011 (30 TY phuong án gop WB) 4" xfId="5172"/>
    <cellStyle name="Dziesietny_Invoices2001Slovakia_TDT KHANH HOA_Copy of KH PHAN BO VON ĐỐI ỨNG NAM 2011 (30 TY phuong án gop WB)_BIEU KE HOACH  2015 (KTN 6.11 sua)" xfId="5173"/>
    <cellStyle name="Dziesiętny_Invoices2001Slovakia_TDT KHANH HOA_Copy of KH PHAN BO VON ĐỐI ỨNG NAM 2011 (30 TY phuong án gop WB)_BIEU KE HOACH  2015 (KTN 6.11 sua)" xfId="5174"/>
    <cellStyle name="Dziesietny_Invoices2001Slovakia_TDT KHANH HOA_Chi tieu KH nam 2009" xfId="5157"/>
    <cellStyle name="Dziesiętny_Invoices2001Slovakia_TDT KHANH HOA_Chi tieu KH nam 2009" xfId="5158"/>
    <cellStyle name="Dziesietny_Invoices2001Slovakia_TDT KHANH HOA_Chi tieu KH nam 2009 2" xfId="5159"/>
    <cellStyle name="Dziesiętny_Invoices2001Slovakia_TDT KHANH HOA_Chi tieu KH nam 2009 2" xfId="5160"/>
    <cellStyle name="Dziesietny_Invoices2001Slovakia_TDT KHANH HOA_Danh Mục KCM trinh BKH 2011 (BS 30A)" xfId="5175"/>
    <cellStyle name="Dziesiętny_Invoices2001Slovakia_TDT KHANH HOA_Danh Mục KCM trinh BKH 2011 (BS 30A)" xfId="5176"/>
    <cellStyle name="Dziesietny_Invoices2001Slovakia_TDT KHANH HOA_Danh Mục KCM trinh BKH 2011 (BS 30A) 2" xfId="5177"/>
    <cellStyle name="Dziesiętny_Invoices2001Slovakia_TDT KHANH HOA_Danh Mục KCM trinh BKH 2011 (BS 30A) 2" xfId="5178"/>
    <cellStyle name="Dziesietny_Invoices2001Slovakia_TDT KHANH HOA_DT 1751 Muong Khoa" xfId="5179"/>
    <cellStyle name="Dziesiętny_Invoices2001Slovakia_TDT KHANH HOA_DT 1751 Muong Khoa" xfId="5180"/>
    <cellStyle name="Dziesietny_Invoices2001Slovakia_TDT KHANH HOA_DT 1751 Muong Khoa 2" xfId="5181"/>
    <cellStyle name="Dziesiętny_Invoices2001Slovakia_TDT KHANH HOA_DT 1751 Muong Khoa 2" xfId="5182"/>
    <cellStyle name="Dziesietny_Invoices2001Slovakia_TDT KHANH HOA_DT tieu hoc diem TDC ban Cho 28-02-09" xfId="5183"/>
    <cellStyle name="Dziesiętny_Invoices2001Slovakia_TDT KHANH HOA_DT tieu hoc diem TDC ban Cho 28-02-09" xfId="5184"/>
    <cellStyle name="Dziesietny_Invoices2001Slovakia_TDT KHANH HOA_DT tieu hoc diem TDC ban Cho 28-02-09 2" xfId="5185"/>
    <cellStyle name="Dziesiętny_Invoices2001Slovakia_TDT KHANH HOA_DT tieu hoc diem TDC ban Cho 28-02-09 2" xfId="5186"/>
    <cellStyle name="Dziesietny_Invoices2001Slovakia_TDT KHANH HOA_DTTD chieng chan Tham lai 29-9-2009" xfId="5187"/>
    <cellStyle name="Dziesiętny_Invoices2001Slovakia_TDT KHANH HOA_DTTD chieng chan Tham lai 29-9-2009" xfId="5188"/>
    <cellStyle name="Dziesietny_Invoices2001Slovakia_TDT KHANH HOA_DTTD chieng chan Tham lai 29-9-2009 2" xfId="5189"/>
    <cellStyle name="Dziesiętny_Invoices2001Slovakia_TDT KHANH HOA_DTTD chieng chan Tham lai 29-9-2009 2" xfId="5190"/>
    <cellStyle name="Dziesietny_Invoices2001Slovakia_TDT KHANH HOA_DTTD chieng chan Tham lai 29-9-2009 2 2" xfId="5191"/>
    <cellStyle name="Dziesiętny_Invoices2001Slovakia_TDT KHANH HOA_DTTD chieng chan Tham lai 29-9-2009 2 2" xfId="5192"/>
    <cellStyle name="Dziesietny_Invoices2001Slovakia_TDT KHANH HOA_DTTD chieng chan Tham lai 29-9-2009 3" xfId="5193"/>
    <cellStyle name="Dziesiętny_Invoices2001Slovakia_TDT KHANH HOA_DTTD chieng chan Tham lai 29-9-2009 3" xfId="5194"/>
    <cellStyle name="Dziesietny_Invoices2001Slovakia_TDT KHANH HOA_DTTD chieng chan Tham lai 29-9-2009 3 2" xfId="5195"/>
    <cellStyle name="Dziesiętny_Invoices2001Slovakia_TDT KHANH HOA_DTTD chieng chan Tham lai 29-9-2009 3 2" xfId="5196"/>
    <cellStyle name="Dziesietny_Invoices2001Slovakia_TDT KHANH HOA_DTTD chieng chan Tham lai 29-9-2009 4" xfId="5197"/>
    <cellStyle name="Dziesiętny_Invoices2001Slovakia_TDT KHANH HOA_DTTD chieng chan Tham lai 29-9-2009 4" xfId="5198"/>
    <cellStyle name="Dziesietny_Invoices2001Slovakia_TDT KHANH HOA_DTTD chieng chan Tham lai 29-9-2009_BIEU KE HOACH  2015 (KTN 6.11 sua)" xfId="5199"/>
    <cellStyle name="Dziesiętny_Invoices2001Slovakia_TDT KHANH HOA_DTTD chieng chan Tham lai 29-9-2009_BIEU KE HOACH  2015 (KTN 6.11 sua)" xfId="5200"/>
    <cellStyle name="Dziesietny_Invoices2001Slovakia_TDT KHANH HOA_Du toan nuoc San Thang (GD2)" xfId="5201"/>
    <cellStyle name="Dziesiętny_Invoices2001Slovakia_TDT KHANH HOA_Du toan nuoc San Thang (GD2)" xfId="5202"/>
    <cellStyle name="Dziesietny_Invoices2001Slovakia_TDT KHANH HOA_Du toan nuoc San Thang (GD2) 2" xfId="5203"/>
    <cellStyle name="Dziesiętny_Invoices2001Slovakia_TDT KHANH HOA_Du toan nuoc San Thang (GD2) 2" xfId="5204"/>
    <cellStyle name="Dziesietny_Invoices2001Slovakia_TDT KHANH HOA_GVL" xfId="5205"/>
    <cellStyle name="Dziesiętny_Invoices2001Slovakia_TDT KHANH HOA_GVL" xfId="5206"/>
    <cellStyle name="Dziesietny_Invoices2001Slovakia_TDT KHANH HOA_GVL 2" xfId="5207"/>
    <cellStyle name="Dziesiętny_Invoices2001Slovakia_TDT KHANH HOA_GVL 2" xfId="5208"/>
    <cellStyle name="Dziesietny_Invoices2001Slovakia_TDT KHANH HOA_GVL 2 2" xfId="5209"/>
    <cellStyle name="Dziesiętny_Invoices2001Slovakia_TDT KHANH HOA_GVL 2 2" xfId="5210"/>
    <cellStyle name="Dziesietny_Invoices2001Slovakia_TDT KHANH HOA_GVL 3" xfId="5211"/>
    <cellStyle name="Dziesiętny_Invoices2001Slovakia_TDT KHANH HOA_GVL 3" xfId="5212"/>
    <cellStyle name="Dziesietny_Invoices2001Slovakia_TDT KHANH HOA_GVL 3 2" xfId="5213"/>
    <cellStyle name="Dziesiętny_Invoices2001Slovakia_TDT KHANH HOA_GVL 3 2" xfId="5214"/>
    <cellStyle name="Dziesietny_Invoices2001Slovakia_TDT KHANH HOA_GVL 4" xfId="5215"/>
    <cellStyle name="Dziesiętny_Invoices2001Slovakia_TDT KHANH HOA_GVL 4" xfId="5216"/>
    <cellStyle name="Dziesietny_Invoices2001Slovakia_TDT KHANH HOA_GVL_BIEU KE HOACH  2015 (KTN 6.11 sua)" xfId="5217"/>
    <cellStyle name="Dziesiętny_Invoices2001Slovakia_TDT KHANH HOA_GVL_BIEU KE HOACH  2015 (KTN 6.11 sua)" xfId="5218"/>
    <cellStyle name="Dziesietny_Invoices2001Slovakia_TDT KHANH HOA_ke hoach dau thau 30-6-2010" xfId="5219"/>
    <cellStyle name="Dziesiętny_Invoices2001Slovakia_TDT KHANH HOA_ke hoach dau thau 30-6-2010" xfId="5220"/>
    <cellStyle name="Dziesietny_Invoices2001Slovakia_TDT KHANH HOA_ke hoach dau thau 30-6-2010 2" xfId="5221"/>
    <cellStyle name="Dziesiętny_Invoices2001Slovakia_TDT KHANH HOA_ke hoach dau thau 30-6-2010 2" xfId="5222"/>
    <cellStyle name="Dziesietny_Invoices2001Slovakia_TDT KHANH HOA_KH Von 2012 gui BKH 1" xfId="5223"/>
    <cellStyle name="Dziesiętny_Invoices2001Slovakia_TDT KHANH HOA_KH Von 2012 gui BKH 1" xfId="5224"/>
    <cellStyle name="Dziesietny_Invoices2001Slovakia_TDT KHANH HOA_KH Von 2012 gui BKH 1 2" xfId="5225"/>
    <cellStyle name="Dziesiętny_Invoices2001Slovakia_TDT KHANH HOA_KH Von 2012 gui BKH 1 2" xfId="5226"/>
    <cellStyle name="Dziesietny_Invoices2001Slovakia_TDT KHANH HOA_KH Von 2012 gui BKH 1 2 2" xfId="5227"/>
    <cellStyle name="Dziesiętny_Invoices2001Slovakia_TDT KHANH HOA_KH Von 2012 gui BKH 1 2 2" xfId="5228"/>
    <cellStyle name="Dziesietny_Invoices2001Slovakia_TDT KHANH HOA_KH Von 2012 gui BKH 1 3" xfId="5229"/>
    <cellStyle name="Dziesiętny_Invoices2001Slovakia_TDT KHANH HOA_KH Von 2012 gui BKH 1 3" xfId="5230"/>
    <cellStyle name="Dziesietny_Invoices2001Slovakia_TDT KHANH HOA_KH Von 2012 gui BKH 1 3 2" xfId="5231"/>
    <cellStyle name="Dziesiętny_Invoices2001Slovakia_TDT KHANH HOA_KH Von 2012 gui BKH 1 3 2" xfId="5232"/>
    <cellStyle name="Dziesietny_Invoices2001Slovakia_TDT KHANH HOA_KH Von 2012 gui BKH 1 4" xfId="5233"/>
    <cellStyle name="Dziesiętny_Invoices2001Slovakia_TDT KHANH HOA_KH Von 2012 gui BKH 1 4" xfId="5234"/>
    <cellStyle name="Dziesietny_Invoices2001Slovakia_TDT KHANH HOA_KH Von 2012 gui BKH 1_BIEU KE HOACH  2015 (KTN 6.11 sua)" xfId="5235"/>
    <cellStyle name="Dziesiętny_Invoices2001Slovakia_TDT KHANH HOA_KH Von 2012 gui BKH 1_BIEU KE HOACH  2015 (KTN 6.11 sua)" xfId="5236"/>
    <cellStyle name="Dziesietny_Invoices2001Slovakia_TDT KHANH HOA_Phan pha do" xfId="5237"/>
    <cellStyle name="Dziesiętny_Invoices2001Slovakia_TDT KHANH HOA_Phan pha do" xfId="5238"/>
    <cellStyle name="Dziesietny_Invoices2001Slovakia_TDT KHANH HOA_Phan pha do 2" xfId="5239"/>
    <cellStyle name="Dziesiętny_Invoices2001Slovakia_TDT KHANH HOA_Phan pha do 2" xfId="5240"/>
    <cellStyle name="Dziesietny_Invoices2001Slovakia_TDT KHANH HOA_QD ke hoach dau thau" xfId="5241"/>
    <cellStyle name="Dziesiętny_Invoices2001Slovakia_TDT KHANH HOA_QD ke hoach dau thau" xfId="5242"/>
    <cellStyle name="Dziesietny_Invoices2001Slovakia_TDT KHANH HOA_QD ke hoach dau thau 2" xfId="5243"/>
    <cellStyle name="Dziesiętny_Invoices2001Slovakia_TDT KHANH HOA_QD ke hoach dau thau 2" xfId="5244"/>
    <cellStyle name="Dziesietny_Invoices2001Slovakia_TDT KHANH HOA_Ra soat KH von 2011 (Huy-11-11-11)" xfId="5245"/>
    <cellStyle name="Dziesiętny_Invoices2001Slovakia_TDT KHANH HOA_Ra soat KH von 2011 (Huy-11-11-11)" xfId="5246"/>
    <cellStyle name="Dziesietny_Invoices2001Slovakia_TDT KHANH HOA_Ra soat KH von 2011 (Huy-11-11-11) 2" xfId="5247"/>
    <cellStyle name="Dziesiętny_Invoices2001Slovakia_TDT KHANH HOA_Ra soat KH von 2011 (Huy-11-11-11) 2" xfId="5248"/>
    <cellStyle name="Dziesietny_Invoices2001Slovakia_TDT KHANH HOA_Sheet2" xfId="5249"/>
    <cellStyle name="Dziesiętny_Invoices2001Slovakia_TDT KHANH HOA_Sheet2" xfId="5250"/>
    <cellStyle name="Dziesietny_Invoices2001Slovakia_TDT KHANH HOA_Sheet2 2" xfId="5251"/>
    <cellStyle name="Dziesiętny_Invoices2001Slovakia_TDT KHANH HOA_Sheet2 2" xfId="5252"/>
    <cellStyle name="Dziesietny_Invoices2001Slovakia_TDT KHANH HOA_Tienluong" xfId="5257"/>
    <cellStyle name="Dziesiętny_Invoices2001Slovakia_TDT KHANH HOA_Tienluong" xfId="5258"/>
    <cellStyle name="Dziesietny_Invoices2001Slovakia_TDT KHANH HOA_Tienluong 2" xfId="5259"/>
    <cellStyle name="Dziesiętny_Invoices2001Slovakia_TDT KHANH HOA_Tienluong 2" xfId="5260"/>
    <cellStyle name="Dziesietny_Invoices2001Slovakia_TDT KHANH HOA_tinh toan hoang ha" xfId="5261"/>
    <cellStyle name="Dziesiętny_Invoices2001Slovakia_TDT KHANH HOA_tinh toan hoang ha" xfId="5262"/>
    <cellStyle name="Dziesietny_Invoices2001Slovakia_TDT KHANH HOA_tinh toan hoang ha 2" xfId="5263"/>
    <cellStyle name="Dziesiętny_Invoices2001Slovakia_TDT KHANH HOA_tinh toan hoang ha 2" xfId="5264"/>
    <cellStyle name="Dziesietny_Invoices2001Slovakia_TDT KHANH HOA_Tong hop Cac tuyen(9-1-06)" xfId="5265"/>
    <cellStyle name="Dziesiętny_Invoices2001Slovakia_TDT KHANH HOA_Tong hop Cac tuyen(9-1-06)" xfId="5266"/>
    <cellStyle name="Dziesietny_Invoices2001Slovakia_TDT KHANH HOA_Tong hop Cac tuyen(9-1-06) 2" xfId="5267"/>
    <cellStyle name="Dziesiętny_Invoices2001Slovakia_TDT KHANH HOA_Tong hop Cac tuyen(9-1-06) 2" xfId="5268"/>
    <cellStyle name="Dziesietny_Invoices2001Slovakia_TDT KHANH HOA_Tong hop Cac tuyen(9-1-06)_bieu tong hop lai kh von 2011 gui phong TH-KTDN" xfId="5269"/>
    <cellStyle name="Dziesiętny_Invoices2001Slovakia_TDT KHANH HOA_Tong hop Cac tuyen(9-1-06)_bieu tong hop lai kh von 2011 gui phong TH-KTDN" xfId="5270"/>
    <cellStyle name="Dziesietny_Invoices2001Slovakia_TDT KHANH HOA_Tong hop Cac tuyen(9-1-06)_bieu tong hop lai kh von 2011 gui phong TH-KTDN 2" xfId="5271"/>
    <cellStyle name="Dziesiętny_Invoices2001Slovakia_TDT KHANH HOA_Tong hop Cac tuyen(9-1-06)_bieu tong hop lai kh von 2011 gui phong TH-KTDN 2" xfId="5272"/>
    <cellStyle name="Dziesietny_Invoices2001Slovakia_TDT KHANH HOA_Tong hop Cac tuyen(9-1-06)_Copy of KH PHAN BO VON ĐỐI ỨNG NAM 2011 (30 TY phuong án gop WB)" xfId="5273"/>
    <cellStyle name="Dziesiętny_Invoices2001Slovakia_TDT KHANH HOA_Tong hop Cac tuyen(9-1-06)_Copy of KH PHAN BO VON ĐỐI ỨNG NAM 2011 (30 TY phuong án gop WB)" xfId="5274"/>
    <cellStyle name="Dziesietny_Invoices2001Slovakia_TDT KHANH HOA_Tong hop Cac tuyen(9-1-06)_Copy of KH PHAN BO VON ĐỐI ỨNG NAM 2011 (30 TY phuong án gop WB) 2" xfId="5275"/>
    <cellStyle name="Dziesiętny_Invoices2001Slovakia_TDT KHANH HOA_Tong hop Cac tuyen(9-1-06)_Copy of KH PHAN BO VON ĐỐI ỨNG NAM 2011 (30 TY phuong án gop WB) 2" xfId="5276"/>
    <cellStyle name="Dziesietny_Invoices2001Slovakia_TDT KHANH HOA_Tong hop Cac tuyen(9-1-06)_Ke hoach 2010 (theo doi 11-8-2010)" xfId="5277"/>
    <cellStyle name="Dziesiętny_Invoices2001Slovakia_TDT KHANH HOA_Tong hop Cac tuyen(9-1-06)_Ke hoach 2010 (theo doi 11-8-2010)" xfId="5278"/>
    <cellStyle name="Dziesietny_Invoices2001Slovakia_TDT KHANH HOA_Tong hop Cac tuyen(9-1-06)_Ke hoach 2010 (theo doi 11-8-2010) 2" xfId="5279"/>
    <cellStyle name="Dziesiętny_Invoices2001Slovakia_TDT KHANH HOA_Tong hop Cac tuyen(9-1-06)_Ke hoach 2010 (theo doi 11-8-2010) 2" xfId="5280"/>
    <cellStyle name="Dziesietny_Invoices2001Slovakia_TDT KHANH HOA_Tong hop Cac tuyen(9-1-06)_KH Von 2012 gui BKH 1" xfId="5281"/>
    <cellStyle name="Dziesiętny_Invoices2001Slovakia_TDT KHANH HOA_Tong hop Cac tuyen(9-1-06)_KH Von 2012 gui BKH 1" xfId="5282"/>
    <cellStyle name="Dziesietny_Invoices2001Slovakia_TDT KHANH HOA_Tong hop Cac tuyen(9-1-06)_KH Von 2012 gui BKH 1 2" xfId="5283"/>
    <cellStyle name="Dziesiętny_Invoices2001Slovakia_TDT KHANH HOA_Tong hop Cac tuyen(9-1-06)_KH Von 2012 gui BKH 1 2" xfId="5284"/>
    <cellStyle name="Dziesietny_Invoices2001Slovakia_TDT KHANH HOA_Tong hop Cac tuyen(9-1-06)_QD ke hoach dau thau" xfId="5285"/>
    <cellStyle name="Dziesiętny_Invoices2001Slovakia_TDT KHANH HOA_Tong hop Cac tuyen(9-1-06)_QD ke hoach dau thau" xfId="5286"/>
    <cellStyle name="Dziesietny_Invoices2001Slovakia_TDT KHANH HOA_Tong hop Cac tuyen(9-1-06)_QD ke hoach dau thau 2" xfId="5287"/>
    <cellStyle name="Dziesiętny_Invoices2001Slovakia_TDT KHANH HOA_Tong hop Cac tuyen(9-1-06)_QD ke hoach dau thau 2" xfId="5288"/>
    <cellStyle name="Dziesietny_Invoices2001Slovakia_TDT KHANH HOA_Tong hop Cac tuyen(9-1-06)_Tong von ĐTPT" xfId="5289"/>
    <cellStyle name="Dziesiętny_Invoices2001Slovakia_TDT KHANH HOA_Tong hop Cac tuyen(9-1-06)_Tong von ĐTPT" xfId="5290"/>
    <cellStyle name="Dziesietny_Invoices2001Slovakia_TDT KHANH HOA_Tong hop Cac tuyen(9-1-06)_Tong von ĐTPT 2" xfId="5291"/>
    <cellStyle name="Dziesiętny_Invoices2001Slovakia_TDT KHANH HOA_Tong hop Cac tuyen(9-1-06)_Tong von ĐTPT 2" xfId="5292"/>
    <cellStyle name="Dziesietny_Invoices2001Slovakia_TDT KHANH HOA_Tong von ĐTPT" xfId="5293"/>
    <cellStyle name="Dziesiętny_Invoices2001Slovakia_TDT KHANH HOA_Tong von ĐTPT" xfId="5294"/>
    <cellStyle name="Dziesietny_Invoices2001Slovakia_TDT KHANH HOA_Tong von ĐTPT 2" xfId="5295"/>
    <cellStyle name="Dziesiętny_Invoices2001Slovakia_TDT KHANH HOA_Tong von ĐTPT 2" xfId="5296"/>
    <cellStyle name="Dziesietny_Invoices2001Slovakia_TDT KHANH HOA_TU VAN THUY LOI THAM  PHE" xfId="5297"/>
    <cellStyle name="Dziesiętny_Invoices2001Slovakia_TDT KHANH HOA_TU VAN THUY LOI THAM  PHE" xfId="5298"/>
    <cellStyle name="Dziesietny_Invoices2001Slovakia_TDT KHANH HOA_TU VAN THUY LOI THAM  PHE 2" xfId="5299"/>
    <cellStyle name="Dziesiętny_Invoices2001Slovakia_TDT KHANH HOA_TU VAN THUY LOI THAM  PHE 2" xfId="5300"/>
    <cellStyle name="Dziesietny_Invoices2001Slovakia_TDT KHANH HOA_TH danh muc 08-09 den ngay 30-8-09" xfId="5253"/>
    <cellStyle name="Dziesiętny_Invoices2001Slovakia_TDT KHANH HOA_TH danh muc 08-09 den ngay 30-8-09" xfId="5254"/>
    <cellStyle name="Dziesietny_Invoices2001Slovakia_TDT KHANH HOA_TH danh muc 08-09 den ngay 30-8-09 2" xfId="5255"/>
    <cellStyle name="Dziesiętny_Invoices2001Slovakia_TDT KHANH HOA_TH danh muc 08-09 den ngay 30-8-09 2" xfId="5256"/>
    <cellStyle name="Dziesietny_Invoices2001Slovakia_TDT KHANH HOA_Viec Huy dang lam" xfId="5301"/>
    <cellStyle name="Dziesiętny_Invoices2001Slovakia_TDT KHANH HOA_Viec Huy dang lam" xfId="5302"/>
    <cellStyle name="Dziesietny_Invoices2001Slovakia_TDT quangngai" xfId="5303"/>
    <cellStyle name="Dziesiętny_Invoices2001Slovakia_TDT quangngai" xfId="5304"/>
    <cellStyle name="Dziesietny_Invoices2001Slovakia_TDT quangngai 2" xfId="5305"/>
    <cellStyle name="Dziesiętny_Invoices2001Slovakia_TDT quangngai 2" xfId="5306"/>
    <cellStyle name="Dziesietny_Invoices2001Slovakia_Tienluong" xfId="5315"/>
    <cellStyle name="Dziesiętny_Invoices2001Slovakia_Tienluong" xfId="5316"/>
    <cellStyle name="Dziesietny_Invoices2001Slovakia_Tienluong 2" xfId="5317"/>
    <cellStyle name="Dziesiętny_Invoices2001Slovakia_Tienluong 2" xfId="5318"/>
    <cellStyle name="Dziesietny_Invoices2001Slovakia_TMDT(10-5-06)" xfId="5319"/>
    <cellStyle name="Dziesiętny_Invoices2001Slovakia_Tong von ĐTPT" xfId="5320"/>
    <cellStyle name="Dziesietny_Invoices2001Slovakia_TH danh muc 08-09 den ngay 30-8-09" xfId="5307"/>
    <cellStyle name="Dziesiętny_Invoices2001Slovakia_TH danh muc 08-09 den ngay 30-8-09" xfId="5308"/>
    <cellStyle name="Dziesietny_Invoices2001Slovakia_TH danh muc 08-09 den ngay 30-8-09 2" xfId="5309"/>
    <cellStyle name="Dziesiętny_Invoices2001Slovakia_TH danh muc 08-09 den ngay 30-8-09 2" xfId="5310"/>
    <cellStyle name="Dziesietny_Invoices2001Slovakia_Tham dinh du toan mat doong - Ban cho moi21-5" xfId="5311"/>
    <cellStyle name="Dziesiętny_Invoices2001Slovakia_Tham dinh du toan mat doong - Ban cho moi21-5" xfId="5312"/>
    <cellStyle name="Dziesietny_Invoices2001Slovakia_Tham dinh du toan mat doong - Ban cho moi21-5 2" xfId="5313"/>
    <cellStyle name="Dziesiętny_Invoices2001Slovakia_Tham dinh du toan mat doong - Ban cho moi21-5 2" xfId="5314"/>
    <cellStyle name="Dziesietny_Invoices2001Slovakia_Viec Huy dang lam" xfId="5321"/>
    <cellStyle name="Dziesiętny_Invoices2001Slovakia_Viec Huy dang lam" xfId="5322"/>
    <cellStyle name="e" xfId="5323"/>
    <cellStyle name="e 2" xfId="5324"/>
    <cellStyle name="e 3" xfId="5325"/>
    <cellStyle name="E&amp;Y House" xfId="5326"/>
    <cellStyle name="E&amp;Y House 2" xfId="5327"/>
    <cellStyle name="e_bieu ke hoach dau thau" xfId="5328"/>
    <cellStyle name="e_bieu ke hoach dau thau 2" xfId="5329"/>
    <cellStyle name="e_bieu ke hoach dau thau 3" xfId="5330"/>
    <cellStyle name="e_bieu ke hoach dau thau truong mam non SKH" xfId="5331"/>
    <cellStyle name="e_bieu ke hoach dau thau truong mam non SKH 2" xfId="5332"/>
    <cellStyle name="e_bieu ke hoach dau thau truong mam non SKH 3" xfId="5333"/>
    <cellStyle name="e_Book1" xfId="5334"/>
    <cellStyle name="e_Book1 2" xfId="5335"/>
    <cellStyle name="e_Book1 3" xfId="5336"/>
    <cellStyle name="e_DT tieu hoc diem TDC ban Cho 28-02-09" xfId="5337"/>
    <cellStyle name="e_DT tieu hoc diem TDC ban Cho 28-02-09 2" xfId="5338"/>
    <cellStyle name="e_DT tieu hoc diem TDC ban Cho 28-02-09 3" xfId="5339"/>
    <cellStyle name="e_Du toan" xfId="5340"/>
    <cellStyle name="e_Du toan 2" xfId="5341"/>
    <cellStyle name="e_Du toan 2 2" xfId="5342"/>
    <cellStyle name="e_Du toan 3" xfId="5343"/>
    <cellStyle name="e_Du toan nuoc San Thang (GD2)" xfId="5344"/>
    <cellStyle name="e_Du toan nuoc San Thang (GD2) 2" xfId="5345"/>
    <cellStyle name="e_Du toan nuoc San Thang (GD2) 3" xfId="5346"/>
    <cellStyle name="e_Du toan_BIEU KE HOACH  2015 (KTN 6.11 sua)" xfId="5347"/>
    <cellStyle name="e_HD TT1" xfId="5348"/>
    <cellStyle name="e_HD TT1 2" xfId="5349"/>
    <cellStyle name="e_HD TT1 2 2" xfId="5350"/>
    <cellStyle name="e_HD TT1 3" xfId="5351"/>
    <cellStyle name="e_HD TT1_BIEU KE HOACH  2015 (KTN 6.11 sua)" xfId="5352"/>
    <cellStyle name="e_Nha lop hoc 8 P" xfId="5353"/>
    <cellStyle name="e_Nha lop hoc 8 P 2" xfId="5354"/>
    <cellStyle name="e_Nha lop hoc 8 P 2 2" xfId="5355"/>
    <cellStyle name="e_Nha lop hoc 8 P 3" xfId="5356"/>
    <cellStyle name="e_Nha lop hoc 8 P_BIEU KE HOACH  2015 (KTN 6.11 sua)" xfId="5357"/>
    <cellStyle name="e_Tienluong" xfId="5358"/>
    <cellStyle name="e_Tienluong 2" xfId="5359"/>
    <cellStyle name="e_Tienluong 3" xfId="5360"/>
    <cellStyle name="ea" xfId="5361"/>
    <cellStyle name="Emphasis 1" xfId="5362"/>
    <cellStyle name="Emphasis 2" xfId="5363"/>
    <cellStyle name="Emphasis 3" xfId="5364"/>
    <cellStyle name="Enter Currency (0)" xfId="5365"/>
    <cellStyle name="Enter Currency (0) 2" xfId="5366"/>
    <cellStyle name="Enter Currency (0) 2 2" xfId="5367"/>
    <cellStyle name="Enter Currency (0) 3" xfId="5368"/>
    <cellStyle name="Enter Currency (2)" xfId="5369"/>
    <cellStyle name="Enter Currency (2) 2" xfId="5370"/>
    <cellStyle name="Enter Units (0)" xfId="5371"/>
    <cellStyle name="Enter Units (0) 2" xfId="5372"/>
    <cellStyle name="Enter Units (1)" xfId="5373"/>
    <cellStyle name="Enter Units (1) 2" xfId="5374"/>
    <cellStyle name="Enter Units (2)" xfId="5375"/>
    <cellStyle name="Enter Units (2) 2" xfId="5376"/>
    <cellStyle name="Entered" xfId="5377"/>
    <cellStyle name="Entered 2" xfId="5378"/>
    <cellStyle name="Euro" xfId="5379"/>
    <cellStyle name="Excel Built-in Normal" xfId="5380"/>
    <cellStyle name="Explanatory Text 2" xfId="5381"/>
    <cellStyle name="Explanatory Text 2 2" xfId="5382"/>
    <cellStyle name="Explanatory Text 2 3" xfId="5383"/>
    <cellStyle name="Explanatory Text 3" xfId="5384"/>
    <cellStyle name="Explanatory Text 4" xfId="5385"/>
    <cellStyle name="f" xfId="5386"/>
    <cellStyle name="f 2" xfId="5387"/>
    <cellStyle name="f 3" xfId="5388"/>
    <cellStyle name="f_bieu ke hoach dau thau" xfId="5389"/>
    <cellStyle name="f_bieu ke hoach dau thau 2" xfId="5390"/>
    <cellStyle name="f_bieu ke hoach dau thau 3" xfId="5391"/>
    <cellStyle name="f_bieu ke hoach dau thau truong mam non SKH" xfId="5392"/>
    <cellStyle name="f_bieu ke hoach dau thau truong mam non SKH 2" xfId="5393"/>
    <cellStyle name="f_bieu ke hoach dau thau truong mam non SKH 3" xfId="5394"/>
    <cellStyle name="f_Book1" xfId="5395"/>
    <cellStyle name="f_Book1 2" xfId="5396"/>
    <cellStyle name="f_Book1 3" xfId="5397"/>
    <cellStyle name="f_DT tieu hoc diem TDC ban Cho 28-02-09" xfId="5398"/>
    <cellStyle name="f_DT tieu hoc diem TDC ban Cho 28-02-09 2" xfId="5399"/>
    <cellStyle name="f_DT tieu hoc diem TDC ban Cho 28-02-09 3" xfId="5400"/>
    <cellStyle name="f_Du toan" xfId="5401"/>
    <cellStyle name="f_Du toan 2" xfId="5402"/>
    <cellStyle name="f_Du toan 2 2" xfId="5403"/>
    <cellStyle name="f_Du toan 3" xfId="5404"/>
    <cellStyle name="f_Du toan nuoc San Thang (GD2)" xfId="5405"/>
    <cellStyle name="f_Du toan nuoc San Thang (GD2) 2" xfId="5406"/>
    <cellStyle name="f_Du toan nuoc San Thang (GD2) 3" xfId="5407"/>
    <cellStyle name="f_Du toan_BIEU KE HOACH  2015 (KTN 6.11 sua)" xfId="5408"/>
    <cellStyle name="f_HD TT1" xfId="5409"/>
    <cellStyle name="f_HD TT1 2" xfId="5410"/>
    <cellStyle name="f_HD TT1 2 2" xfId="5411"/>
    <cellStyle name="f_HD TT1 3" xfId="5412"/>
    <cellStyle name="f_HD TT1_BIEU KE HOACH  2015 (KTN 6.11 sua)" xfId="5413"/>
    <cellStyle name="f_Nha lop hoc 8 P" xfId="5414"/>
    <cellStyle name="f_Nha lop hoc 8 P 2" xfId="5415"/>
    <cellStyle name="f_Nha lop hoc 8 P 2 2" xfId="5416"/>
    <cellStyle name="f_Nha lop hoc 8 P 3" xfId="5417"/>
    <cellStyle name="f_Nha lop hoc 8 P_BIEU KE HOACH  2015 (KTN 6.11 sua)" xfId="5418"/>
    <cellStyle name="f_Tienluong" xfId="5419"/>
    <cellStyle name="f_Tienluong 2" xfId="5420"/>
    <cellStyle name="f_Tienluong 3" xfId="5421"/>
    <cellStyle name="f1" xfId="5422"/>
    <cellStyle name="f1 2" xfId="5423"/>
    <cellStyle name="f2" xfId="5424"/>
    <cellStyle name="f2 2" xfId="5425"/>
    <cellStyle name="F3" xfId="5426"/>
    <cellStyle name="F3 2" xfId="5427"/>
    <cellStyle name="F4" xfId="5428"/>
    <cellStyle name="F4 2" xfId="5429"/>
    <cellStyle name="F5" xfId="5430"/>
    <cellStyle name="F5 2" xfId="5431"/>
    <cellStyle name="F6" xfId="5432"/>
    <cellStyle name="F6 2" xfId="5433"/>
    <cellStyle name="F7" xfId="5434"/>
    <cellStyle name="F7 2" xfId="5435"/>
    <cellStyle name="F8" xfId="5436"/>
    <cellStyle name="F8 2" xfId="5437"/>
    <cellStyle name="Fixed" xfId="5438"/>
    <cellStyle name="Fixed 2" xfId="5439"/>
    <cellStyle name="Good 2" xfId="5442"/>
    <cellStyle name="Good 2 2" xfId="5443"/>
    <cellStyle name="Good 2 3" xfId="5444"/>
    <cellStyle name="Good 3" xfId="5445"/>
    <cellStyle name="Good 4" xfId="5446"/>
    <cellStyle name="Grey" xfId="5447"/>
    <cellStyle name="Grey 2" xfId="5448"/>
    <cellStyle name="Grey 2 2" xfId="5449"/>
    <cellStyle name="Grey 3" xfId="5450"/>
    <cellStyle name="Grey 4" xfId="5451"/>
    <cellStyle name="Group" xfId="5452"/>
    <cellStyle name="Group 2" xfId="5453"/>
    <cellStyle name="gia" xfId="5440"/>
    <cellStyle name="gia 2" xfId="5441"/>
    <cellStyle name="H" xfId="5454"/>
    <cellStyle name="H 2" xfId="5455"/>
    <cellStyle name="H_bieumau 1" xfId="5456"/>
    <cellStyle name="H_Book1" xfId="5457"/>
    <cellStyle name="H_D-A-VU" xfId="5458"/>
    <cellStyle name="H_D-A-VU 2" xfId="5459"/>
    <cellStyle name="H_D-A-VU 3" xfId="5460"/>
    <cellStyle name="H_D-A-VU_BIEU KE HOACH  2015 (KTN 6.11 sua)" xfId="5461"/>
    <cellStyle name="H_HSTHAU" xfId="5462"/>
    <cellStyle name="H_HSTHAU 2" xfId="5463"/>
    <cellStyle name="H_HSTHAU 3" xfId="5464"/>
    <cellStyle name="H_HSTHAU_BIEU KE HOACH  2015 (KTN 6.11 sua)" xfId="5465"/>
    <cellStyle name="H_Ket du ung NS" xfId="5466"/>
    <cellStyle name="H_Ket du ung NS 2" xfId="5467"/>
    <cellStyle name="H_KH Von 2012 gui BKH 1" xfId="5468"/>
    <cellStyle name="H_KH Von 2012 gui BKH 1 2" xfId="5469"/>
    <cellStyle name="H_KH Von 2012 gui BKH 1 3" xfId="5470"/>
    <cellStyle name="H_KH Von 2012 gui BKH 1_BIEU KE HOACH  2015 (KTN 6.11 sua)" xfId="5471"/>
    <cellStyle name="H_KH Von 2012 gui BKH 2" xfId="5472"/>
    <cellStyle name="H_KH Von 2012 gui BKH 2 2" xfId="5473"/>
    <cellStyle name="H_KH Von 2012 gui BKH 2 3" xfId="5474"/>
    <cellStyle name="H_KH Von 2012 gui BKH 2_BIEU KE HOACH  2015 (KTN 6.11 sua)" xfId="5475"/>
    <cellStyle name="ha" xfId="5476"/>
    <cellStyle name="ha 2" xfId="5477"/>
    <cellStyle name="HAI" xfId="5478"/>
    <cellStyle name="Head 1" xfId="5479"/>
    <cellStyle name="Head 1 2" xfId="5480"/>
    <cellStyle name="Head 1 3" xfId="5481"/>
    <cellStyle name="HEADER" xfId="5482"/>
    <cellStyle name="HEADER 2" xfId="5483"/>
    <cellStyle name="HEADER 3" xfId="5484"/>
    <cellStyle name="Header1" xfId="5485"/>
    <cellStyle name="Header1 2" xfId="5486"/>
    <cellStyle name="Header2" xfId="5487"/>
    <cellStyle name="Header2 2" xfId="5488"/>
    <cellStyle name="Heading" xfId="5489"/>
    <cellStyle name="Heading 1 2" xfId="5490"/>
    <cellStyle name="Heading 1 2 2" xfId="5491"/>
    <cellStyle name="Heading 1 2 3" xfId="5492"/>
    <cellStyle name="Heading 1 2 4" xfId="5493"/>
    <cellStyle name="Heading 1 3" xfId="5494"/>
    <cellStyle name="Heading 2 2" xfId="5495"/>
    <cellStyle name="Heading 2 2 2" xfId="5496"/>
    <cellStyle name="Heading 2 2 3" xfId="5497"/>
    <cellStyle name="Heading 2 2 4" xfId="5498"/>
    <cellStyle name="Heading 2 3" xfId="5499"/>
    <cellStyle name="Heading 3 2" xfId="5500"/>
    <cellStyle name="Heading 3 2 2" xfId="5501"/>
    <cellStyle name="Heading 3 2 3" xfId="5502"/>
    <cellStyle name="Heading 3 3" xfId="5503"/>
    <cellStyle name="Heading 3 4" xfId="5504"/>
    <cellStyle name="Heading 4 2" xfId="5505"/>
    <cellStyle name="Heading 4 2 2" xfId="5506"/>
    <cellStyle name="Heading 4 2 3" xfId="5507"/>
    <cellStyle name="Heading 4 3" xfId="5508"/>
    <cellStyle name="Heading 4 4" xfId="5509"/>
    <cellStyle name="Heading1" xfId="5510"/>
    <cellStyle name="Heading1 1" xfId="5511"/>
    <cellStyle name="Heading1 2" xfId="5512"/>
    <cellStyle name="Heading1 3" xfId="5513"/>
    <cellStyle name="HEADING1 4" xfId="5514"/>
    <cellStyle name="Heading2" xfId="5515"/>
    <cellStyle name="Heading2 2" xfId="5516"/>
    <cellStyle name="Heading2 3" xfId="5517"/>
    <cellStyle name="HEADING2 4" xfId="5518"/>
    <cellStyle name="HEADINGS" xfId="5519"/>
    <cellStyle name="HEADINGS 2" xfId="5520"/>
    <cellStyle name="HEADINGSTOP" xfId="5521"/>
    <cellStyle name="HEADINGSTOP 2" xfId="5522"/>
    <cellStyle name="headoption" xfId="5523"/>
    <cellStyle name="headoption 2" xfId="5524"/>
    <cellStyle name="Hoa-Scholl" xfId="5525"/>
    <cellStyle name="Hoa-Scholl 2" xfId="5526"/>
    <cellStyle name="HUY" xfId="5527"/>
    <cellStyle name="HUY 2" xfId="5528"/>
    <cellStyle name="i phÝ kh¸c_B¶ng 2" xfId="5529"/>
    <cellStyle name="I.3" xfId="5530"/>
    <cellStyle name="I.3 2" xfId="5531"/>
    <cellStyle name="I.3 3" xfId="5532"/>
    <cellStyle name="I.3?b_x000c_Comma [0]_II?_x0012_Comma [0]_laroux_2?_x0012_Comma [0]_larou_x001c_Comma [0]_laroux_3_¼­¿ï-¾È»ê?$Comma [0]" xfId="5533"/>
    <cellStyle name="i·0" xfId="5534"/>
    <cellStyle name="i·0 2" xfId="5535"/>
    <cellStyle name="ï-¾È»ê_BiÓu TB" xfId="5536"/>
    <cellStyle name="Indent" xfId="5537"/>
    <cellStyle name="Indent 2" xfId="5538"/>
    <cellStyle name="Input [yellow]" xfId="5539"/>
    <cellStyle name="Input [yellow] 2" xfId="5540"/>
    <cellStyle name="Input [yellow] 2 2" xfId="5541"/>
    <cellStyle name="Input [yellow] 3" xfId="5542"/>
    <cellStyle name="Input [yellow] 4" xfId="5543"/>
    <cellStyle name="Input 10" xfId="5544"/>
    <cellStyle name="Input 11" xfId="5545"/>
    <cellStyle name="Input 12" xfId="5546"/>
    <cellStyle name="Input 13" xfId="5547"/>
    <cellStyle name="Input 14" xfId="5548"/>
    <cellStyle name="Input 15" xfId="5549"/>
    <cellStyle name="Input 16" xfId="5550"/>
    <cellStyle name="Input 17" xfId="5551"/>
    <cellStyle name="Input 18" xfId="5552"/>
    <cellStyle name="Input 19" xfId="5553"/>
    <cellStyle name="Input 2" xfId="5554"/>
    <cellStyle name="Input 2 2" xfId="5555"/>
    <cellStyle name="Input 2 3" xfId="5556"/>
    <cellStyle name="Input 20" xfId="5557"/>
    <cellStyle name="Input 21" xfId="5558"/>
    <cellStyle name="Input 22" xfId="5559"/>
    <cellStyle name="Input 23" xfId="5560"/>
    <cellStyle name="Input 24" xfId="5561"/>
    <cellStyle name="Input 25" xfId="5562"/>
    <cellStyle name="Input 26" xfId="5563"/>
    <cellStyle name="Input 27" xfId="5564"/>
    <cellStyle name="Input 28" xfId="5565"/>
    <cellStyle name="Input 29" xfId="5566"/>
    <cellStyle name="Input 3" xfId="5567"/>
    <cellStyle name="Input 30" xfId="5568"/>
    <cellStyle name="Input 31" xfId="5569"/>
    <cellStyle name="Input 32" xfId="5570"/>
    <cellStyle name="Input 33" xfId="5571"/>
    <cellStyle name="Input 34" xfId="5572"/>
    <cellStyle name="Input 35" xfId="5573"/>
    <cellStyle name="Input 36" xfId="5574"/>
    <cellStyle name="Input 37" xfId="5575"/>
    <cellStyle name="Input 38" xfId="5576"/>
    <cellStyle name="Input 39" xfId="5577"/>
    <cellStyle name="Input 4" xfId="5578"/>
    <cellStyle name="Input 40" xfId="5579"/>
    <cellStyle name="Input 41" xfId="5580"/>
    <cellStyle name="Input 42" xfId="5581"/>
    <cellStyle name="Input 43" xfId="5582"/>
    <cellStyle name="Input 44" xfId="5583"/>
    <cellStyle name="Input 45" xfId="5584"/>
    <cellStyle name="Input 46" xfId="5585"/>
    <cellStyle name="Input 47" xfId="5586"/>
    <cellStyle name="Input 48" xfId="5587"/>
    <cellStyle name="Input 49" xfId="5588"/>
    <cellStyle name="Input 5" xfId="5589"/>
    <cellStyle name="Input 50" xfId="5590"/>
    <cellStyle name="Input 51" xfId="5591"/>
    <cellStyle name="Input 52" xfId="5592"/>
    <cellStyle name="Input 53" xfId="5593"/>
    <cellStyle name="Input 54" xfId="5594"/>
    <cellStyle name="Input 55" xfId="5595"/>
    <cellStyle name="Input 56" xfId="5596"/>
    <cellStyle name="Input 57" xfId="5597"/>
    <cellStyle name="Input 58" xfId="5598"/>
    <cellStyle name="Input 59" xfId="5599"/>
    <cellStyle name="Input 6" xfId="5600"/>
    <cellStyle name="Input 60" xfId="5601"/>
    <cellStyle name="Input 61" xfId="5602"/>
    <cellStyle name="Input 7" xfId="5603"/>
    <cellStyle name="Input 8" xfId="5604"/>
    <cellStyle name="Input 9" xfId="5605"/>
    <cellStyle name="Input Cells" xfId="5606"/>
    <cellStyle name="Input Cells 2" xfId="5607"/>
    <cellStyle name="k" xfId="5608"/>
    <cellStyle name="k 2" xfId="5609"/>
    <cellStyle name="k_TONG HOP KINH PHI" xfId="5610"/>
    <cellStyle name="k_TONG HOP KINH PHI 2" xfId="5611"/>
    <cellStyle name="k_TONG HOP KINH PHI 3" xfId="5612"/>
    <cellStyle name="k_TONG HOP KINH PHI_BIEU KE HOACH  2015 (KTN 6.11 sua)" xfId="5613"/>
    <cellStyle name="k_ÿÿÿÿÿ" xfId="5614"/>
    <cellStyle name="k_ÿÿÿÿÿ 2" xfId="5615"/>
    <cellStyle name="k_ÿÿÿÿÿ 3" xfId="5616"/>
    <cellStyle name="k_ÿÿÿÿÿ_1" xfId="5617"/>
    <cellStyle name="k_ÿÿÿÿÿ_1 2" xfId="5618"/>
    <cellStyle name="k_ÿÿÿÿÿ_2" xfId="5619"/>
    <cellStyle name="k_ÿÿÿÿÿ_2 2" xfId="5620"/>
    <cellStyle name="k_ÿÿÿÿÿ_2 3" xfId="5621"/>
    <cellStyle name="k_ÿÿÿÿÿ_2_BIEU KE HOACH  2015 (KTN 6.11 sua)" xfId="5622"/>
    <cellStyle name="k_ÿÿÿÿÿ_BIEU KE HOACH  2015 (KTN 6.11 sua)" xfId="5623"/>
    <cellStyle name="k1" xfId="5624"/>
    <cellStyle name="k1 2" xfId="5625"/>
    <cellStyle name="k2" xfId="5626"/>
    <cellStyle name="k2 2" xfId="5627"/>
    <cellStyle name="kh¸c_Bang Chi tieu" xfId="5628"/>
    <cellStyle name="khanh" xfId="5629"/>
    <cellStyle name="khanh 2" xfId="5630"/>
    <cellStyle name="khanh 3" xfId="5631"/>
    <cellStyle name="khung" xfId="5632"/>
    <cellStyle name="khung 2" xfId="5633"/>
    <cellStyle name="khung 2 2" xfId="5634"/>
    <cellStyle name="khung 3" xfId="5635"/>
    <cellStyle name="Ledger 17 x 11 in" xfId="5636"/>
    <cellStyle name="Ledger 17 x 11 in 2" xfId="5637"/>
    <cellStyle name="Ledger 17 x 11 in 2 2" xfId="5638"/>
    <cellStyle name="Ledger 17 x 11 in 2 3" xfId="5639"/>
    <cellStyle name="Ledger 17 x 11 in 3" xfId="5640"/>
    <cellStyle name="Ledger 17 x 11 in 3 2" xfId="5641"/>
    <cellStyle name="Ledger 17 x 11 in 4" xfId="5642"/>
    <cellStyle name="Ledger 17 x 11 in_Duyet chung tu nam 2013 (Quyet)" xfId="5643"/>
    <cellStyle name="left" xfId="5644"/>
    <cellStyle name="left 2" xfId="5645"/>
    <cellStyle name="Line" xfId="5646"/>
    <cellStyle name="Line 2" xfId="5647"/>
    <cellStyle name="Line 3" xfId="5648"/>
    <cellStyle name="Link Currency (0)" xfId="5649"/>
    <cellStyle name="Link Currency (0) 2" xfId="5650"/>
    <cellStyle name="Link Currency (0) 2 2" xfId="5651"/>
    <cellStyle name="Link Currency (0) 3" xfId="5652"/>
    <cellStyle name="Link Currency (2)" xfId="5653"/>
    <cellStyle name="Link Currency (2) 2" xfId="5654"/>
    <cellStyle name="Link Units (0)" xfId="5655"/>
    <cellStyle name="Link Units (0) 2" xfId="5656"/>
    <cellStyle name="Link Units (1)" xfId="5657"/>
    <cellStyle name="Link Units (1) 2" xfId="5658"/>
    <cellStyle name="Link Units (2)" xfId="5659"/>
    <cellStyle name="Link Units (2) 2" xfId="5660"/>
    <cellStyle name="Linked Cell 2" xfId="5661"/>
    <cellStyle name="Linked Cell 2 2" xfId="5662"/>
    <cellStyle name="Linked Cell 2 3" xfId="5663"/>
    <cellStyle name="Linked Cell 3" xfId="5664"/>
    <cellStyle name="Linked Cell 4" xfId="5665"/>
    <cellStyle name="Linked Cells" xfId="5666"/>
    <cellStyle name="Linked Cells 2" xfId="5667"/>
    <cellStyle name="Loai CBDT" xfId="5668"/>
    <cellStyle name="Loai CT" xfId="5669"/>
    <cellStyle name="Loai GD" xfId="5670"/>
    <cellStyle name="luc" xfId="5671"/>
    <cellStyle name="luc 2" xfId="5672"/>
    <cellStyle name="luc 3" xfId="5673"/>
    <cellStyle name="luc2" xfId="5674"/>
    <cellStyle name="luc2 2" xfId="5675"/>
    <cellStyle name="luc2 2 2" xfId="5676"/>
    <cellStyle name="luc2 3" xfId="5677"/>
    <cellStyle name="MAU" xfId="5678"/>
    <cellStyle name="MAU 2" xfId="5679"/>
    <cellStyle name="Migliaia (0)_CALPREZZ" xfId="5680"/>
    <cellStyle name="Migliaia_ PESO ELETTR." xfId="5681"/>
    <cellStyle name="Millares [0]_2AV_M_M " xfId="5682"/>
    <cellStyle name="Millares_2AV_M_M " xfId="5683"/>
    <cellStyle name="Milliers [0]_      " xfId="5684"/>
    <cellStyle name="Milliers_      " xfId="5685"/>
    <cellStyle name="Model" xfId="5690"/>
    <cellStyle name="Model 2" xfId="5691"/>
    <cellStyle name="Model 3" xfId="5692"/>
    <cellStyle name="moi" xfId="5693"/>
    <cellStyle name="moi 2" xfId="5694"/>
    <cellStyle name="moi 3" xfId="5695"/>
    <cellStyle name="Mon?aire [0]_      " xfId="5696"/>
    <cellStyle name="Mon?aire_      " xfId="5697"/>
    <cellStyle name="Moneda [0]_2AV_M_M " xfId="5698"/>
    <cellStyle name="Moneda_2AV_M_M " xfId="5699"/>
    <cellStyle name="Monétaire [0]_      " xfId="5700"/>
    <cellStyle name="Monétaire_      " xfId="5701"/>
    <cellStyle name="Môc" xfId="5686"/>
    <cellStyle name="Môc 2" xfId="5687"/>
    <cellStyle name="Môc 2 2" xfId="5688"/>
    <cellStyle name="Môc 3" xfId="5689"/>
    <cellStyle name="n" xfId="5702"/>
    <cellStyle name="n 2" xfId="5703"/>
    <cellStyle name="n_bieu ke hoach dau thau" xfId="5704"/>
    <cellStyle name="n_bieu ke hoach dau thau 2" xfId="5705"/>
    <cellStyle name="n_bieu ke hoach dau thau truong mam non SKH" xfId="5706"/>
    <cellStyle name="n_bieu ke hoach dau thau truong mam non SKH 2" xfId="5707"/>
    <cellStyle name="n_Book1" xfId="5708"/>
    <cellStyle name="n_Book1 2" xfId="5709"/>
    <cellStyle name="n_Bu_Gia" xfId="5710"/>
    <cellStyle name="n_Bu_Gia 2" xfId="5711"/>
    <cellStyle name="n_DT tieu hoc diem TDC ban Cho 28-02-09" xfId="5712"/>
    <cellStyle name="n_DT tieu hoc diem TDC ban Cho 28-02-09 2" xfId="5713"/>
    <cellStyle name="n_Du toan" xfId="5714"/>
    <cellStyle name="n_Du toan 2" xfId="5715"/>
    <cellStyle name="n_Du toan 2 2" xfId="5716"/>
    <cellStyle name="n_Du toan 3" xfId="5717"/>
    <cellStyle name="n_Du toan nuoc San Thang (GD2)" xfId="5718"/>
    <cellStyle name="n_Du toan nuoc San Thang (GD2) 2" xfId="5719"/>
    <cellStyle name="n_Du toan_BIEU KE HOACH  2015 (KTN 6.11 sua)" xfId="5720"/>
    <cellStyle name="n_Nha lop hoc 8 P" xfId="5721"/>
    <cellStyle name="n_Nha lop hoc 8 P 2" xfId="5722"/>
    <cellStyle name="n_Nha lop hoc 8 P 2 2" xfId="5723"/>
    <cellStyle name="n_Nha lop hoc 8 P 3" xfId="5724"/>
    <cellStyle name="n_Nha lop hoc 8 P_BIEU KE HOACH  2015 (KTN 6.11 sua)" xfId="5725"/>
    <cellStyle name="n_Tienluong" xfId="5726"/>
    <cellStyle name="n_Tienluong 2" xfId="5727"/>
    <cellStyle name="n_Tram y te chan nua TD" xfId="5728"/>
    <cellStyle name="n_Tram y te chan nua TD 2" xfId="5729"/>
    <cellStyle name="n_Tram y te chan nua TD 2 2" xfId="5730"/>
    <cellStyle name="n_Tram y te chan nua TD 3" xfId="5731"/>
    <cellStyle name="n_Tram y te chan nua TD_BIEU KE HOACH  2015 (KTN 6.11 sua)" xfId="5732"/>
    <cellStyle name="n1" xfId="5733"/>
    <cellStyle name="n1 2" xfId="5734"/>
    <cellStyle name="Neutral 2" xfId="5735"/>
    <cellStyle name="Neutral 2 2" xfId="5736"/>
    <cellStyle name="Neutral 2 3" xfId="5737"/>
    <cellStyle name="Neutral 3" xfId="5738"/>
    <cellStyle name="Neutral 4" xfId="5739"/>
    <cellStyle name="New" xfId="5740"/>
    <cellStyle name="New 2" xfId="5741"/>
    <cellStyle name="New 3" xfId="5742"/>
    <cellStyle name="New Times Roman" xfId="5743"/>
    <cellStyle name="New Times Roman 2" xfId="5744"/>
    <cellStyle name="New Times Roman 3" xfId="5745"/>
    <cellStyle name="New_bieu ke hoach dau thau" xfId="5746"/>
    <cellStyle name="no dec" xfId="5749"/>
    <cellStyle name="no dec 2" xfId="5750"/>
    <cellStyle name="ÑONVÒ" xfId="5751"/>
    <cellStyle name="ÑONVÒ 2" xfId="5752"/>
    <cellStyle name="Normal" xfId="0" builtinId="0"/>
    <cellStyle name="Normal - Style1" xfId="5753"/>
    <cellStyle name="Normal - Style1 2" xfId="5754"/>
    <cellStyle name="Normal - Style1 2 2" xfId="5755"/>
    <cellStyle name="Normal - Style1 2 3" xfId="5756"/>
    <cellStyle name="Normal - Style1 3" xfId="5757"/>
    <cellStyle name="Normal - Style1 4" xfId="5758"/>
    <cellStyle name="Normal - Style1 5" xfId="5759"/>
    <cellStyle name="Normal - 유형1" xfId="5760"/>
    <cellStyle name="Normal 10" xfId="5761"/>
    <cellStyle name="Normal 10 2" xfId="5762"/>
    <cellStyle name="Normal 10 2 2" xfId="11000"/>
    <cellStyle name="Normal 10 3" xfId="5763"/>
    <cellStyle name="Normal 10 3 2" xfId="5764"/>
    <cellStyle name="Normal 10 4" xfId="5765"/>
    <cellStyle name="Normal 10 5" xfId="5766"/>
    <cellStyle name="Normal 10 7 3" xfId="5"/>
    <cellStyle name="Normal 11" xfId="5767"/>
    <cellStyle name="Normal 11 2" xfId="5768"/>
    <cellStyle name="Normal 11 3" xfId="5769"/>
    <cellStyle name="Normal 11 4" xfId="5770"/>
    <cellStyle name="Normal 11 5" xfId="11003"/>
    <cellStyle name="Normal 12" xfId="5771"/>
    <cellStyle name="Normal 12 2" xfId="5772"/>
    <cellStyle name="Normal 12 3" xfId="5773"/>
    <cellStyle name="Normal 13" xfId="5774"/>
    <cellStyle name="Normal 13 2" xfId="5775"/>
    <cellStyle name="Normal 13 3" xfId="10995"/>
    <cellStyle name="Normal 14" xfId="5776"/>
    <cellStyle name="Normal 14 2" xfId="5777"/>
    <cellStyle name="Normal 15" xfId="5778"/>
    <cellStyle name="Normal 15 2" xfId="5779"/>
    <cellStyle name="Normal 16" xfId="5780"/>
    <cellStyle name="Normal 16 2" xfId="5781"/>
    <cellStyle name="Normal 17" xfId="5782"/>
    <cellStyle name="Normal 17 2" xfId="5783"/>
    <cellStyle name="Normal 18" xfId="5784"/>
    <cellStyle name="Normal 19" xfId="5785"/>
    <cellStyle name="Normal 2" xfId="8"/>
    <cellStyle name="Normal 2 10" xfId="5786"/>
    <cellStyle name="Normal 2 10 2" xfId="5787"/>
    <cellStyle name="Normal 2 2" xfId="15"/>
    <cellStyle name="Normal 2 2 2" xfId="5788"/>
    <cellStyle name="Normal 2 2 2 2" xfId="5789"/>
    <cellStyle name="Normal 2 2 3" xfId="5790"/>
    <cellStyle name="Normal 2 2 4" xfId="5791"/>
    <cellStyle name="Normal 2 2 5" xfId="5792"/>
    <cellStyle name="Normal 2 3" xfId="5793"/>
    <cellStyle name="Normal 2 3 2" xfId="5794"/>
    <cellStyle name="Normal 2 3 3" xfId="5795"/>
    <cellStyle name="Normal 2 32" xfId="5796"/>
    <cellStyle name="Normal 2 35" xfId="5797"/>
    <cellStyle name="Normal 2 4" xfId="5798"/>
    <cellStyle name="Normal 2 4 2" xfId="5799"/>
    <cellStyle name="Normal 2 5" xfId="5800"/>
    <cellStyle name="Normal 2_6a. Bieu Trung tam 05 06 chuyen doi hinh thuc dau tu" xfId="5801"/>
    <cellStyle name="Normal 20" xfId="5802"/>
    <cellStyle name="Normal 21" xfId="5803"/>
    <cellStyle name="Normal 22" xfId="5804"/>
    <cellStyle name="Normal 23" xfId="5805"/>
    <cellStyle name="Normal 23 2" xfId="5806"/>
    <cellStyle name="Normal 24" xfId="5807"/>
    <cellStyle name="Normal 24 2" xfId="5808"/>
    <cellStyle name="Normal 25" xfId="5809"/>
    <cellStyle name="Normal 25 2" xfId="5810"/>
    <cellStyle name="Normal 26" xfId="5811"/>
    <cellStyle name="Normal 26 2" xfId="5812"/>
    <cellStyle name="Normal 27" xfId="5813"/>
    <cellStyle name="Normal 27 2" xfId="5814"/>
    <cellStyle name="Normal 28" xfId="5815"/>
    <cellStyle name="Normal 28 2" xfId="5816"/>
    <cellStyle name="Normal 29" xfId="5817"/>
    <cellStyle name="Normal 29 2" xfId="5818"/>
    <cellStyle name="Normal 3" xfId="7"/>
    <cellStyle name="Normal 3 2" xfId="12"/>
    <cellStyle name="Normal 3 2 2" xfId="5819"/>
    <cellStyle name="Normal 3 2 2 2" xfId="5820"/>
    <cellStyle name="Normal 3 2 2 3" xfId="5821"/>
    <cellStyle name="Normal 3 2 3" xfId="5822"/>
    <cellStyle name="Normal 3 3" xfId="5823"/>
    <cellStyle name="Normal 3 3 2" xfId="5824"/>
    <cellStyle name="Normal 3 4" xfId="5825"/>
    <cellStyle name="Normal 3 8" xfId="5826"/>
    <cellStyle name="Normal 3_Bieu 05a" xfId="5827"/>
    <cellStyle name="Normal 30" xfId="5828"/>
    <cellStyle name="Normal 30 2" xfId="5829"/>
    <cellStyle name="Normal 31" xfId="5830"/>
    <cellStyle name="Normal 31 2" xfId="5831"/>
    <cellStyle name="Normal 32" xfId="5832"/>
    <cellStyle name="Normal 32 2" xfId="5833"/>
    <cellStyle name="Normal 32 3" xfId="5834"/>
    <cellStyle name="Normal 33" xfId="5835"/>
    <cellStyle name="Normal 34" xfId="5836"/>
    <cellStyle name="Normal 34 2" xfId="5837"/>
    <cellStyle name="Normal 34_1460 Sua" xfId="5838"/>
    <cellStyle name="Normal 35" xfId="5839"/>
    <cellStyle name="Normal 36" xfId="5840"/>
    <cellStyle name="Normal 37" xfId="5841"/>
    <cellStyle name="Normal 38" xfId="5842"/>
    <cellStyle name="Normal 39" xfId="5843"/>
    <cellStyle name="Normal 4" xfId="5844"/>
    <cellStyle name="Normal 4 2" xfId="5845"/>
    <cellStyle name="Normal 4 2 2" xfId="5846"/>
    <cellStyle name="Normal 4 2 2 2" xfId="5847"/>
    <cellStyle name="Normal 4 2 3" xfId="5848"/>
    <cellStyle name="Normal 4 3" xfId="5849"/>
    <cellStyle name="Normal 4 3 2" xfId="5850"/>
    <cellStyle name="Normal 4 4" xfId="5851"/>
    <cellStyle name="Normal 4 5" xfId="5852"/>
    <cellStyle name="Normal 4 6" xfId="5853"/>
    <cellStyle name="Normal 4_Bang bieu" xfId="5854"/>
    <cellStyle name="Normal 40" xfId="5855"/>
    <cellStyle name="Normal 41" xfId="5856"/>
    <cellStyle name="Normal 42" xfId="5857"/>
    <cellStyle name="Normal 43" xfId="5858"/>
    <cellStyle name="Normal 44" xfId="5859"/>
    <cellStyle name="Normal 45" xfId="5860"/>
    <cellStyle name="Normal 46" xfId="5861"/>
    <cellStyle name="Normal 47" xfId="5862"/>
    <cellStyle name="Normal 48" xfId="5863"/>
    <cellStyle name="Normal 49" xfId="5864"/>
    <cellStyle name="Normal 5" xfId="5865"/>
    <cellStyle name="Normal 5 2" xfId="5866"/>
    <cellStyle name="Normal 5 2 2" xfId="5867"/>
    <cellStyle name="Normal 5 2 3" xfId="5868"/>
    <cellStyle name="Normal 5 3" xfId="5869"/>
    <cellStyle name="Normal 5_Bieu 14-Nong thon moi" xfId="5870"/>
    <cellStyle name="Normal 50" xfId="5871"/>
    <cellStyle name="Normal 51" xfId="5872"/>
    <cellStyle name="Normal 52" xfId="5873"/>
    <cellStyle name="Normal 53" xfId="5874"/>
    <cellStyle name="Normal 54" xfId="5875"/>
    <cellStyle name="Normal 55" xfId="5876"/>
    <cellStyle name="Normal 56" xfId="5877"/>
    <cellStyle name="Normal 57" xfId="5878"/>
    <cellStyle name="Normal 58" xfId="5879"/>
    <cellStyle name="Normal 59" xfId="5880"/>
    <cellStyle name="Normal 6" xfId="5881"/>
    <cellStyle name="Normal 6 2" xfId="5882"/>
    <cellStyle name="Normal 6 3" xfId="5883"/>
    <cellStyle name="Normal 6 4" xfId="5884"/>
    <cellStyle name="Normal 6_TPCP trinh UBND ngay 27-12" xfId="5885"/>
    <cellStyle name="Normal 60" xfId="5886"/>
    <cellStyle name="Normal 61" xfId="5887"/>
    <cellStyle name="Normal 62" xfId="5888"/>
    <cellStyle name="Normal 63" xfId="5889"/>
    <cellStyle name="Normal 64" xfId="5890"/>
    <cellStyle name="Normal 65" xfId="5891"/>
    <cellStyle name="Normal 66" xfId="5892"/>
    <cellStyle name="Normal 67" xfId="5893"/>
    <cellStyle name="Normal 68" xfId="5894"/>
    <cellStyle name="Normal 69" xfId="5895"/>
    <cellStyle name="Normal 7" xfId="5896"/>
    <cellStyle name="Normal 7 2" xfId="5897"/>
    <cellStyle name="Normal 7 2 2" xfId="5898"/>
    <cellStyle name="Normal 7 3" xfId="5899"/>
    <cellStyle name="Normal 7 4" xfId="5900"/>
    <cellStyle name="Normal 7 5" xfId="5901"/>
    <cellStyle name="Normal 7 6" xfId="5902"/>
    <cellStyle name="Normal 70" xfId="5903"/>
    <cellStyle name="Normal 71" xfId="5904"/>
    <cellStyle name="Normal 72" xfId="5905"/>
    <cellStyle name="Normal 73" xfId="5906"/>
    <cellStyle name="Normal 74" xfId="11"/>
    <cellStyle name="Normal 75" xfId="5907"/>
    <cellStyle name="Normal 76" xfId="5908"/>
    <cellStyle name="Normal 77" xfId="5909"/>
    <cellStyle name="Normal 78" xfId="10993"/>
    <cellStyle name="Normal 79" xfId="5910"/>
    <cellStyle name="Normal 8" xfId="5911"/>
    <cellStyle name="Normal 8 2" xfId="5912"/>
    <cellStyle name="Normal 8 2 2" xfId="5913"/>
    <cellStyle name="Normal 8 3" xfId="5914"/>
    <cellStyle name="Normal 8 4" xfId="5915"/>
    <cellStyle name="Normal 8 5" xfId="5916"/>
    <cellStyle name="Normal 8 6" xfId="5917"/>
    <cellStyle name="Normal 80" xfId="5918"/>
    <cellStyle name="Normal 9" xfId="5919"/>
    <cellStyle name="Normal 9 2" xfId="5920"/>
    <cellStyle name="Normal 9 2 2" xfId="5921"/>
    <cellStyle name="Normal 9 3" xfId="5922"/>
    <cellStyle name="Normal 9_BieuHD2016-2020Tquang2(OK)" xfId="5923"/>
    <cellStyle name="Normal VN" xfId="5924"/>
    <cellStyle name="Normal_Bieu mau (CV ) 2" xfId="18"/>
    <cellStyle name="Normal_Bieu mau (CV ) 2 2" xfId="5925"/>
    <cellStyle name="Normal_CV10-BCDTƯ-Phụ Biểu-CapXa" xfId="10998"/>
    <cellStyle name="Normal_Nam Han" xfId="19"/>
    <cellStyle name="Normal_Sheet1" xfId="3"/>
    <cellStyle name="Normal_Sheet1 2" xfId="5926"/>
    <cellStyle name="Normal_Sheet1 2 2" xfId="10997"/>
    <cellStyle name="Normal_Sheet2 2" xfId="10996"/>
    <cellStyle name="Normal1" xfId="5927"/>
    <cellStyle name="Normal1 2" xfId="5928"/>
    <cellStyle name="Normal1 3" xfId="5929"/>
    <cellStyle name="Normal8" xfId="5930"/>
    <cellStyle name="Normal8 2" xfId="5931"/>
    <cellStyle name="Normale_ PESO ELETTR." xfId="5932"/>
    <cellStyle name="Normalny_Cennik obowiazuje od 06-08-2001 r (1)" xfId="5933"/>
    <cellStyle name="Note 2" xfId="5934"/>
    <cellStyle name="Note 2 2" xfId="5935"/>
    <cellStyle name="Note 2 3" xfId="5936"/>
    <cellStyle name="Note 3" xfId="5937"/>
    <cellStyle name="Note 4" xfId="5938"/>
    <cellStyle name="NWM" xfId="5939"/>
    <cellStyle name="NWM 2" xfId="5940"/>
    <cellStyle name="nga" xfId="5747"/>
    <cellStyle name="nga 2" xfId="5748"/>
    <cellStyle name="Ò_x000d_Normal_123569" xfId="5941"/>
    <cellStyle name="Œ…‹æØ‚è [0.00]_ÆÂ¹²" xfId="5942"/>
    <cellStyle name="Œ…‹æØ‚è_laroux" xfId="5943"/>
    <cellStyle name="oft Excel]_x000d__x000a_Comment=open=/f ‚ðw’è‚·‚é‚ÆAƒ†[ƒU[’è‹`ŠÖ”‚ðŠÖ”“\‚è•t‚¯‚Ìˆê——‚É“o˜^‚·‚é‚±‚Æ‚ª‚Å‚«‚Ü‚·B_x000d__x000a_Maximized" xfId="5944"/>
    <cellStyle name="oft Excel]_x000d__x000a_Comment=open=/f ‚ðw’è‚·‚é‚ÆAƒ†[ƒU[’è‹`ŠÖ”‚ðŠÖ”“\‚è•t‚¯‚Ìˆê——‚É“o˜^‚·‚é‚±‚Æ‚ª‚Å‚«‚Ü‚·B_x000d__x000a_Maximized 2" xfId="5945"/>
    <cellStyle name="oft Excel]_x000d__x000a_Comment=open=/f ‚ðw’è‚·‚é‚ÆAƒ†[ƒU[’è‹`ŠÖ”‚ðŠÖ”“\‚è•t‚¯‚Ìˆê——‚É“o˜^‚·‚é‚±‚Æ‚ª‚Å‚«‚Ü‚·B_x000d__x000a_Maximized 3" xfId="5946"/>
    <cellStyle name="oft Excel]_x000d__x000a_Comment=open=/f ‚ðŽw’è‚·‚é‚ÆAƒ†[ƒU[’è‹`ŠÖ”‚ðŠÖ”“\‚è•t‚¯‚Ìˆê——‚É“o˜^‚·‚é‚±‚Æ‚ª‚Å‚«‚Ü‚·B_x000d__x000a_Maximized" xfId="5947"/>
    <cellStyle name="oft Excel]_x000d__x000a_Comment=open=/f ‚ðŽw’è‚·‚é‚ÆAƒ†[ƒU[’è‹`ŠÖ”‚ðŠÖ”“\‚è•t‚¯‚Ìˆê——‚É“o˜^‚·‚é‚±‚Æ‚ª‚Å‚«‚Ü‚·B_x000d__x000a_Maximized 2" xfId="5948"/>
    <cellStyle name="oft Excel]_x000d__x000a_Comment=open=/f ‚ðŽw’è‚·‚é‚ÆAƒ†[ƒU[’è‹`ŠÖ”‚ðŠÖ”“\‚è•t‚¯‚Ìˆê——‚É“o˜^‚·‚é‚±‚Æ‚ª‚Å‚«‚Ü‚·B_x000d__x000a_Maximized 2 2" xfId="5949"/>
    <cellStyle name="oft Excel]_x000d__x000a_Comment=open=/f ‚ðŽw’è‚·‚é‚ÆAƒ†[ƒU[’è‹`ŠÖ”‚ðŠÖ”“\‚è•t‚¯‚Ìˆê——‚É“o˜^‚·‚é‚±‚Æ‚ª‚Å‚«‚Ü‚·B_x000d__x000a_Maximized 3" xfId="5950"/>
    <cellStyle name="oft Excel]_x000d__x000a_Comment=The open=/f lines load custom functions into the Paste Function list._x000d__x000a_Maximized=2_x000d__x000a_Basics=1_x000d__x000a_A" xfId="5951"/>
    <cellStyle name="oft Excel]_x000d__x000a_Comment=The open=/f lines load custom functions into the Paste Function list._x000d__x000a_Maximized=2_x000d__x000a_Basics=1_x000d__x000a_A 2" xfId="5952"/>
    <cellStyle name="oft Excel]_x000d__x000a_Comment=The open=/f lines load custom functions into the Paste Function list._x000d__x000a_Maximized=2_x000d__x000a_Basics=1_x000d__x000a_A 3" xfId="5953"/>
    <cellStyle name="oft Excel]_x000d__x000a_Comment=The open=/f lines load custom functions into the Paste Function list._x000d__x000a_Maximized=3_x000d__x000a_Basics=1_x000d__x000a_A" xfId="5954"/>
    <cellStyle name="oft Excel]_x000d__x000a_Comment=The open=/f lines load custom functions into the Paste Function list._x000d__x000a_Maximized=3_x000d__x000a_Basics=1_x000d__x000a_A 2" xfId="5955"/>
    <cellStyle name="oft Excel]_x000d__x000a_Comment=The open=/f lines load custom functions into the Paste Function list._x000d__x000a_Maximized=3_x000d__x000a_Basics=1_x000d__x000a_A 2 2" xfId="5956"/>
    <cellStyle name="oft Excel]_x000d__x000a_Comment=The open=/f lines load custom functions into the Paste Function list._x000d__x000a_Maximized=3_x000d__x000a_Basics=1_x000d__x000a_A 3" xfId="5957"/>
    <cellStyle name="omma [0]_Mktg Prog" xfId="5958"/>
    <cellStyle name="ormal_Sheet1_1" xfId="5959"/>
    <cellStyle name="Output 2" xfId="5960"/>
    <cellStyle name="Output 2 2" xfId="5961"/>
    <cellStyle name="Output 2 3" xfId="5962"/>
    <cellStyle name="Output 3" xfId="5963"/>
    <cellStyle name="Output 4" xfId="5964"/>
    <cellStyle name="p" xfId="5965"/>
    <cellStyle name="p 2" xfId="5966"/>
    <cellStyle name="paint" xfId="5967"/>
    <cellStyle name="paint 2" xfId="5968"/>
    <cellStyle name="Pattern" xfId="5969"/>
    <cellStyle name="Pattern 2" xfId="5970"/>
    <cellStyle name="Pattern 2 2" xfId="5971"/>
    <cellStyle name="Pattern 3" xfId="5972"/>
    <cellStyle name="per.style" xfId="5973"/>
    <cellStyle name="per.style 2" xfId="5974"/>
    <cellStyle name="Percent [0]" xfId="5975"/>
    <cellStyle name="Percent [0] 2" xfId="5976"/>
    <cellStyle name="Percent [0] 2 2" xfId="5977"/>
    <cellStyle name="Percent [0] 3" xfId="5978"/>
    <cellStyle name="Percent [00]" xfId="5979"/>
    <cellStyle name="Percent [00] 2" xfId="5980"/>
    <cellStyle name="Percent [00] 2 2" xfId="5981"/>
    <cellStyle name="Percent [00] 3" xfId="5982"/>
    <cellStyle name="Percent [2]" xfId="5983"/>
    <cellStyle name="Percent [2] 2" xfId="5984"/>
    <cellStyle name="Percent [2] 2 2" xfId="5985"/>
    <cellStyle name="Percent [2] 3" xfId="5986"/>
    <cellStyle name="Percent 2" xfId="5987"/>
    <cellStyle name="Percent 2 2" xfId="5988"/>
    <cellStyle name="Percent 3" xfId="5989"/>
    <cellStyle name="Percent 4" xfId="5990"/>
    <cellStyle name="Percent 5" xfId="5991"/>
    <cellStyle name="Percent 5 2" xfId="5992"/>
    <cellStyle name="PERCENTAGE" xfId="5993"/>
    <cellStyle name="PERCENTAGE 2" xfId="5994"/>
    <cellStyle name="PERCENTAGE 2 2" xfId="5995"/>
    <cellStyle name="PERCENTAGE 3" xfId="5996"/>
    <cellStyle name="PrePop Currency (0)" xfId="5997"/>
    <cellStyle name="PrePop Currency (0) 2" xfId="5998"/>
    <cellStyle name="PrePop Currency (0) 2 2" xfId="5999"/>
    <cellStyle name="PrePop Currency (0) 3" xfId="6000"/>
    <cellStyle name="PrePop Currency (2)" xfId="6001"/>
    <cellStyle name="PrePop Currency (2) 2" xfId="6002"/>
    <cellStyle name="PrePop Units (0)" xfId="6003"/>
    <cellStyle name="PrePop Units (0) 2" xfId="6004"/>
    <cellStyle name="PrePop Units (1)" xfId="6005"/>
    <cellStyle name="PrePop Units (1) 2" xfId="6006"/>
    <cellStyle name="PrePop Units (2)" xfId="6007"/>
    <cellStyle name="PrePop Units (2) 2" xfId="6008"/>
    <cellStyle name="pricing" xfId="6009"/>
    <cellStyle name="pricing 2" xfId="6010"/>
    <cellStyle name="PSChar" xfId="6011"/>
    <cellStyle name="PSChar 2" xfId="6012"/>
    <cellStyle name="PSChar 3" xfId="6013"/>
    <cellStyle name="PSHeading" xfId="6014"/>
    <cellStyle name="PSHeading 2" xfId="6015"/>
    <cellStyle name="PSHeading 2 2" xfId="6016"/>
    <cellStyle name="PSHeading 3" xfId="6017"/>
    <cellStyle name="Quantity" xfId="6018"/>
    <cellStyle name="regstoresfromspecstores" xfId="6019"/>
    <cellStyle name="regstoresfromspecstores 2" xfId="6020"/>
    <cellStyle name="RevList" xfId="6021"/>
    <cellStyle name="RevList 2" xfId="6022"/>
    <cellStyle name="RevList 3" xfId="6023"/>
    <cellStyle name="RevList 4" xfId="6024"/>
    <cellStyle name="rlink_tiªn l­în_x001b_Hyperlink_TONG HOP KINH PHI" xfId="6025"/>
    <cellStyle name="rmal_ADAdot" xfId="6026"/>
    <cellStyle name="RowLevel_0" xfId="6027"/>
    <cellStyle name="S—_x0008_" xfId="6028"/>
    <cellStyle name="S—_x0008_ 2" xfId="6029"/>
    <cellStyle name="s]_x000d__x000a_spooler=yes_x000d__x000a_load=_x000d__x000a_Beep=yes_x000d__x000a_NullPort=None_x000d__x000a_BorderWidth=3_x000d__x000a_CursorBlinkRate=1200_x000d__x000a_DoubleClickSpeed=452_x000d__x000a_Programs=co" xfId="6030"/>
    <cellStyle name="s]_x000d__x000a_spooler=yes_x000d__x000a_load=_x000d__x000a_Beep=yes_x000d__x000a_NullPort=None_x000d__x000a_BorderWidth=3_x000d__x000a_CursorBlinkRate=1200_x000d__x000a_DoubleClickSpeed=452_x000d__x000a_Programs=co 2" xfId="6031"/>
    <cellStyle name="s]_x000d__x000a_spooler=yes_x000d__x000a_load=_x000d__x000a_Beep=yes_x000d__x000a_NullPort=None_x000d__x000a_BorderWidth=3_x000d__x000a_CursorBlinkRate=1200_x000d__x000a_DoubleClickSpeed=452_x000d__x000a_Programs=co 2 2" xfId="6032"/>
    <cellStyle name="s]_x000d__x000a_spooler=yes_x000d__x000a_load=_x000d__x000a_Beep=yes_x000d__x000a_NullPort=None_x000d__x000a_BorderWidth=3_x000d__x000a_CursorBlinkRate=1200_x000d__x000a_DoubleClickSpeed=452_x000d__x000a_Programs=co 3" xfId="6033"/>
    <cellStyle name="SAPBEXaggData" xfId="6034"/>
    <cellStyle name="SAPBEXaggData 2" xfId="6035"/>
    <cellStyle name="SAPBEXaggDataEmph" xfId="6036"/>
    <cellStyle name="SAPBEXaggDataEmph 2" xfId="6037"/>
    <cellStyle name="SAPBEXaggItem" xfId="6038"/>
    <cellStyle name="SAPBEXaggItem 2" xfId="6039"/>
    <cellStyle name="SAPBEXaggItem 3" xfId="6040"/>
    <cellStyle name="SAPBEXchaText" xfId="6041"/>
    <cellStyle name="SAPBEXchaText 2" xfId="6042"/>
    <cellStyle name="SAPBEXchaText 3" xfId="6043"/>
    <cellStyle name="SAPBEXexcBad7" xfId="6044"/>
    <cellStyle name="SAPBEXexcBad7 2" xfId="6045"/>
    <cellStyle name="SAPBEXexcBad8" xfId="6046"/>
    <cellStyle name="SAPBEXexcBad8 2" xfId="6047"/>
    <cellStyle name="SAPBEXexcBad9" xfId="6048"/>
    <cellStyle name="SAPBEXexcBad9 2" xfId="6049"/>
    <cellStyle name="SAPBEXexcCritical4" xfId="6050"/>
    <cellStyle name="SAPBEXexcCritical4 2" xfId="6051"/>
    <cellStyle name="SAPBEXexcCritical5" xfId="6052"/>
    <cellStyle name="SAPBEXexcCritical5 2" xfId="6053"/>
    <cellStyle name="SAPBEXexcCritical6" xfId="6054"/>
    <cellStyle name="SAPBEXexcCritical6 2" xfId="6055"/>
    <cellStyle name="SAPBEXexcCritical6 3" xfId="6056"/>
    <cellStyle name="SAPBEXexcGood1" xfId="6057"/>
    <cellStyle name="SAPBEXexcGood1 2" xfId="6058"/>
    <cellStyle name="SAPBEXexcGood2" xfId="6059"/>
    <cellStyle name="SAPBEXexcGood2 2" xfId="6060"/>
    <cellStyle name="SAPBEXexcGood3" xfId="6061"/>
    <cellStyle name="SAPBEXexcGood3 2" xfId="6062"/>
    <cellStyle name="SAPBEXfilterDrill" xfId="6063"/>
    <cellStyle name="SAPBEXfilterDrill 2" xfId="6064"/>
    <cellStyle name="SAPBEXfilterDrill 3" xfId="6065"/>
    <cellStyle name="SAPBEXfilterItem" xfId="6066"/>
    <cellStyle name="SAPBEXfilterItem 2" xfId="6067"/>
    <cellStyle name="SAPBEXfilterItem 3" xfId="6068"/>
    <cellStyle name="SAPBEXfilterText" xfId="6069"/>
    <cellStyle name="SAPBEXfilterText 2" xfId="6070"/>
    <cellStyle name="SAPBEXfilterText 3" xfId="6071"/>
    <cellStyle name="SAPBEXformats" xfId="6072"/>
    <cellStyle name="SAPBEXformats 2" xfId="6073"/>
    <cellStyle name="SAPBEXheaderItem" xfId="6074"/>
    <cellStyle name="SAPBEXheaderItem 2" xfId="6075"/>
    <cellStyle name="SAPBEXheaderItem 3" xfId="6076"/>
    <cellStyle name="SAPBEXheaderText" xfId="6077"/>
    <cellStyle name="SAPBEXheaderText 2" xfId="6078"/>
    <cellStyle name="SAPBEXheaderText 3" xfId="6079"/>
    <cellStyle name="SAPBEXresData" xfId="6080"/>
    <cellStyle name="SAPBEXresData 2" xfId="6081"/>
    <cellStyle name="SAPBEXresDataEmph" xfId="6082"/>
    <cellStyle name="SAPBEXresDataEmph 2" xfId="6083"/>
    <cellStyle name="SAPBEXresItem" xfId="6084"/>
    <cellStyle name="SAPBEXresItem 2" xfId="6085"/>
    <cellStyle name="SAPBEXresItem 3" xfId="6086"/>
    <cellStyle name="SAPBEXstdData" xfId="6087"/>
    <cellStyle name="SAPBEXstdData 2" xfId="6088"/>
    <cellStyle name="SAPBEXstdDataEmph" xfId="6089"/>
    <cellStyle name="SAPBEXstdDataEmph 2" xfId="6090"/>
    <cellStyle name="SAPBEXstdItem" xfId="6091"/>
    <cellStyle name="SAPBEXstdItem 2" xfId="6092"/>
    <cellStyle name="SAPBEXstdItem 3" xfId="6093"/>
    <cellStyle name="SAPBEXtitle" xfId="6094"/>
    <cellStyle name="SAPBEXtitle 2" xfId="6095"/>
    <cellStyle name="SAPBEXtitle 3" xfId="6096"/>
    <cellStyle name="SAPBEXundefined" xfId="6097"/>
    <cellStyle name="SAPBEXundefined 2" xfId="6098"/>
    <cellStyle name="serJet 1200 Series PCL 6" xfId="6099"/>
    <cellStyle name="serJet 1200 Series PCL 6 2" xfId="6100"/>
    <cellStyle name="SHADEDSTORES" xfId="6101"/>
    <cellStyle name="SHADEDSTORES 2" xfId="6102"/>
    <cellStyle name="Sheet Title" xfId="6103"/>
    <cellStyle name="Siêu nối kết_BC TH 10 thang 2005 va KH 2006 XDCB" xfId="6104"/>
    <cellStyle name="songuyen" xfId="6105"/>
    <cellStyle name="Spaltenebene_1_主营业务利润明细表" xfId="6106"/>
    <cellStyle name="specstores" xfId="6107"/>
    <cellStyle name="specstores 2" xfId="6108"/>
    <cellStyle name="Standard_9. Fixed assets-Additions list" xfId="6109"/>
    <cellStyle name="STTDG" xfId="6110"/>
    <cellStyle name="STTDG 2" xfId="6111"/>
    <cellStyle name="style" xfId="6112"/>
    <cellStyle name="Style 1" xfId="10"/>
    <cellStyle name="Style 1 2" xfId="6"/>
    <cellStyle name="Style 1 2 2" xfId="6113"/>
    <cellStyle name="Style 1 2 3" xfId="6114"/>
    <cellStyle name="Style 1 4" xfId="6115"/>
    <cellStyle name="Style 1 4 2" xfId="6116"/>
    <cellStyle name="Style 10" xfId="6117"/>
    <cellStyle name="Style 10 2" xfId="6118"/>
    <cellStyle name="Style 11" xfId="6119"/>
    <cellStyle name="Style 11 2" xfId="6120"/>
    <cellStyle name="Style 11 3" xfId="6121"/>
    <cellStyle name="Style 12" xfId="6122"/>
    <cellStyle name="Style 12 2" xfId="6123"/>
    <cellStyle name="Style 12 2 2" xfId="6124"/>
    <cellStyle name="Style 12 3" xfId="6125"/>
    <cellStyle name="Style 13" xfId="6126"/>
    <cellStyle name="Style 13 2" xfId="6127"/>
    <cellStyle name="Style 13 2 2" xfId="6128"/>
    <cellStyle name="Style 13 3" xfId="6129"/>
    <cellStyle name="Style 14" xfId="6130"/>
    <cellStyle name="Style 14 2" xfId="6131"/>
    <cellStyle name="Style 14 3" xfId="6132"/>
    <cellStyle name="Style 15" xfId="6133"/>
    <cellStyle name="Style 15 2" xfId="6134"/>
    <cellStyle name="Style 15 2 2" xfId="6135"/>
    <cellStyle name="Style 15 3" xfId="6136"/>
    <cellStyle name="Style 16" xfId="6137"/>
    <cellStyle name="Style 16 2" xfId="6138"/>
    <cellStyle name="Style 16 2 2" xfId="6139"/>
    <cellStyle name="Style 16 3" xfId="6140"/>
    <cellStyle name="Style 17" xfId="6141"/>
    <cellStyle name="Style 17 2" xfId="6142"/>
    <cellStyle name="Style 17 2 2" xfId="6143"/>
    <cellStyle name="Style 17 3" xfId="6144"/>
    <cellStyle name="Style 18" xfId="6145"/>
    <cellStyle name="Style 18 2" xfId="6146"/>
    <cellStyle name="Style 18 2 2" xfId="6147"/>
    <cellStyle name="Style 18 3" xfId="6148"/>
    <cellStyle name="Style 19" xfId="6149"/>
    <cellStyle name="Style 19 2" xfId="6150"/>
    <cellStyle name="Style 19 2 2" xfId="6151"/>
    <cellStyle name="Style 19 3" xfId="6152"/>
    <cellStyle name="Style 2" xfId="6153"/>
    <cellStyle name="Style 2 2" xfId="6154"/>
    <cellStyle name="Style 2 3" xfId="6155"/>
    <cellStyle name="Style 20" xfId="6156"/>
    <cellStyle name="Style 20 2" xfId="6157"/>
    <cellStyle name="Style 20 3" xfId="6158"/>
    <cellStyle name="Style 21" xfId="6159"/>
    <cellStyle name="Style 21 2" xfId="6160"/>
    <cellStyle name="Style 21 3" xfId="6161"/>
    <cellStyle name="Style 22" xfId="6162"/>
    <cellStyle name="Style 22 2" xfId="6163"/>
    <cellStyle name="Style 22 3" xfId="6164"/>
    <cellStyle name="Style 23" xfId="6165"/>
    <cellStyle name="Style 23 2" xfId="6166"/>
    <cellStyle name="Style 24" xfId="6167"/>
    <cellStyle name="Style 24 2" xfId="6168"/>
    <cellStyle name="Style 25" xfId="6169"/>
    <cellStyle name="Style 25 2" xfId="6170"/>
    <cellStyle name="Style 26" xfId="6171"/>
    <cellStyle name="Style 26 2" xfId="6172"/>
    <cellStyle name="Style 27" xfId="6173"/>
    <cellStyle name="Style 27 2" xfId="6174"/>
    <cellStyle name="Style 28" xfId="6175"/>
    <cellStyle name="Style 28 2" xfId="6176"/>
    <cellStyle name="Style 29" xfId="6177"/>
    <cellStyle name="Style 29 2" xfId="6178"/>
    <cellStyle name="Style 3" xfId="6179"/>
    <cellStyle name="Style 3 2" xfId="6180"/>
    <cellStyle name="Style 3 2 2" xfId="6181"/>
    <cellStyle name="Style 3 3" xfId="6182"/>
    <cellStyle name="Style 3 4" xfId="6183"/>
    <cellStyle name="Style 30" xfId="6184"/>
    <cellStyle name="Style 30 2" xfId="6185"/>
    <cellStyle name="Style 31" xfId="6186"/>
    <cellStyle name="Style 31 2" xfId="6187"/>
    <cellStyle name="Style 32" xfId="6188"/>
    <cellStyle name="Style 32 2" xfId="6189"/>
    <cellStyle name="Style 33" xfId="6190"/>
    <cellStyle name="Style 33 2" xfId="6191"/>
    <cellStyle name="Style 34" xfId="6192"/>
    <cellStyle name="Style 34 2" xfId="6193"/>
    <cellStyle name="Style 35" xfId="6194"/>
    <cellStyle name="Style 35 2" xfId="6195"/>
    <cellStyle name="Style 36" xfId="6196"/>
    <cellStyle name="Style 36 2" xfId="6197"/>
    <cellStyle name="Style 37" xfId="6198"/>
    <cellStyle name="Style 37 2" xfId="6199"/>
    <cellStyle name="Style 37 3" xfId="6200"/>
    <cellStyle name="Style 38" xfId="6201"/>
    <cellStyle name="Style 38 2" xfId="6202"/>
    <cellStyle name="Style 38 3" xfId="6203"/>
    <cellStyle name="Style 39" xfId="6204"/>
    <cellStyle name="Style 39 2" xfId="6205"/>
    <cellStyle name="Style 4" xfId="6206"/>
    <cellStyle name="Style 4 2" xfId="6207"/>
    <cellStyle name="Style 4 2 2" xfId="6208"/>
    <cellStyle name="Style 4 3" xfId="6209"/>
    <cellStyle name="Style 40" xfId="6210"/>
    <cellStyle name="Style 40 2" xfId="6211"/>
    <cellStyle name="Style 41" xfId="6212"/>
    <cellStyle name="Style 41 2" xfId="6213"/>
    <cellStyle name="Style 42" xfId="6214"/>
    <cellStyle name="Style 42 2" xfId="6215"/>
    <cellStyle name="Style 43" xfId="6216"/>
    <cellStyle name="Style 43 2" xfId="6217"/>
    <cellStyle name="Style 43 3" xfId="6218"/>
    <cellStyle name="Style 44" xfId="6219"/>
    <cellStyle name="Style 44 2" xfId="6220"/>
    <cellStyle name="Style 44 3" xfId="6221"/>
    <cellStyle name="Style 45" xfId="6222"/>
    <cellStyle name="Style 46" xfId="6223"/>
    <cellStyle name="Style 47" xfId="6224"/>
    <cellStyle name="Style 48" xfId="6225"/>
    <cellStyle name="Style 49" xfId="6226"/>
    <cellStyle name="Style 5" xfId="6227"/>
    <cellStyle name="Style 5 2" xfId="6228"/>
    <cellStyle name="Style 50" xfId="6229"/>
    <cellStyle name="Style 51" xfId="6230"/>
    <cellStyle name="Style 52" xfId="6231"/>
    <cellStyle name="Style 53" xfId="6232"/>
    <cellStyle name="Style 54" xfId="6233"/>
    <cellStyle name="Style 55" xfId="6234"/>
    <cellStyle name="Style 56" xfId="6235"/>
    <cellStyle name="Style 57" xfId="6236"/>
    <cellStyle name="Style 58" xfId="6237"/>
    <cellStyle name="Style 59" xfId="6238"/>
    <cellStyle name="Style 6" xfId="6239"/>
    <cellStyle name="Style 6 2" xfId="6240"/>
    <cellStyle name="Style 60" xfId="6241"/>
    <cellStyle name="Style 61" xfId="6242"/>
    <cellStyle name="Style 62" xfId="6243"/>
    <cellStyle name="Style 63" xfId="6244"/>
    <cellStyle name="Style 64" xfId="6245"/>
    <cellStyle name="Style 65" xfId="6246"/>
    <cellStyle name="Style 66" xfId="6247"/>
    <cellStyle name="Style 67" xfId="6248"/>
    <cellStyle name="Style 68" xfId="6249"/>
    <cellStyle name="Style 69" xfId="6250"/>
    <cellStyle name="Style 7" xfId="6251"/>
    <cellStyle name="Style 7 2" xfId="6252"/>
    <cellStyle name="Style 70" xfId="6253"/>
    <cellStyle name="Style 71" xfId="6254"/>
    <cellStyle name="Style 72" xfId="6255"/>
    <cellStyle name="Style 73" xfId="6256"/>
    <cellStyle name="Style 74" xfId="6257"/>
    <cellStyle name="Style 8" xfId="6258"/>
    <cellStyle name="Style 8 2" xfId="6259"/>
    <cellStyle name="Style 9" xfId="6260"/>
    <cellStyle name="Style 9 2" xfId="6261"/>
    <cellStyle name="Style Date" xfId="6262"/>
    <cellStyle name="Style Date 2" xfId="6263"/>
    <cellStyle name="Style Date 3" xfId="6264"/>
    <cellStyle name="style_1" xfId="6265"/>
    <cellStyle name="subhead" xfId="6266"/>
    <cellStyle name="subhead 2" xfId="6267"/>
    <cellStyle name="subhead 3" xfId="6268"/>
    <cellStyle name="SubHeading" xfId="6269"/>
    <cellStyle name="SubHeading 2" xfId="6270"/>
    <cellStyle name="Subtotal" xfId="6271"/>
    <cellStyle name="Subtotal 2" xfId="6272"/>
    <cellStyle name="Subtotal 3" xfId="6273"/>
    <cellStyle name="symbol" xfId="6274"/>
    <cellStyle name="T" xfId="6275"/>
    <cellStyle name="T 2" xfId="6276"/>
    <cellStyle name="T 3" xfId="6277"/>
    <cellStyle name="T_09_BangTongHopKinhPhiNhaso9" xfId="6278"/>
    <cellStyle name="T_09_BangTongHopKinhPhiNhaso9 2" xfId="6279"/>
    <cellStyle name="T_09_BangTongHopKinhPhiNhaso9_Bao cao danh muc cac cong trinh tren dia ban huyen 4-2010" xfId="6280"/>
    <cellStyle name="T_09_BangTongHopKinhPhiNhaso9_Bao cao danh muc cac cong trinh tren dia ban huyen 4-2010 2" xfId="6281"/>
    <cellStyle name="T_09_BangTongHopKinhPhiNhaso9_Bieu chi tieu KH 2014 (Huy-04-11)" xfId="6282"/>
    <cellStyle name="T_09_BangTongHopKinhPhiNhaso9_Bieu chi tieu KH 2014 (Huy-04-11) 2" xfId="6283"/>
    <cellStyle name="T_09_BangTongHopKinhPhiNhaso9_bieu ke hoach dau thau" xfId="6284"/>
    <cellStyle name="T_09_BangTongHopKinhPhiNhaso9_bieu ke hoach dau thau 2" xfId="6285"/>
    <cellStyle name="T_09_BangTongHopKinhPhiNhaso9_bieu ke hoach dau thau 2 2" xfId="6286"/>
    <cellStyle name="T_09_BangTongHopKinhPhiNhaso9_bieu ke hoach dau thau 3" xfId="6287"/>
    <cellStyle name="T_09_BangTongHopKinhPhiNhaso9_bieu ke hoach dau thau truong mam non SKH" xfId="6288"/>
    <cellStyle name="T_09_BangTongHopKinhPhiNhaso9_bieu ke hoach dau thau truong mam non SKH 2" xfId="6289"/>
    <cellStyle name="T_09_BangTongHopKinhPhiNhaso9_bieu ke hoach dau thau truong mam non SKH 2 2" xfId="6290"/>
    <cellStyle name="T_09_BangTongHopKinhPhiNhaso9_bieu ke hoach dau thau truong mam non SKH 3" xfId="6291"/>
    <cellStyle name="T_09_BangTongHopKinhPhiNhaso9_bieu ke hoach dau thau truong mam non SKH_BIEU KE HOACH  2015 (KTN 6.11 sua)" xfId="6292"/>
    <cellStyle name="T_09_BangTongHopKinhPhiNhaso9_bieu ke hoach dau thau_BIEU KE HOACH  2015 (KTN 6.11 sua)" xfId="6293"/>
    <cellStyle name="T_09_BangTongHopKinhPhiNhaso9_bieu tong hop lai kh von 2011 gui phong TH-KTDN" xfId="6294"/>
    <cellStyle name="T_09_BangTongHopKinhPhiNhaso9_bieu tong hop lai kh von 2011 gui phong TH-KTDN 2" xfId="6295"/>
    <cellStyle name="T_09_BangTongHopKinhPhiNhaso9_bieu tong hop lai kh von 2011 gui phong TH-KTDN 2 2" xfId="6296"/>
    <cellStyle name="T_09_BangTongHopKinhPhiNhaso9_bieu tong hop lai kh von 2011 gui phong TH-KTDN 3" xfId="6297"/>
    <cellStyle name="T_09_BangTongHopKinhPhiNhaso9_bieu tong hop lai kh von 2011 gui phong TH-KTDN_BIEU KE HOACH  2015 (KTN 6.11 sua)" xfId="6298"/>
    <cellStyle name="T_09_BangTongHopKinhPhiNhaso9_Book1" xfId="6299"/>
    <cellStyle name="T_09_BangTongHopKinhPhiNhaso9_Book1 2" xfId="6300"/>
    <cellStyle name="T_09_BangTongHopKinhPhiNhaso9_Book1 2 2" xfId="6301"/>
    <cellStyle name="T_09_BangTongHopKinhPhiNhaso9_Book1 3" xfId="6302"/>
    <cellStyle name="T_09_BangTongHopKinhPhiNhaso9_Book1_1" xfId="6303"/>
    <cellStyle name="T_09_BangTongHopKinhPhiNhaso9_Book1_1 2" xfId="6304"/>
    <cellStyle name="T_09_BangTongHopKinhPhiNhaso9_Book1_1 2 2" xfId="6305"/>
    <cellStyle name="T_09_BangTongHopKinhPhiNhaso9_Book1_1 3" xfId="6306"/>
    <cellStyle name="T_09_BangTongHopKinhPhiNhaso9_Book1_1_BIEU KE HOACH  2015 (KTN 6.11 sua)" xfId="6307"/>
    <cellStyle name="T_09_BangTongHopKinhPhiNhaso9_Book1_BIEU KE HOACH  2015 (KTN 6.11 sua)" xfId="6308"/>
    <cellStyle name="T_09_BangTongHopKinhPhiNhaso9_Book1_DTTD chieng chan Tham lai 29-9-2009" xfId="6309"/>
    <cellStyle name="T_09_BangTongHopKinhPhiNhaso9_Book1_DTTD chieng chan Tham lai 29-9-2009 2" xfId="6310"/>
    <cellStyle name="T_09_BangTongHopKinhPhiNhaso9_Book1_DTTD chieng chan Tham lai 29-9-2009 2 2" xfId="6311"/>
    <cellStyle name="T_09_BangTongHopKinhPhiNhaso9_Book1_DTTD chieng chan Tham lai 29-9-2009 3" xfId="6312"/>
    <cellStyle name="T_09_BangTongHopKinhPhiNhaso9_Book1_DTTD chieng chan Tham lai 29-9-2009_BIEU KE HOACH  2015 (KTN 6.11 sua)" xfId="6313"/>
    <cellStyle name="T_09_BangTongHopKinhPhiNhaso9_Book1_Ke hoach 2010 (theo doi 11-8-2010)" xfId="6314"/>
    <cellStyle name="T_09_BangTongHopKinhPhiNhaso9_Book1_Ke hoach 2010 (theo doi 11-8-2010) 2" xfId="6315"/>
    <cellStyle name="T_09_BangTongHopKinhPhiNhaso9_Book1_Ke hoach 2010 (theo doi 11-8-2010) 2 2" xfId="6316"/>
    <cellStyle name="T_09_BangTongHopKinhPhiNhaso9_Book1_Ke hoach 2010 (theo doi 11-8-2010) 3" xfId="6317"/>
    <cellStyle name="T_09_BangTongHopKinhPhiNhaso9_Book1_Ke hoach 2010 (theo doi 11-8-2010)_BIEU KE HOACH  2015 (KTN 6.11 sua)" xfId="6318"/>
    <cellStyle name="T_09_BangTongHopKinhPhiNhaso9_Book1_ke hoach dau thau 30-6-2010" xfId="6319"/>
    <cellStyle name="T_09_BangTongHopKinhPhiNhaso9_Book1_ke hoach dau thau 30-6-2010 2" xfId="6320"/>
    <cellStyle name="T_09_BangTongHopKinhPhiNhaso9_Book1_ke hoach dau thau 30-6-2010 2 2" xfId="6321"/>
    <cellStyle name="T_09_BangTongHopKinhPhiNhaso9_Book1_ke hoach dau thau 30-6-2010 3" xfId="6322"/>
    <cellStyle name="T_09_BangTongHopKinhPhiNhaso9_Book1_ke hoach dau thau 30-6-2010_BIEU KE HOACH  2015 (KTN 6.11 sua)" xfId="6323"/>
    <cellStyle name="T_09_BangTongHopKinhPhiNhaso9_Copy of KH PHAN BO VON ĐỐI ỨNG NAM 2011 (30 TY phuong án gop WB)" xfId="6324"/>
    <cellStyle name="T_09_BangTongHopKinhPhiNhaso9_Copy of KH PHAN BO VON ĐỐI ỨNG NAM 2011 (30 TY phuong án gop WB) 2" xfId="6325"/>
    <cellStyle name="T_09_BangTongHopKinhPhiNhaso9_Copy of KH PHAN BO VON ĐỐI ỨNG NAM 2011 (30 TY phuong án gop WB) 2 2" xfId="6326"/>
    <cellStyle name="T_09_BangTongHopKinhPhiNhaso9_Copy of KH PHAN BO VON ĐỐI ỨNG NAM 2011 (30 TY phuong án gop WB) 3" xfId="6327"/>
    <cellStyle name="T_09_BangTongHopKinhPhiNhaso9_Copy of KH PHAN BO VON ĐỐI ỨNG NAM 2011 (30 TY phuong án gop WB)_BIEU KE HOACH  2015 (KTN 6.11 sua)" xfId="6328"/>
    <cellStyle name="T_09_BangTongHopKinhPhiNhaso9_DTTD chieng chan Tham lai 29-9-2009" xfId="6329"/>
    <cellStyle name="T_09_BangTongHopKinhPhiNhaso9_DTTD chieng chan Tham lai 29-9-2009 2" xfId="6330"/>
    <cellStyle name="T_09_BangTongHopKinhPhiNhaso9_DTTD chieng chan Tham lai 29-9-2009 2 2" xfId="6331"/>
    <cellStyle name="T_09_BangTongHopKinhPhiNhaso9_DTTD chieng chan Tham lai 29-9-2009 3" xfId="6332"/>
    <cellStyle name="T_09_BangTongHopKinhPhiNhaso9_DTTD chieng chan Tham lai 29-9-2009_BIEU KE HOACH  2015 (KTN 6.11 sua)" xfId="6333"/>
    <cellStyle name="T_09_BangTongHopKinhPhiNhaso9_Du toan nuoc San Thang (GD2)" xfId="6335"/>
    <cellStyle name="T_09_BangTongHopKinhPhiNhaso9_Du toan nuoc San Thang (GD2) 2" xfId="6336"/>
    <cellStyle name="T_09_BangTongHopKinhPhiNhaso9_Du toan nuoc San Thang (GD2) 2 2" xfId="6337"/>
    <cellStyle name="T_09_BangTongHopKinhPhiNhaso9_Du toan nuoc San Thang (GD2) 3" xfId="6338"/>
    <cellStyle name="T_09_BangTongHopKinhPhiNhaso9_Du toan nuoc San Thang (GD2)_BIEU KE HOACH  2015 (KTN 6.11 sua)" xfId="6339"/>
    <cellStyle name="T_09_BangTongHopKinhPhiNhaso9_dự toán 30a 2013" xfId="6334"/>
    <cellStyle name="T_09_BangTongHopKinhPhiNhaso9_Ke hoach 2010 (theo doi 11-8-2010)" xfId="6340"/>
    <cellStyle name="T_09_BangTongHopKinhPhiNhaso9_Ke hoach 2010 (theo doi 11-8-2010) 2" xfId="6341"/>
    <cellStyle name="T_09_BangTongHopKinhPhiNhaso9_Ke hoach 2010 (theo doi 11-8-2010) 2 2" xfId="6342"/>
    <cellStyle name="T_09_BangTongHopKinhPhiNhaso9_Ke hoach 2010 (theo doi 11-8-2010) 3" xfId="6343"/>
    <cellStyle name="T_09_BangTongHopKinhPhiNhaso9_Ke hoach 2010 (theo doi 11-8-2010)_BIEU KE HOACH  2015 (KTN 6.11 sua)" xfId="6344"/>
    <cellStyle name="T_09_BangTongHopKinhPhiNhaso9_ke hoach dau thau 30-6-2010" xfId="6345"/>
    <cellStyle name="T_09_BangTongHopKinhPhiNhaso9_ke hoach dau thau 30-6-2010 2" xfId="6346"/>
    <cellStyle name="T_09_BangTongHopKinhPhiNhaso9_ke hoach dau thau 30-6-2010 2 2" xfId="6347"/>
    <cellStyle name="T_09_BangTongHopKinhPhiNhaso9_ke hoach dau thau 30-6-2010 3" xfId="6348"/>
    <cellStyle name="T_09_BangTongHopKinhPhiNhaso9_ke hoach dau thau 30-6-2010_BIEU KE HOACH  2015 (KTN 6.11 sua)" xfId="6349"/>
    <cellStyle name="T_09_BangTongHopKinhPhiNhaso9_KH Von 2012 gui BKH 1" xfId="6350"/>
    <cellStyle name="T_09_BangTongHopKinhPhiNhaso9_KH Von 2012 gui BKH 1 2" xfId="6351"/>
    <cellStyle name="T_09_BangTongHopKinhPhiNhaso9_KH Von 2012 gui BKH 1 2 2" xfId="6352"/>
    <cellStyle name="T_09_BangTongHopKinhPhiNhaso9_KH Von 2012 gui BKH 1 3" xfId="6353"/>
    <cellStyle name="T_09_BangTongHopKinhPhiNhaso9_KH Von 2012 gui BKH 1_BIEU KE HOACH  2015 (KTN 6.11 sua)" xfId="6354"/>
    <cellStyle name="T_09_BangTongHopKinhPhiNhaso9_QD ke hoach dau thau" xfId="6355"/>
    <cellStyle name="T_09_BangTongHopKinhPhiNhaso9_QD ke hoach dau thau 2" xfId="6356"/>
    <cellStyle name="T_09_BangTongHopKinhPhiNhaso9_QD ke hoach dau thau 2 2" xfId="6357"/>
    <cellStyle name="T_09_BangTongHopKinhPhiNhaso9_QD ke hoach dau thau 3" xfId="6358"/>
    <cellStyle name="T_09_BangTongHopKinhPhiNhaso9_QD ke hoach dau thau_BIEU KE HOACH  2015 (KTN 6.11 sua)" xfId="6359"/>
    <cellStyle name="T_09_BangTongHopKinhPhiNhaso9_Ra soat KH von 2011 (Huy-11-11-11)" xfId="6360"/>
    <cellStyle name="T_09_BangTongHopKinhPhiNhaso9_Ra soat KH von 2011 (Huy-11-11-11) 2" xfId="6361"/>
    <cellStyle name="T_09_BangTongHopKinhPhiNhaso9_Ra soat KH von 2011 (Huy-11-11-11) 2 2" xfId="6362"/>
    <cellStyle name="T_09_BangTongHopKinhPhiNhaso9_Ra soat KH von 2011 (Huy-11-11-11) 3" xfId="6363"/>
    <cellStyle name="T_09_BangTongHopKinhPhiNhaso9_Ra soat KH von 2011 (Huy-11-11-11)_BIEU KE HOACH  2015 (KTN 6.11 sua)" xfId="6364"/>
    <cellStyle name="T_09_BangTongHopKinhPhiNhaso9_tien luong" xfId="6365"/>
    <cellStyle name="T_09_BangTongHopKinhPhiNhaso9_tien luong 2" xfId="6366"/>
    <cellStyle name="T_09_BangTongHopKinhPhiNhaso9_Tien luong chuan 01" xfId="6367"/>
    <cellStyle name="T_09_BangTongHopKinhPhiNhaso9_Tien luong chuan 01 2" xfId="6368"/>
    <cellStyle name="T_09_BangTongHopKinhPhiNhaso9_tinh toan hoang ha" xfId="6369"/>
    <cellStyle name="T_09_BangTongHopKinhPhiNhaso9_tinh toan hoang ha 2" xfId="6370"/>
    <cellStyle name="T_09_BangTongHopKinhPhiNhaso9_tinh toan hoang ha 2 2" xfId="6371"/>
    <cellStyle name="T_09_BangTongHopKinhPhiNhaso9_tinh toan hoang ha 3" xfId="6372"/>
    <cellStyle name="T_09_BangTongHopKinhPhiNhaso9_tinh toan hoang ha_BIEU KE HOACH  2015 (KTN 6.11 sua)" xfId="6373"/>
    <cellStyle name="T_09_BangTongHopKinhPhiNhaso9_Tong von ĐTPT" xfId="6374"/>
    <cellStyle name="T_09_BangTongHopKinhPhiNhaso9_Tong von ĐTPT 2" xfId="6375"/>
    <cellStyle name="T_09_BangTongHopKinhPhiNhaso9_Tong von ĐTPT 2 2" xfId="6376"/>
    <cellStyle name="T_09_BangTongHopKinhPhiNhaso9_Tong von ĐTPT 3" xfId="6377"/>
    <cellStyle name="T_09_BangTongHopKinhPhiNhaso9_Tong von ĐTPT_BIEU KE HOACH  2015 (KTN 6.11 sua)" xfId="6378"/>
    <cellStyle name="T_09_BangTongHopKinhPhiNhaso9_Viec Huy dang lam" xfId="6379"/>
    <cellStyle name="T_09_BangTongHopKinhPhiNhaso9_Viec Huy dang lam_CT 134" xfId="6380"/>
    <cellStyle name="T_09a_PhanMongNhaSo9" xfId="6381"/>
    <cellStyle name="T_09a_PhanMongNhaSo9 2" xfId="6382"/>
    <cellStyle name="T_09a_PhanMongNhaSo9_Bieu chi tieu KH 2014 (Huy-04-11)" xfId="6383"/>
    <cellStyle name="T_09a_PhanMongNhaSo9_Bieu chi tieu KH 2014 (Huy-04-11) 2" xfId="6384"/>
    <cellStyle name="T_09a_PhanMongNhaSo9_bieu ke hoach dau thau" xfId="6385"/>
    <cellStyle name="T_09a_PhanMongNhaSo9_bieu ke hoach dau thau 2" xfId="6386"/>
    <cellStyle name="T_09a_PhanMongNhaSo9_bieu ke hoach dau thau 3" xfId="6387"/>
    <cellStyle name="T_09a_PhanMongNhaSo9_bieu ke hoach dau thau truong mam non SKH" xfId="6388"/>
    <cellStyle name="T_09a_PhanMongNhaSo9_bieu ke hoach dau thau truong mam non SKH 2" xfId="6389"/>
    <cellStyle name="T_09a_PhanMongNhaSo9_bieu ke hoach dau thau truong mam non SKH 3" xfId="6390"/>
    <cellStyle name="T_09a_PhanMongNhaSo9_bieu ke hoach dau thau truong mam non SKH_BIEU KE HOACH  2015 (KTN 6.11 sua)" xfId="6391"/>
    <cellStyle name="T_09a_PhanMongNhaSo9_bieu ke hoach dau thau_BIEU KE HOACH  2015 (KTN 6.11 sua)" xfId="6392"/>
    <cellStyle name="T_09a_PhanMongNhaSo9_bieu tong hop lai kh von 2011 gui phong TH-KTDN" xfId="6393"/>
    <cellStyle name="T_09a_PhanMongNhaSo9_bieu tong hop lai kh von 2011 gui phong TH-KTDN 2" xfId="6394"/>
    <cellStyle name="T_09a_PhanMongNhaSo9_bieu tong hop lai kh von 2011 gui phong TH-KTDN 3" xfId="6395"/>
    <cellStyle name="T_09a_PhanMongNhaSo9_bieu tong hop lai kh von 2011 gui phong TH-KTDN_BIEU KE HOACH  2015 (KTN 6.11 sua)" xfId="6396"/>
    <cellStyle name="T_09a_PhanMongNhaSo9_Book1" xfId="6397"/>
    <cellStyle name="T_09a_PhanMongNhaSo9_Book1 2" xfId="6398"/>
    <cellStyle name="T_09a_PhanMongNhaSo9_Book1 3" xfId="6399"/>
    <cellStyle name="T_09a_PhanMongNhaSo9_Book1_BIEU KE HOACH  2015 (KTN 6.11 sua)" xfId="6400"/>
    <cellStyle name="T_09a_PhanMongNhaSo9_Book1_Ke hoach 2010 (theo doi 11-8-2010)" xfId="6401"/>
    <cellStyle name="T_09a_PhanMongNhaSo9_Book1_Ke hoach 2010 (theo doi 11-8-2010) 2" xfId="6402"/>
    <cellStyle name="T_09a_PhanMongNhaSo9_Book1_Ke hoach 2010 (theo doi 11-8-2010) 3" xfId="6403"/>
    <cellStyle name="T_09a_PhanMongNhaSo9_Book1_Ke hoach 2010 (theo doi 11-8-2010)_BIEU KE HOACH  2015 (KTN 6.11 sua)" xfId="6404"/>
    <cellStyle name="T_09a_PhanMongNhaSo9_Book1_ke hoach dau thau 30-6-2010" xfId="6405"/>
    <cellStyle name="T_09a_PhanMongNhaSo9_Book1_ke hoach dau thau 30-6-2010 2" xfId="6406"/>
    <cellStyle name="T_09a_PhanMongNhaSo9_Book1_ke hoach dau thau 30-6-2010 3" xfId="6407"/>
    <cellStyle name="T_09a_PhanMongNhaSo9_Book1_ke hoach dau thau 30-6-2010_BIEU KE HOACH  2015 (KTN 6.11 sua)" xfId="6408"/>
    <cellStyle name="T_09a_PhanMongNhaSo9_Copy of KH PHAN BO VON ĐỐI ỨNG NAM 2011 (30 TY phuong án gop WB)" xfId="6409"/>
    <cellStyle name="T_09a_PhanMongNhaSo9_Copy of KH PHAN BO VON ĐỐI ỨNG NAM 2011 (30 TY phuong án gop WB) 2" xfId="6410"/>
    <cellStyle name="T_09a_PhanMongNhaSo9_Copy of KH PHAN BO VON ĐỐI ỨNG NAM 2011 (30 TY phuong án gop WB) 3" xfId="6411"/>
    <cellStyle name="T_09a_PhanMongNhaSo9_Copy of KH PHAN BO VON ĐỐI ỨNG NAM 2011 (30 TY phuong án gop WB)_BIEU KE HOACH  2015 (KTN 6.11 sua)" xfId="6412"/>
    <cellStyle name="T_09a_PhanMongNhaSo9_DTTD chieng chan Tham lai 29-9-2009" xfId="6413"/>
    <cellStyle name="T_09a_PhanMongNhaSo9_DTTD chieng chan Tham lai 29-9-2009 2" xfId="6414"/>
    <cellStyle name="T_09a_PhanMongNhaSo9_DTTD chieng chan Tham lai 29-9-2009 3" xfId="6415"/>
    <cellStyle name="T_09a_PhanMongNhaSo9_DTTD chieng chan Tham lai 29-9-2009_BIEU KE HOACH  2015 (KTN 6.11 sua)" xfId="6416"/>
    <cellStyle name="T_09a_PhanMongNhaSo9_Du toan nuoc San Thang (GD2)" xfId="6418"/>
    <cellStyle name="T_09a_PhanMongNhaSo9_Du toan nuoc San Thang (GD2) 2" xfId="6419"/>
    <cellStyle name="T_09a_PhanMongNhaSo9_Du toan nuoc San Thang (GD2) 3" xfId="6420"/>
    <cellStyle name="T_09a_PhanMongNhaSo9_Du toan nuoc San Thang (GD2)_BIEU KE HOACH  2015 (KTN 6.11 sua)" xfId="6421"/>
    <cellStyle name="T_09a_PhanMongNhaSo9_dự toán 30a 2013" xfId="6417"/>
    <cellStyle name="T_09a_PhanMongNhaSo9_Ke hoach 2010 (theo doi 11-8-2010)" xfId="6422"/>
    <cellStyle name="T_09a_PhanMongNhaSo9_Ke hoach 2010 (theo doi 11-8-2010) 2" xfId="6423"/>
    <cellStyle name="T_09a_PhanMongNhaSo9_Ke hoach 2010 (theo doi 11-8-2010) 3" xfId="6424"/>
    <cellStyle name="T_09a_PhanMongNhaSo9_Ke hoach 2010 (theo doi 11-8-2010)_BIEU KE HOACH  2015 (KTN 6.11 sua)" xfId="6425"/>
    <cellStyle name="T_09a_PhanMongNhaSo9_ke hoach dau thau 30-6-2010" xfId="6426"/>
    <cellStyle name="T_09a_PhanMongNhaSo9_ke hoach dau thau 30-6-2010 2" xfId="6427"/>
    <cellStyle name="T_09a_PhanMongNhaSo9_ke hoach dau thau 30-6-2010 3" xfId="6428"/>
    <cellStyle name="T_09a_PhanMongNhaSo9_ke hoach dau thau 30-6-2010_BIEU KE HOACH  2015 (KTN 6.11 sua)" xfId="6429"/>
    <cellStyle name="T_09a_PhanMongNhaSo9_KH Von 2012 gui BKH 1" xfId="6430"/>
    <cellStyle name="T_09a_PhanMongNhaSo9_KH Von 2012 gui BKH 1 2" xfId="6431"/>
    <cellStyle name="T_09a_PhanMongNhaSo9_KH Von 2012 gui BKH 1 3" xfId="6432"/>
    <cellStyle name="T_09a_PhanMongNhaSo9_KH Von 2012 gui BKH 1_BIEU KE HOACH  2015 (KTN 6.11 sua)" xfId="6433"/>
    <cellStyle name="T_09a_PhanMongNhaSo9_QD ke hoach dau thau" xfId="6434"/>
    <cellStyle name="T_09a_PhanMongNhaSo9_QD ke hoach dau thau 2" xfId="6435"/>
    <cellStyle name="T_09a_PhanMongNhaSo9_QD ke hoach dau thau 3" xfId="6436"/>
    <cellStyle name="T_09a_PhanMongNhaSo9_QD ke hoach dau thau_BIEU KE HOACH  2015 (KTN 6.11 sua)" xfId="6437"/>
    <cellStyle name="T_09a_PhanMongNhaSo9_Ra soat KH von 2011 (Huy-11-11-11)" xfId="6438"/>
    <cellStyle name="T_09a_PhanMongNhaSo9_Ra soat KH von 2011 (Huy-11-11-11) 2" xfId="6439"/>
    <cellStyle name="T_09a_PhanMongNhaSo9_Ra soat KH von 2011 (Huy-11-11-11) 3" xfId="6440"/>
    <cellStyle name="T_09a_PhanMongNhaSo9_Ra soat KH von 2011 (Huy-11-11-11)_BIEU KE HOACH  2015 (KTN 6.11 sua)" xfId="6441"/>
    <cellStyle name="T_09a_PhanMongNhaSo9_tinh toan hoang ha" xfId="6442"/>
    <cellStyle name="T_09a_PhanMongNhaSo9_tinh toan hoang ha 2" xfId="6443"/>
    <cellStyle name="T_09a_PhanMongNhaSo9_tinh toan hoang ha 3" xfId="6444"/>
    <cellStyle name="T_09a_PhanMongNhaSo9_tinh toan hoang ha_BIEU KE HOACH  2015 (KTN 6.11 sua)" xfId="6445"/>
    <cellStyle name="T_09a_PhanMongNhaSo9_Tong von ĐTPT" xfId="6446"/>
    <cellStyle name="T_09a_PhanMongNhaSo9_Tong von ĐTPT 2" xfId="6447"/>
    <cellStyle name="T_09a_PhanMongNhaSo9_Tong von ĐTPT 3" xfId="6448"/>
    <cellStyle name="T_09a_PhanMongNhaSo9_Tong von ĐTPT_BIEU KE HOACH  2015 (KTN 6.11 sua)" xfId="6449"/>
    <cellStyle name="T_09a_PhanMongNhaSo9_Viec Huy dang lam" xfId="6450"/>
    <cellStyle name="T_09a_PhanMongNhaSo9_Viec Huy dang lam_CT 134" xfId="6451"/>
    <cellStyle name="T_09b_PhanThannhaso9" xfId="6452"/>
    <cellStyle name="T_09b_PhanThannhaso9 2" xfId="6453"/>
    <cellStyle name="T_09b_PhanThannhaso9_Bieu chi tieu KH 2014 (Huy-04-11)" xfId="6454"/>
    <cellStyle name="T_09b_PhanThannhaso9_Bieu chi tieu KH 2014 (Huy-04-11) 2" xfId="6455"/>
    <cellStyle name="T_09b_PhanThannhaso9_bieu ke hoach dau thau" xfId="6456"/>
    <cellStyle name="T_09b_PhanThannhaso9_bieu ke hoach dau thau 2" xfId="6457"/>
    <cellStyle name="T_09b_PhanThannhaso9_bieu ke hoach dau thau 3" xfId="6458"/>
    <cellStyle name="T_09b_PhanThannhaso9_bieu ke hoach dau thau truong mam non SKH" xfId="6459"/>
    <cellStyle name="T_09b_PhanThannhaso9_bieu ke hoach dau thau truong mam non SKH 2" xfId="6460"/>
    <cellStyle name="T_09b_PhanThannhaso9_bieu ke hoach dau thau truong mam non SKH 3" xfId="6461"/>
    <cellStyle name="T_09b_PhanThannhaso9_bieu ke hoach dau thau truong mam non SKH_BIEU KE HOACH  2015 (KTN 6.11 sua)" xfId="6462"/>
    <cellStyle name="T_09b_PhanThannhaso9_bieu ke hoach dau thau_BIEU KE HOACH  2015 (KTN 6.11 sua)" xfId="6463"/>
    <cellStyle name="T_09b_PhanThannhaso9_bieu tong hop lai kh von 2011 gui phong TH-KTDN" xfId="6464"/>
    <cellStyle name="T_09b_PhanThannhaso9_bieu tong hop lai kh von 2011 gui phong TH-KTDN 2" xfId="6465"/>
    <cellStyle name="T_09b_PhanThannhaso9_bieu tong hop lai kh von 2011 gui phong TH-KTDN 3" xfId="6466"/>
    <cellStyle name="T_09b_PhanThannhaso9_bieu tong hop lai kh von 2011 gui phong TH-KTDN_BIEU KE HOACH  2015 (KTN 6.11 sua)" xfId="6467"/>
    <cellStyle name="T_09b_PhanThannhaso9_Book1" xfId="6468"/>
    <cellStyle name="T_09b_PhanThannhaso9_Book1 2" xfId="6469"/>
    <cellStyle name="T_09b_PhanThannhaso9_Book1 3" xfId="6470"/>
    <cellStyle name="T_09b_PhanThannhaso9_Book1_BIEU KE HOACH  2015 (KTN 6.11 sua)" xfId="6471"/>
    <cellStyle name="T_09b_PhanThannhaso9_Book1_Ke hoach 2010 (theo doi 11-8-2010)" xfId="6472"/>
    <cellStyle name="T_09b_PhanThannhaso9_Book1_Ke hoach 2010 (theo doi 11-8-2010) 2" xfId="6473"/>
    <cellStyle name="T_09b_PhanThannhaso9_Book1_Ke hoach 2010 (theo doi 11-8-2010) 3" xfId="6474"/>
    <cellStyle name="T_09b_PhanThannhaso9_Book1_Ke hoach 2010 (theo doi 11-8-2010)_BIEU KE HOACH  2015 (KTN 6.11 sua)" xfId="6475"/>
    <cellStyle name="T_09b_PhanThannhaso9_Book1_ke hoach dau thau 30-6-2010" xfId="6476"/>
    <cellStyle name="T_09b_PhanThannhaso9_Book1_ke hoach dau thau 30-6-2010 2" xfId="6477"/>
    <cellStyle name="T_09b_PhanThannhaso9_Book1_ke hoach dau thau 30-6-2010 3" xfId="6478"/>
    <cellStyle name="T_09b_PhanThannhaso9_Book1_ke hoach dau thau 30-6-2010_BIEU KE HOACH  2015 (KTN 6.11 sua)" xfId="6479"/>
    <cellStyle name="T_09b_PhanThannhaso9_Copy of KH PHAN BO VON ĐỐI ỨNG NAM 2011 (30 TY phuong án gop WB)" xfId="6480"/>
    <cellStyle name="T_09b_PhanThannhaso9_Copy of KH PHAN BO VON ĐỐI ỨNG NAM 2011 (30 TY phuong án gop WB) 2" xfId="6481"/>
    <cellStyle name="T_09b_PhanThannhaso9_Copy of KH PHAN BO VON ĐỐI ỨNG NAM 2011 (30 TY phuong án gop WB) 3" xfId="6482"/>
    <cellStyle name="T_09b_PhanThannhaso9_Copy of KH PHAN BO VON ĐỐI ỨNG NAM 2011 (30 TY phuong án gop WB)_BIEU KE HOACH  2015 (KTN 6.11 sua)" xfId="6483"/>
    <cellStyle name="T_09b_PhanThannhaso9_DTTD chieng chan Tham lai 29-9-2009" xfId="6484"/>
    <cellStyle name="T_09b_PhanThannhaso9_DTTD chieng chan Tham lai 29-9-2009 2" xfId="6485"/>
    <cellStyle name="T_09b_PhanThannhaso9_DTTD chieng chan Tham lai 29-9-2009 3" xfId="6486"/>
    <cellStyle name="T_09b_PhanThannhaso9_DTTD chieng chan Tham lai 29-9-2009_BIEU KE HOACH  2015 (KTN 6.11 sua)" xfId="6487"/>
    <cellStyle name="T_09b_PhanThannhaso9_Du toan nuoc San Thang (GD2)" xfId="6489"/>
    <cellStyle name="T_09b_PhanThannhaso9_Du toan nuoc San Thang (GD2) 2" xfId="6490"/>
    <cellStyle name="T_09b_PhanThannhaso9_Du toan nuoc San Thang (GD2) 3" xfId="6491"/>
    <cellStyle name="T_09b_PhanThannhaso9_Du toan nuoc San Thang (GD2)_BIEU KE HOACH  2015 (KTN 6.11 sua)" xfId="6492"/>
    <cellStyle name="T_09b_PhanThannhaso9_dự toán 30a 2013" xfId="6488"/>
    <cellStyle name="T_09b_PhanThannhaso9_Ke hoach 2010 (theo doi 11-8-2010)" xfId="6493"/>
    <cellStyle name="T_09b_PhanThannhaso9_Ke hoach 2010 (theo doi 11-8-2010) 2" xfId="6494"/>
    <cellStyle name="T_09b_PhanThannhaso9_Ke hoach 2010 (theo doi 11-8-2010) 3" xfId="6495"/>
    <cellStyle name="T_09b_PhanThannhaso9_Ke hoach 2010 (theo doi 11-8-2010)_BIEU KE HOACH  2015 (KTN 6.11 sua)" xfId="6496"/>
    <cellStyle name="T_09b_PhanThannhaso9_ke hoach dau thau 30-6-2010" xfId="6497"/>
    <cellStyle name="T_09b_PhanThannhaso9_ke hoach dau thau 30-6-2010 2" xfId="6498"/>
    <cellStyle name="T_09b_PhanThannhaso9_ke hoach dau thau 30-6-2010 3" xfId="6499"/>
    <cellStyle name="T_09b_PhanThannhaso9_ke hoach dau thau 30-6-2010_BIEU KE HOACH  2015 (KTN 6.11 sua)" xfId="6500"/>
    <cellStyle name="T_09b_PhanThannhaso9_KH Von 2012 gui BKH 1" xfId="6501"/>
    <cellStyle name="T_09b_PhanThannhaso9_KH Von 2012 gui BKH 1 2" xfId="6502"/>
    <cellStyle name="T_09b_PhanThannhaso9_KH Von 2012 gui BKH 1 3" xfId="6503"/>
    <cellStyle name="T_09b_PhanThannhaso9_KH Von 2012 gui BKH 1_BIEU KE HOACH  2015 (KTN 6.11 sua)" xfId="6504"/>
    <cellStyle name="T_09b_PhanThannhaso9_QD ke hoach dau thau" xfId="6505"/>
    <cellStyle name="T_09b_PhanThannhaso9_QD ke hoach dau thau 2" xfId="6506"/>
    <cellStyle name="T_09b_PhanThannhaso9_QD ke hoach dau thau 3" xfId="6507"/>
    <cellStyle name="T_09b_PhanThannhaso9_QD ke hoach dau thau_BIEU KE HOACH  2015 (KTN 6.11 sua)" xfId="6508"/>
    <cellStyle name="T_09b_PhanThannhaso9_Ra soat KH von 2011 (Huy-11-11-11)" xfId="6509"/>
    <cellStyle name="T_09b_PhanThannhaso9_Ra soat KH von 2011 (Huy-11-11-11) 2" xfId="6510"/>
    <cellStyle name="T_09b_PhanThannhaso9_Ra soat KH von 2011 (Huy-11-11-11) 3" xfId="6511"/>
    <cellStyle name="T_09b_PhanThannhaso9_Ra soat KH von 2011 (Huy-11-11-11)_BIEU KE HOACH  2015 (KTN 6.11 sua)" xfId="6512"/>
    <cellStyle name="T_09b_PhanThannhaso9_tinh toan hoang ha" xfId="6513"/>
    <cellStyle name="T_09b_PhanThannhaso9_tinh toan hoang ha 2" xfId="6514"/>
    <cellStyle name="T_09b_PhanThannhaso9_tinh toan hoang ha 3" xfId="6515"/>
    <cellStyle name="T_09b_PhanThannhaso9_tinh toan hoang ha_BIEU KE HOACH  2015 (KTN 6.11 sua)" xfId="6516"/>
    <cellStyle name="T_09b_PhanThannhaso9_Tong von ĐTPT" xfId="6517"/>
    <cellStyle name="T_09b_PhanThannhaso9_Tong von ĐTPT 2" xfId="6518"/>
    <cellStyle name="T_09b_PhanThannhaso9_Tong von ĐTPT 3" xfId="6519"/>
    <cellStyle name="T_09b_PhanThannhaso9_Tong von ĐTPT_BIEU KE HOACH  2015 (KTN 6.11 sua)" xfId="6520"/>
    <cellStyle name="T_09b_PhanThannhaso9_Viec Huy dang lam" xfId="6521"/>
    <cellStyle name="T_09b_PhanThannhaso9_Viec Huy dang lam_CT 134" xfId="6522"/>
    <cellStyle name="T_09c_PhandienNhaso9" xfId="6523"/>
    <cellStyle name="T_09c_PhandienNhaso9 2" xfId="6524"/>
    <cellStyle name="T_09c_PhandienNhaso9_Bieu chi tieu KH 2014 (Huy-04-11)" xfId="6525"/>
    <cellStyle name="T_09c_PhandienNhaso9_Bieu chi tieu KH 2014 (Huy-04-11) 2" xfId="6526"/>
    <cellStyle name="T_09c_PhandienNhaso9_bieu ke hoach dau thau" xfId="6527"/>
    <cellStyle name="T_09c_PhandienNhaso9_bieu ke hoach dau thau 2" xfId="6528"/>
    <cellStyle name="T_09c_PhandienNhaso9_bieu ke hoach dau thau 3" xfId="6529"/>
    <cellStyle name="T_09c_PhandienNhaso9_bieu ke hoach dau thau truong mam non SKH" xfId="6530"/>
    <cellStyle name="T_09c_PhandienNhaso9_bieu ke hoach dau thau truong mam non SKH 2" xfId="6531"/>
    <cellStyle name="T_09c_PhandienNhaso9_bieu ke hoach dau thau truong mam non SKH 3" xfId="6532"/>
    <cellStyle name="T_09c_PhandienNhaso9_bieu ke hoach dau thau truong mam non SKH_BIEU KE HOACH  2015 (KTN 6.11 sua)" xfId="6533"/>
    <cellStyle name="T_09c_PhandienNhaso9_bieu ke hoach dau thau_BIEU KE HOACH  2015 (KTN 6.11 sua)" xfId="6534"/>
    <cellStyle name="T_09c_PhandienNhaso9_bieu tong hop lai kh von 2011 gui phong TH-KTDN" xfId="6535"/>
    <cellStyle name="T_09c_PhandienNhaso9_bieu tong hop lai kh von 2011 gui phong TH-KTDN 2" xfId="6536"/>
    <cellStyle name="T_09c_PhandienNhaso9_bieu tong hop lai kh von 2011 gui phong TH-KTDN 3" xfId="6537"/>
    <cellStyle name="T_09c_PhandienNhaso9_bieu tong hop lai kh von 2011 gui phong TH-KTDN_BIEU KE HOACH  2015 (KTN 6.11 sua)" xfId="6538"/>
    <cellStyle name="T_09c_PhandienNhaso9_Book1" xfId="6539"/>
    <cellStyle name="T_09c_PhandienNhaso9_Book1 2" xfId="6540"/>
    <cellStyle name="T_09c_PhandienNhaso9_Book1 3" xfId="6541"/>
    <cellStyle name="T_09c_PhandienNhaso9_Book1_BIEU KE HOACH  2015 (KTN 6.11 sua)" xfId="6542"/>
    <cellStyle name="T_09c_PhandienNhaso9_Book1_Ke hoach 2010 (theo doi 11-8-2010)" xfId="6543"/>
    <cellStyle name="T_09c_PhandienNhaso9_Book1_Ke hoach 2010 (theo doi 11-8-2010) 2" xfId="6544"/>
    <cellStyle name="T_09c_PhandienNhaso9_Book1_Ke hoach 2010 (theo doi 11-8-2010) 3" xfId="6545"/>
    <cellStyle name="T_09c_PhandienNhaso9_Book1_Ke hoach 2010 (theo doi 11-8-2010)_BIEU KE HOACH  2015 (KTN 6.11 sua)" xfId="6546"/>
    <cellStyle name="T_09c_PhandienNhaso9_Book1_ke hoach dau thau 30-6-2010" xfId="6547"/>
    <cellStyle name="T_09c_PhandienNhaso9_Book1_ke hoach dau thau 30-6-2010 2" xfId="6548"/>
    <cellStyle name="T_09c_PhandienNhaso9_Book1_ke hoach dau thau 30-6-2010 3" xfId="6549"/>
    <cellStyle name="T_09c_PhandienNhaso9_Book1_ke hoach dau thau 30-6-2010_BIEU KE HOACH  2015 (KTN 6.11 sua)" xfId="6550"/>
    <cellStyle name="T_09c_PhandienNhaso9_Copy of KH PHAN BO VON ĐỐI ỨNG NAM 2011 (30 TY phuong án gop WB)" xfId="6551"/>
    <cellStyle name="T_09c_PhandienNhaso9_Copy of KH PHAN BO VON ĐỐI ỨNG NAM 2011 (30 TY phuong án gop WB) 2" xfId="6552"/>
    <cellStyle name="T_09c_PhandienNhaso9_Copy of KH PHAN BO VON ĐỐI ỨNG NAM 2011 (30 TY phuong án gop WB) 3" xfId="6553"/>
    <cellStyle name="T_09c_PhandienNhaso9_Copy of KH PHAN BO VON ĐỐI ỨNG NAM 2011 (30 TY phuong án gop WB)_BIEU KE HOACH  2015 (KTN 6.11 sua)" xfId="6554"/>
    <cellStyle name="T_09c_PhandienNhaso9_DTTD chieng chan Tham lai 29-9-2009" xfId="6555"/>
    <cellStyle name="T_09c_PhandienNhaso9_DTTD chieng chan Tham lai 29-9-2009 2" xfId="6556"/>
    <cellStyle name="T_09c_PhandienNhaso9_DTTD chieng chan Tham lai 29-9-2009 3" xfId="6557"/>
    <cellStyle name="T_09c_PhandienNhaso9_DTTD chieng chan Tham lai 29-9-2009_BIEU KE HOACH  2015 (KTN 6.11 sua)" xfId="6558"/>
    <cellStyle name="T_09c_PhandienNhaso9_Du toan nuoc San Thang (GD2)" xfId="6560"/>
    <cellStyle name="T_09c_PhandienNhaso9_Du toan nuoc San Thang (GD2) 2" xfId="6561"/>
    <cellStyle name="T_09c_PhandienNhaso9_Du toan nuoc San Thang (GD2) 3" xfId="6562"/>
    <cellStyle name="T_09c_PhandienNhaso9_Du toan nuoc San Thang (GD2)_BIEU KE HOACH  2015 (KTN 6.11 sua)" xfId="6563"/>
    <cellStyle name="T_09c_PhandienNhaso9_dự toán 30a 2013" xfId="6559"/>
    <cellStyle name="T_09c_PhandienNhaso9_Ke hoach 2010 (theo doi 11-8-2010)" xfId="6564"/>
    <cellStyle name="T_09c_PhandienNhaso9_Ke hoach 2010 (theo doi 11-8-2010) 2" xfId="6565"/>
    <cellStyle name="T_09c_PhandienNhaso9_Ke hoach 2010 (theo doi 11-8-2010) 3" xfId="6566"/>
    <cellStyle name="T_09c_PhandienNhaso9_Ke hoach 2010 (theo doi 11-8-2010)_BIEU KE HOACH  2015 (KTN 6.11 sua)" xfId="6567"/>
    <cellStyle name="T_09c_PhandienNhaso9_ke hoach dau thau 30-6-2010" xfId="6568"/>
    <cellStyle name="T_09c_PhandienNhaso9_ke hoach dau thau 30-6-2010 2" xfId="6569"/>
    <cellStyle name="T_09c_PhandienNhaso9_ke hoach dau thau 30-6-2010 3" xfId="6570"/>
    <cellStyle name="T_09c_PhandienNhaso9_ke hoach dau thau 30-6-2010_BIEU KE HOACH  2015 (KTN 6.11 sua)" xfId="6571"/>
    <cellStyle name="T_09c_PhandienNhaso9_KH Von 2012 gui BKH 1" xfId="6572"/>
    <cellStyle name="T_09c_PhandienNhaso9_KH Von 2012 gui BKH 1 2" xfId="6573"/>
    <cellStyle name="T_09c_PhandienNhaso9_KH Von 2012 gui BKH 1 3" xfId="6574"/>
    <cellStyle name="T_09c_PhandienNhaso9_KH Von 2012 gui BKH 1_BIEU KE HOACH  2015 (KTN 6.11 sua)" xfId="6575"/>
    <cellStyle name="T_09c_PhandienNhaso9_QD ke hoach dau thau" xfId="6576"/>
    <cellStyle name="T_09c_PhandienNhaso9_QD ke hoach dau thau 2" xfId="6577"/>
    <cellStyle name="T_09c_PhandienNhaso9_QD ke hoach dau thau 3" xfId="6578"/>
    <cellStyle name="T_09c_PhandienNhaso9_QD ke hoach dau thau_BIEU KE HOACH  2015 (KTN 6.11 sua)" xfId="6579"/>
    <cellStyle name="T_09c_PhandienNhaso9_Ra soat KH von 2011 (Huy-11-11-11)" xfId="6580"/>
    <cellStyle name="T_09c_PhandienNhaso9_Ra soat KH von 2011 (Huy-11-11-11) 2" xfId="6581"/>
    <cellStyle name="T_09c_PhandienNhaso9_Ra soat KH von 2011 (Huy-11-11-11) 3" xfId="6582"/>
    <cellStyle name="T_09c_PhandienNhaso9_Ra soat KH von 2011 (Huy-11-11-11)_BIEU KE HOACH  2015 (KTN 6.11 sua)" xfId="6583"/>
    <cellStyle name="T_09c_PhandienNhaso9_tinh toan hoang ha" xfId="6584"/>
    <cellStyle name="T_09c_PhandienNhaso9_tinh toan hoang ha 2" xfId="6585"/>
    <cellStyle name="T_09c_PhandienNhaso9_tinh toan hoang ha 3" xfId="6586"/>
    <cellStyle name="T_09c_PhandienNhaso9_tinh toan hoang ha_BIEU KE HOACH  2015 (KTN 6.11 sua)" xfId="6587"/>
    <cellStyle name="T_09c_PhandienNhaso9_Tong von ĐTPT" xfId="6588"/>
    <cellStyle name="T_09c_PhandienNhaso9_Tong von ĐTPT 2" xfId="6589"/>
    <cellStyle name="T_09c_PhandienNhaso9_Tong von ĐTPT 3" xfId="6590"/>
    <cellStyle name="T_09c_PhandienNhaso9_Tong von ĐTPT_BIEU KE HOACH  2015 (KTN 6.11 sua)" xfId="6591"/>
    <cellStyle name="T_09c_PhandienNhaso9_Viec Huy dang lam" xfId="6592"/>
    <cellStyle name="T_09c_PhandienNhaso9_Viec Huy dang lam_CT 134" xfId="6593"/>
    <cellStyle name="T_09d_Phannuocnhaso9" xfId="6594"/>
    <cellStyle name="T_09d_Phannuocnhaso9 2" xfId="6595"/>
    <cellStyle name="T_09d_Phannuocnhaso9_Bieu chi tieu KH 2014 (Huy-04-11)" xfId="6596"/>
    <cellStyle name="T_09d_Phannuocnhaso9_Bieu chi tieu KH 2014 (Huy-04-11) 2" xfId="6597"/>
    <cellStyle name="T_09d_Phannuocnhaso9_bieu ke hoach dau thau" xfId="6598"/>
    <cellStyle name="T_09d_Phannuocnhaso9_bieu ke hoach dau thau 2" xfId="6599"/>
    <cellStyle name="T_09d_Phannuocnhaso9_bieu ke hoach dau thau 3" xfId="6600"/>
    <cellStyle name="T_09d_Phannuocnhaso9_bieu ke hoach dau thau truong mam non SKH" xfId="6601"/>
    <cellStyle name="T_09d_Phannuocnhaso9_bieu ke hoach dau thau truong mam non SKH 2" xfId="6602"/>
    <cellStyle name="T_09d_Phannuocnhaso9_bieu ke hoach dau thau truong mam non SKH 3" xfId="6603"/>
    <cellStyle name="T_09d_Phannuocnhaso9_bieu ke hoach dau thau truong mam non SKH_BIEU KE HOACH  2015 (KTN 6.11 sua)" xfId="6604"/>
    <cellStyle name="T_09d_Phannuocnhaso9_bieu ke hoach dau thau_BIEU KE HOACH  2015 (KTN 6.11 sua)" xfId="6605"/>
    <cellStyle name="T_09d_Phannuocnhaso9_bieu tong hop lai kh von 2011 gui phong TH-KTDN" xfId="6606"/>
    <cellStyle name="T_09d_Phannuocnhaso9_bieu tong hop lai kh von 2011 gui phong TH-KTDN 2" xfId="6607"/>
    <cellStyle name="T_09d_Phannuocnhaso9_bieu tong hop lai kh von 2011 gui phong TH-KTDN 3" xfId="6608"/>
    <cellStyle name="T_09d_Phannuocnhaso9_bieu tong hop lai kh von 2011 gui phong TH-KTDN_BIEU KE HOACH  2015 (KTN 6.11 sua)" xfId="6609"/>
    <cellStyle name="T_09d_Phannuocnhaso9_Book1" xfId="6610"/>
    <cellStyle name="T_09d_Phannuocnhaso9_Book1 2" xfId="6611"/>
    <cellStyle name="T_09d_Phannuocnhaso9_Book1 3" xfId="6612"/>
    <cellStyle name="T_09d_Phannuocnhaso9_Book1_BIEU KE HOACH  2015 (KTN 6.11 sua)" xfId="6613"/>
    <cellStyle name="T_09d_Phannuocnhaso9_Book1_Ke hoach 2010 (theo doi 11-8-2010)" xfId="6614"/>
    <cellStyle name="T_09d_Phannuocnhaso9_Book1_Ke hoach 2010 (theo doi 11-8-2010) 2" xfId="6615"/>
    <cellStyle name="T_09d_Phannuocnhaso9_Book1_Ke hoach 2010 (theo doi 11-8-2010) 3" xfId="6616"/>
    <cellStyle name="T_09d_Phannuocnhaso9_Book1_Ke hoach 2010 (theo doi 11-8-2010)_BIEU KE HOACH  2015 (KTN 6.11 sua)" xfId="6617"/>
    <cellStyle name="T_09d_Phannuocnhaso9_Book1_ke hoach dau thau 30-6-2010" xfId="6618"/>
    <cellStyle name="T_09d_Phannuocnhaso9_Book1_ke hoach dau thau 30-6-2010 2" xfId="6619"/>
    <cellStyle name="T_09d_Phannuocnhaso9_Book1_ke hoach dau thau 30-6-2010 3" xfId="6620"/>
    <cellStyle name="T_09d_Phannuocnhaso9_Book1_ke hoach dau thau 30-6-2010_BIEU KE HOACH  2015 (KTN 6.11 sua)" xfId="6621"/>
    <cellStyle name="T_09d_Phannuocnhaso9_Copy of KH PHAN BO VON ĐỐI ỨNG NAM 2011 (30 TY phuong án gop WB)" xfId="6622"/>
    <cellStyle name="T_09d_Phannuocnhaso9_Copy of KH PHAN BO VON ĐỐI ỨNG NAM 2011 (30 TY phuong án gop WB) 2" xfId="6623"/>
    <cellStyle name="T_09d_Phannuocnhaso9_Copy of KH PHAN BO VON ĐỐI ỨNG NAM 2011 (30 TY phuong án gop WB) 3" xfId="6624"/>
    <cellStyle name="T_09d_Phannuocnhaso9_Copy of KH PHAN BO VON ĐỐI ỨNG NAM 2011 (30 TY phuong án gop WB)_BIEU KE HOACH  2015 (KTN 6.11 sua)" xfId="6625"/>
    <cellStyle name="T_09d_Phannuocnhaso9_DTTD chieng chan Tham lai 29-9-2009" xfId="6626"/>
    <cellStyle name="T_09d_Phannuocnhaso9_DTTD chieng chan Tham lai 29-9-2009 2" xfId="6627"/>
    <cellStyle name="T_09d_Phannuocnhaso9_DTTD chieng chan Tham lai 29-9-2009 3" xfId="6628"/>
    <cellStyle name="T_09d_Phannuocnhaso9_DTTD chieng chan Tham lai 29-9-2009_BIEU KE HOACH  2015 (KTN 6.11 sua)" xfId="6629"/>
    <cellStyle name="T_09d_Phannuocnhaso9_Du toan nuoc San Thang (GD2)" xfId="6631"/>
    <cellStyle name="T_09d_Phannuocnhaso9_Du toan nuoc San Thang (GD2) 2" xfId="6632"/>
    <cellStyle name="T_09d_Phannuocnhaso9_Du toan nuoc San Thang (GD2) 3" xfId="6633"/>
    <cellStyle name="T_09d_Phannuocnhaso9_Du toan nuoc San Thang (GD2)_BIEU KE HOACH  2015 (KTN 6.11 sua)" xfId="6634"/>
    <cellStyle name="T_09d_Phannuocnhaso9_dự toán 30a 2013" xfId="6630"/>
    <cellStyle name="T_09d_Phannuocnhaso9_Ke hoach 2010 (theo doi 11-8-2010)" xfId="6635"/>
    <cellStyle name="T_09d_Phannuocnhaso9_Ke hoach 2010 (theo doi 11-8-2010) 2" xfId="6636"/>
    <cellStyle name="T_09d_Phannuocnhaso9_Ke hoach 2010 (theo doi 11-8-2010) 3" xfId="6637"/>
    <cellStyle name="T_09d_Phannuocnhaso9_Ke hoach 2010 (theo doi 11-8-2010)_BIEU KE HOACH  2015 (KTN 6.11 sua)" xfId="6638"/>
    <cellStyle name="T_09d_Phannuocnhaso9_ke hoach dau thau 30-6-2010" xfId="6639"/>
    <cellStyle name="T_09d_Phannuocnhaso9_ke hoach dau thau 30-6-2010 2" xfId="6640"/>
    <cellStyle name="T_09d_Phannuocnhaso9_ke hoach dau thau 30-6-2010 3" xfId="6641"/>
    <cellStyle name="T_09d_Phannuocnhaso9_ke hoach dau thau 30-6-2010_BIEU KE HOACH  2015 (KTN 6.11 sua)" xfId="6642"/>
    <cellStyle name="T_09d_Phannuocnhaso9_KH Von 2012 gui BKH 1" xfId="6643"/>
    <cellStyle name="T_09d_Phannuocnhaso9_KH Von 2012 gui BKH 1 2" xfId="6644"/>
    <cellStyle name="T_09d_Phannuocnhaso9_KH Von 2012 gui BKH 1 3" xfId="6645"/>
    <cellStyle name="T_09d_Phannuocnhaso9_KH Von 2012 gui BKH 1_BIEU KE HOACH  2015 (KTN 6.11 sua)" xfId="6646"/>
    <cellStyle name="T_09d_Phannuocnhaso9_QD ke hoach dau thau" xfId="6647"/>
    <cellStyle name="T_09d_Phannuocnhaso9_QD ke hoach dau thau 2" xfId="6648"/>
    <cellStyle name="T_09d_Phannuocnhaso9_QD ke hoach dau thau 3" xfId="6649"/>
    <cellStyle name="T_09d_Phannuocnhaso9_QD ke hoach dau thau_BIEU KE HOACH  2015 (KTN 6.11 sua)" xfId="6650"/>
    <cellStyle name="T_09d_Phannuocnhaso9_Ra soat KH von 2011 (Huy-11-11-11)" xfId="6651"/>
    <cellStyle name="T_09d_Phannuocnhaso9_Ra soat KH von 2011 (Huy-11-11-11) 2" xfId="6652"/>
    <cellStyle name="T_09d_Phannuocnhaso9_Ra soat KH von 2011 (Huy-11-11-11) 3" xfId="6653"/>
    <cellStyle name="T_09d_Phannuocnhaso9_Ra soat KH von 2011 (Huy-11-11-11)_BIEU KE HOACH  2015 (KTN 6.11 sua)" xfId="6654"/>
    <cellStyle name="T_09d_Phannuocnhaso9_tinh toan hoang ha" xfId="6655"/>
    <cellStyle name="T_09d_Phannuocnhaso9_tinh toan hoang ha 2" xfId="6656"/>
    <cellStyle name="T_09d_Phannuocnhaso9_tinh toan hoang ha 3" xfId="6657"/>
    <cellStyle name="T_09d_Phannuocnhaso9_tinh toan hoang ha_BIEU KE HOACH  2015 (KTN 6.11 sua)" xfId="6658"/>
    <cellStyle name="T_09d_Phannuocnhaso9_Tong von ĐTPT" xfId="6659"/>
    <cellStyle name="T_09d_Phannuocnhaso9_Tong von ĐTPT 2" xfId="6660"/>
    <cellStyle name="T_09d_Phannuocnhaso9_Tong von ĐTPT 3" xfId="6661"/>
    <cellStyle name="T_09d_Phannuocnhaso9_Tong von ĐTPT_BIEU KE HOACH  2015 (KTN 6.11 sua)" xfId="6662"/>
    <cellStyle name="T_09d_Phannuocnhaso9_Viec Huy dang lam" xfId="6663"/>
    <cellStyle name="T_09d_Phannuocnhaso9_Viec Huy dang lam_CT 134" xfId="6664"/>
    <cellStyle name="T_09f_TienluongThannhaso9" xfId="6665"/>
    <cellStyle name="T_09f_TienluongThannhaso9 2" xfId="6666"/>
    <cellStyle name="T_09f_TienluongThannhaso9_Bieu chi tieu KH 2014 (Huy-04-11)" xfId="6667"/>
    <cellStyle name="T_09f_TienluongThannhaso9_Bieu chi tieu KH 2014 (Huy-04-11) 2" xfId="6668"/>
    <cellStyle name="T_09f_TienluongThannhaso9_bieu ke hoach dau thau" xfId="6669"/>
    <cellStyle name="T_09f_TienluongThannhaso9_bieu ke hoach dau thau 2" xfId="6670"/>
    <cellStyle name="T_09f_TienluongThannhaso9_bieu ke hoach dau thau 3" xfId="6671"/>
    <cellStyle name="T_09f_TienluongThannhaso9_bieu ke hoach dau thau truong mam non SKH" xfId="6672"/>
    <cellStyle name="T_09f_TienluongThannhaso9_bieu ke hoach dau thau truong mam non SKH 2" xfId="6673"/>
    <cellStyle name="T_09f_TienluongThannhaso9_bieu ke hoach dau thau truong mam non SKH 3" xfId="6674"/>
    <cellStyle name="T_09f_TienluongThannhaso9_bieu ke hoach dau thau truong mam non SKH_BIEU KE HOACH  2015 (KTN 6.11 sua)" xfId="6675"/>
    <cellStyle name="T_09f_TienluongThannhaso9_bieu ke hoach dau thau_BIEU KE HOACH  2015 (KTN 6.11 sua)" xfId="6676"/>
    <cellStyle name="T_09f_TienluongThannhaso9_bieu tong hop lai kh von 2011 gui phong TH-KTDN" xfId="6677"/>
    <cellStyle name="T_09f_TienluongThannhaso9_bieu tong hop lai kh von 2011 gui phong TH-KTDN 2" xfId="6678"/>
    <cellStyle name="T_09f_TienluongThannhaso9_bieu tong hop lai kh von 2011 gui phong TH-KTDN 3" xfId="6679"/>
    <cellStyle name="T_09f_TienluongThannhaso9_bieu tong hop lai kh von 2011 gui phong TH-KTDN_BIEU KE HOACH  2015 (KTN 6.11 sua)" xfId="6680"/>
    <cellStyle name="T_09f_TienluongThannhaso9_Book1" xfId="6681"/>
    <cellStyle name="T_09f_TienluongThannhaso9_Book1 2" xfId="6682"/>
    <cellStyle name="T_09f_TienluongThannhaso9_Book1 3" xfId="6683"/>
    <cellStyle name="T_09f_TienluongThannhaso9_Book1_BIEU KE HOACH  2015 (KTN 6.11 sua)" xfId="6684"/>
    <cellStyle name="T_09f_TienluongThannhaso9_Book1_Ke hoach 2010 (theo doi 11-8-2010)" xfId="6685"/>
    <cellStyle name="T_09f_TienluongThannhaso9_Book1_Ke hoach 2010 (theo doi 11-8-2010) 2" xfId="6686"/>
    <cellStyle name="T_09f_TienluongThannhaso9_Book1_Ke hoach 2010 (theo doi 11-8-2010) 3" xfId="6687"/>
    <cellStyle name="T_09f_TienluongThannhaso9_Book1_Ke hoach 2010 (theo doi 11-8-2010)_BIEU KE HOACH  2015 (KTN 6.11 sua)" xfId="6688"/>
    <cellStyle name="T_09f_TienluongThannhaso9_Book1_ke hoach dau thau 30-6-2010" xfId="6689"/>
    <cellStyle name="T_09f_TienluongThannhaso9_Book1_ke hoach dau thau 30-6-2010 2" xfId="6690"/>
    <cellStyle name="T_09f_TienluongThannhaso9_Book1_ke hoach dau thau 30-6-2010 3" xfId="6691"/>
    <cellStyle name="T_09f_TienluongThannhaso9_Book1_ke hoach dau thau 30-6-2010_BIEU KE HOACH  2015 (KTN 6.11 sua)" xfId="6692"/>
    <cellStyle name="T_09f_TienluongThannhaso9_Copy of KH PHAN BO VON ĐỐI ỨNG NAM 2011 (30 TY phuong án gop WB)" xfId="6693"/>
    <cellStyle name="T_09f_TienluongThannhaso9_Copy of KH PHAN BO VON ĐỐI ỨNG NAM 2011 (30 TY phuong án gop WB) 2" xfId="6694"/>
    <cellStyle name="T_09f_TienluongThannhaso9_Copy of KH PHAN BO VON ĐỐI ỨNG NAM 2011 (30 TY phuong án gop WB) 3" xfId="6695"/>
    <cellStyle name="T_09f_TienluongThannhaso9_Copy of KH PHAN BO VON ĐỐI ỨNG NAM 2011 (30 TY phuong án gop WB)_BIEU KE HOACH  2015 (KTN 6.11 sua)" xfId="6696"/>
    <cellStyle name="T_09f_TienluongThannhaso9_DTTD chieng chan Tham lai 29-9-2009" xfId="6697"/>
    <cellStyle name="T_09f_TienluongThannhaso9_DTTD chieng chan Tham lai 29-9-2009 2" xfId="6698"/>
    <cellStyle name="T_09f_TienluongThannhaso9_DTTD chieng chan Tham lai 29-9-2009 3" xfId="6699"/>
    <cellStyle name="T_09f_TienluongThannhaso9_DTTD chieng chan Tham lai 29-9-2009_BIEU KE HOACH  2015 (KTN 6.11 sua)" xfId="6700"/>
    <cellStyle name="T_09f_TienluongThannhaso9_Du toan nuoc San Thang (GD2)" xfId="6702"/>
    <cellStyle name="T_09f_TienluongThannhaso9_Du toan nuoc San Thang (GD2) 2" xfId="6703"/>
    <cellStyle name="T_09f_TienluongThannhaso9_Du toan nuoc San Thang (GD2) 3" xfId="6704"/>
    <cellStyle name="T_09f_TienluongThannhaso9_Du toan nuoc San Thang (GD2)_BIEU KE HOACH  2015 (KTN 6.11 sua)" xfId="6705"/>
    <cellStyle name="T_09f_TienluongThannhaso9_dự toán 30a 2013" xfId="6701"/>
    <cellStyle name="T_09f_TienluongThannhaso9_Ke hoach 2010 (theo doi 11-8-2010)" xfId="6706"/>
    <cellStyle name="T_09f_TienluongThannhaso9_Ke hoach 2010 (theo doi 11-8-2010) 2" xfId="6707"/>
    <cellStyle name="T_09f_TienluongThannhaso9_Ke hoach 2010 (theo doi 11-8-2010) 3" xfId="6708"/>
    <cellStyle name="T_09f_TienluongThannhaso9_Ke hoach 2010 (theo doi 11-8-2010)_BIEU KE HOACH  2015 (KTN 6.11 sua)" xfId="6709"/>
    <cellStyle name="T_09f_TienluongThannhaso9_ke hoach dau thau 30-6-2010" xfId="6710"/>
    <cellStyle name="T_09f_TienluongThannhaso9_ke hoach dau thau 30-6-2010 2" xfId="6711"/>
    <cellStyle name="T_09f_TienluongThannhaso9_ke hoach dau thau 30-6-2010 3" xfId="6712"/>
    <cellStyle name="T_09f_TienluongThannhaso9_ke hoach dau thau 30-6-2010_BIEU KE HOACH  2015 (KTN 6.11 sua)" xfId="6713"/>
    <cellStyle name="T_09f_TienluongThannhaso9_KH Von 2012 gui BKH 1" xfId="6714"/>
    <cellStyle name="T_09f_TienluongThannhaso9_KH Von 2012 gui BKH 1 2" xfId="6715"/>
    <cellStyle name="T_09f_TienluongThannhaso9_KH Von 2012 gui BKH 1 3" xfId="6716"/>
    <cellStyle name="T_09f_TienluongThannhaso9_KH Von 2012 gui BKH 1_BIEU KE HOACH  2015 (KTN 6.11 sua)" xfId="6717"/>
    <cellStyle name="T_09f_TienluongThannhaso9_QD ke hoach dau thau" xfId="6718"/>
    <cellStyle name="T_09f_TienluongThannhaso9_QD ke hoach dau thau 2" xfId="6719"/>
    <cellStyle name="T_09f_TienluongThannhaso9_QD ke hoach dau thau 3" xfId="6720"/>
    <cellStyle name="T_09f_TienluongThannhaso9_QD ke hoach dau thau_BIEU KE HOACH  2015 (KTN 6.11 sua)" xfId="6721"/>
    <cellStyle name="T_09f_TienluongThannhaso9_Ra soat KH von 2011 (Huy-11-11-11)" xfId="6722"/>
    <cellStyle name="T_09f_TienluongThannhaso9_Ra soat KH von 2011 (Huy-11-11-11) 2" xfId="6723"/>
    <cellStyle name="T_09f_TienluongThannhaso9_Ra soat KH von 2011 (Huy-11-11-11) 3" xfId="6724"/>
    <cellStyle name="T_09f_TienluongThannhaso9_Ra soat KH von 2011 (Huy-11-11-11)_BIEU KE HOACH  2015 (KTN 6.11 sua)" xfId="6725"/>
    <cellStyle name="T_09f_TienluongThannhaso9_tinh toan hoang ha" xfId="6726"/>
    <cellStyle name="T_09f_TienluongThannhaso9_tinh toan hoang ha 2" xfId="6727"/>
    <cellStyle name="T_09f_TienluongThannhaso9_tinh toan hoang ha 3" xfId="6728"/>
    <cellStyle name="T_09f_TienluongThannhaso9_tinh toan hoang ha_BIEU KE HOACH  2015 (KTN 6.11 sua)" xfId="6729"/>
    <cellStyle name="T_09f_TienluongThannhaso9_Tong von ĐTPT" xfId="6730"/>
    <cellStyle name="T_09f_TienluongThannhaso9_Tong von ĐTPT 2" xfId="6731"/>
    <cellStyle name="T_09f_TienluongThannhaso9_Tong von ĐTPT 3" xfId="6732"/>
    <cellStyle name="T_09f_TienluongThannhaso9_Tong von ĐTPT_BIEU KE HOACH  2015 (KTN 6.11 sua)" xfId="6733"/>
    <cellStyle name="T_09f_TienluongThannhaso9_Viec Huy dang lam" xfId="6734"/>
    <cellStyle name="T_09f_TienluongThannhaso9_Viec Huy dang lam_CT 134" xfId="6735"/>
    <cellStyle name="T_10b_PhanThanNhaSo10" xfId="6736"/>
    <cellStyle name="T_10b_PhanThanNhaSo10 2" xfId="6737"/>
    <cellStyle name="T_10b_PhanThanNhaSo10_Bieu chi tieu KH 2014 (Huy-04-11)" xfId="6738"/>
    <cellStyle name="T_10b_PhanThanNhaSo10_Bieu chi tieu KH 2014 (Huy-04-11) 2" xfId="6739"/>
    <cellStyle name="T_10b_PhanThanNhaSo10_bieu ke hoach dau thau" xfId="6740"/>
    <cellStyle name="T_10b_PhanThanNhaSo10_bieu ke hoach dau thau 2" xfId="6741"/>
    <cellStyle name="T_10b_PhanThanNhaSo10_bieu ke hoach dau thau 3" xfId="6742"/>
    <cellStyle name="T_10b_PhanThanNhaSo10_bieu ke hoach dau thau truong mam non SKH" xfId="6743"/>
    <cellStyle name="T_10b_PhanThanNhaSo10_bieu ke hoach dau thau truong mam non SKH 2" xfId="6744"/>
    <cellStyle name="T_10b_PhanThanNhaSo10_bieu ke hoach dau thau truong mam non SKH 3" xfId="6745"/>
    <cellStyle name="T_10b_PhanThanNhaSo10_bieu ke hoach dau thau truong mam non SKH_BIEU KE HOACH  2015 (KTN 6.11 sua)" xfId="6746"/>
    <cellStyle name="T_10b_PhanThanNhaSo10_bieu ke hoach dau thau_BIEU KE HOACH  2015 (KTN 6.11 sua)" xfId="6747"/>
    <cellStyle name="T_10b_PhanThanNhaSo10_bieu tong hop lai kh von 2011 gui phong TH-KTDN" xfId="6748"/>
    <cellStyle name="T_10b_PhanThanNhaSo10_bieu tong hop lai kh von 2011 gui phong TH-KTDN 2" xfId="6749"/>
    <cellStyle name="T_10b_PhanThanNhaSo10_bieu tong hop lai kh von 2011 gui phong TH-KTDN 3" xfId="6750"/>
    <cellStyle name="T_10b_PhanThanNhaSo10_bieu tong hop lai kh von 2011 gui phong TH-KTDN_BIEU KE HOACH  2015 (KTN 6.11 sua)" xfId="6751"/>
    <cellStyle name="T_10b_PhanThanNhaSo10_Book1" xfId="6752"/>
    <cellStyle name="T_10b_PhanThanNhaSo10_Book1 2" xfId="6753"/>
    <cellStyle name="T_10b_PhanThanNhaSo10_Book1 3" xfId="6754"/>
    <cellStyle name="T_10b_PhanThanNhaSo10_Book1_BIEU KE HOACH  2015 (KTN 6.11 sua)" xfId="6755"/>
    <cellStyle name="T_10b_PhanThanNhaSo10_Book1_Ke hoach 2010 (theo doi 11-8-2010)" xfId="6756"/>
    <cellStyle name="T_10b_PhanThanNhaSo10_Book1_Ke hoach 2010 (theo doi 11-8-2010) 2" xfId="6757"/>
    <cellStyle name="T_10b_PhanThanNhaSo10_Book1_Ke hoach 2010 (theo doi 11-8-2010) 3" xfId="6758"/>
    <cellStyle name="T_10b_PhanThanNhaSo10_Book1_Ke hoach 2010 (theo doi 11-8-2010)_BIEU KE HOACH  2015 (KTN 6.11 sua)" xfId="6759"/>
    <cellStyle name="T_10b_PhanThanNhaSo10_Book1_ke hoach dau thau 30-6-2010" xfId="6760"/>
    <cellStyle name="T_10b_PhanThanNhaSo10_Book1_ke hoach dau thau 30-6-2010 2" xfId="6761"/>
    <cellStyle name="T_10b_PhanThanNhaSo10_Book1_ke hoach dau thau 30-6-2010 3" xfId="6762"/>
    <cellStyle name="T_10b_PhanThanNhaSo10_Book1_ke hoach dau thau 30-6-2010_BIEU KE HOACH  2015 (KTN 6.11 sua)" xfId="6763"/>
    <cellStyle name="T_10b_PhanThanNhaSo10_Copy of KH PHAN BO VON ĐỐI ỨNG NAM 2011 (30 TY phuong án gop WB)" xfId="6764"/>
    <cellStyle name="T_10b_PhanThanNhaSo10_Copy of KH PHAN BO VON ĐỐI ỨNG NAM 2011 (30 TY phuong án gop WB) 2" xfId="6765"/>
    <cellStyle name="T_10b_PhanThanNhaSo10_Copy of KH PHAN BO VON ĐỐI ỨNG NAM 2011 (30 TY phuong án gop WB) 3" xfId="6766"/>
    <cellStyle name="T_10b_PhanThanNhaSo10_Copy of KH PHAN BO VON ĐỐI ỨNG NAM 2011 (30 TY phuong án gop WB)_BIEU KE HOACH  2015 (KTN 6.11 sua)" xfId="6767"/>
    <cellStyle name="T_10b_PhanThanNhaSo10_DTTD chieng chan Tham lai 29-9-2009" xfId="6768"/>
    <cellStyle name="T_10b_PhanThanNhaSo10_DTTD chieng chan Tham lai 29-9-2009 2" xfId="6769"/>
    <cellStyle name="T_10b_PhanThanNhaSo10_DTTD chieng chan Tham lai 29-9-2009 3" xfId="6770"/>
    <cellStyle name="T_10b_PhanThanNhaSo10_DTTD chieng chan Tham lai 29-9-2009_BIEU KE HOACH  2015 (KTN 6.11 sua)" xfId="6771"/>
    <cellStyle name="T_10b_PhanThanNhaSo10_Du toan nuoc San Thang (GD2)" xfId="6773"/>
    <cellStyle name="T_10b_PhanThanNhaSo10_Du toan nuoc San Thang (GD2) 2" xfId="6774"/>
    <cellStyle name="T_10b_PhanThanNhaSo10_Du toan nuoc San Thang (GD2) 3" xfId="6775"/>
    <cellStyle name="T_10b_PhanThanNhaSo10_Du toan nuoc San Thang (GD2)_BIEU KE HOACH  2015 (KTN 6.11 sua)" xfId="6776"/>
    <cellStyle name="T_10b_PhanThanNhaSo10_dự toán 30a 2013" xfId="6772"/>
    <cellStyle name="T_10b_PhanThanNhaSo10_Ke hoach 2010 (theo doi 11-8-2010)" xfId="6777"/>
    <cellStyle name="T_10b_PhanThanNhaSo10_Ke hoach 2010 (theo doi 11-8-2010) 2" xfId="6778"/>
    <cellStyle name="T_10b_PhanThanNhaSo10_Ke hoach 2010 (theo doi 11-8-2010) 3" xfId="6779"/>
    <cellStyle name="T_10b_PhanThanNhaSo10_Ke hoach 2010 (theo doi 11-8-2010)_BIEU KE HOACH  2015 (KTN 6.11 sua)" xfId="6780"/>
    <cellStyle name="T_10b_PhanThanNhaSo10_ke hoach dau thau 30-6-2010" xfId="6781"/>
    <cellStyle name="T_10b_PhanThanNhaSo10_ke hoach dau thau 30-6-2010 2" xfId="6782"/>
    <cellStyle name="T_10b_PhanThanNhaSo10_ke hoach dau thau 30-6-2010 3" xfId="6783"/>
    <cellStyle name="T_10b_PhanThanNhaSo10_ke hoach dau thau 30-6-2010_BIEU KE HOACH  2015 (KTN 6.11 sua)" xfId="6784"/>
    <cellStyle name="T_10b_PhanThanNhaSo10_KH Von 2012 gui BKH 1" xfId="6785"/>
    <cellStyle name="T_10b_PhanThanNhaSo10_KH Von 2012 gui BKH 1 2" xfId="6786"/>
    <cellStyle name="T_10b_PhanThanNhaSo10_KH Von 2012 gui BKH 1 3" xfId="6787"/>
    <cellStyle name="T_10b_PhanThanNhaSo10_KH Von 2012 gui BKH 1_BIEU KE HOACH  2015 (KTN 6.11 sua)" xfId="6788"/>
    <cellStyle name="T_10b_PhanThanNhaSo10_QD ke hoach dau thau" xfId="6789"/>
    <cellStyle name="T_10b_PhanThanNhaSo10_QD ke hoach dau thau 2" xfId="6790"/>
    <cellStyle name="T_10b_PhanThanNhaSo10_QD ke hoach dau thau 3" xfId="6791"/>
    <cellStyle name="T_10b_PhanThanNhaSo10_QD ke hoach dau thau_BIEU KE HOACH  2015 (KTN 6.11 sua)" xfId="6792"/>
    <cellStyle name="T_10b_PhanThanNhaSo10_Ra soat KH von 2011 (Huy-11-11-11)" xfId="6793"/>
    <cellStyle name="T_10b_PhanThanNhaSo10_Ra soat KH von 2011 (Huy-11-11-11) 2" xfId="6794"/>
    <cellStyle name="T_10b_PhanThanNhaSo10_Ra soat KH von 2011 (Huy-11-11-11) 3" xfId="6795"/>
    <cellStyle name="T_10b_PhanThanNhaSo10_Ra soat KH von 2011 (Huy-11-11-11)_BIEU KE HOACH  2015 (KTN 6.11 sua)" xfId="6796"/>
    <cellStyle name="T_10b_PhanThanNhaSo10_tinh toan hoang ha" xfId="6797"/>
    <cellStyle name="T_10b_PhanThanNhaSo10_tinh toan hoang ha 2" xfId="6798"/>
    <cellStyle name="T_10b_PhanThanNhaSo10_tinh toan hoang ha 3" xfId="6799"/>
    <cellStyle name="T_10b_PhanThanNhaSo10_tinh toan hoang ha_BIEU KE HOACH  2015 (KTN 6.11 sua)" xfId="6800"/>
    <cellStyle name="T_10b_PhanThanNhaSo10_Tong von ĐTPT" xfId="6801"/>
    <cellStyle name="T_10b_PhanThanNhaSo10_Tong von ĐTPT 2" xfId="6802"/>
    <cellStyle name="T_10b_PhanThanNhaSo10_Tong von ĐTPT 3" xfId="6803"/>
    <cellStyle name="T_10b_PhanThanNhaSo10_Tong von ĐTPT_BIEU KE HOACH  2015 (KTN 6.11 sua)" xfId="6804"/>
    <cellStyle name="T_10b_PhanThanNhaSo10_Viec Huy dang lam" xfId="6805"/>
    <cellStyle name="T_10b_PhanThanNhaSo10_Viec Huy dang lam_CT 134" xfId="6806"/>
    <cellStyle name="T_6 GIAN 3 TANG" xfId="6807"/>
    <cellStyle name="T_6 GIAN 3 TANG 2" xfId="6808"/>
    <cellStyle name="T_6 GIAN 3 TANG 3" xfId="6809"/>
    <cellStyle name="T_6 GIAN 3 TANG_BIEU KE HOACH  2015 (KTN 6.11 sua)" xfId="6810"/>
    <cellStyle name="T_bao cao" xfId="6811"/>
    <cellStyle name="T_bao cao 2" xfId="6812"/>
    <cellStyle name="T_bao cao 3" xfId="6813"/>
    <cellStyle name="T_Bao cao kttb milk yomilkYAO-mien bac" xfId="6814"/>
    <cellStyle name="T_Bao cao kttb milk yomilkYAO-mien bac 2" xfId="6815"/>
    <cellStyle name="T_Bao cao kttb milk yomilkYAO-mien bac 3" xfId="6816"/>
    <cellStyle name="T_Bao cao kttb milk yomilkYAO-mien bac_CT 134" xfId="6817"/>
    <cellStyle name="T_Bao cao so lieu kiem toan nam 2007 sua" xfId="6818"/>
    <cellStyle name="T_Bao cao so lieu kiem toan nam 2007 sua 2" xfId="6819"/>
    <cellStyle name="T_Bao cao so lieu kiem toan nam 2007 sua 3" xfId="6820"/>
    <cellStyle name="T_Bao cao so lieu kiem toan nam 2007 sua_CT 134" xfId="6821"/>
    <cellStyle name="T_Bao cao tinh hinh xay dung" xfId="6822"/>
    <cellStyle name="T_Bao cao TPCP" xfId="6823"/>
    <cellStyle name="T_Bao cao TPCP 2" xfId="6824"/>
    <cellStyle name="T_Bao cao TPCP 3" xfId="6825"/>
    <cellStyle name="T_Bao cao TPCP_BIEU KE HOACH  2015 (KTN 6.11 sua)" xfId="6826"/>
    <cellStyle name="T_bao cao_BIEU KE HOACH  2015 (KTN 6.11 sua)" xfId="6827"/>
    <cellStyle name="T_BBTNG-06" xfId="6828"/>
    <cellStyle name="T_BBTNG-06 2" xfId="6829"/>
    <cellStyle name="T_BBTNG-06 3" xfId="6830"/>
    <cellStyle name="T_BBTNG-06_BIEU KE HOACH  2015 (KTN 6.11 sua)" xfId="6831"/>
    <cellStyle name="T_BC CTMT-2008 Ttinh" xfId="6832"/>
    <cellStyle name="T_BC CTMT-2008 Ttinh 2" xfId="6833"/>
    <cellStyle name="T_BC CTMT-2008 Ttinh 3" xfId="6834"/>
    <cellStyle name="T_BC CTMT-2008 Ttinh_CT 134" xfId="6835"/>
    <cellStyle name="T_bc_km_ngay" xfId="6836"/>
    <cellStyle name="T_bc_km_ngay 2" xfId="6837"/>
    <cellStyle name="T_bc_km_ngay 3" xfId="6838"/>
    <cellStyle name="T_bc_km_ngay_CT 134" xfId="6839"/>
    <cellStyle name="T_Bieu  KH CTMT QG trinh HDND" xfId="6840"/>
    <cellStyle name="T_Bieu  KH CTMT QG trinh HDND 2" xfId="6841"/>
    <cellStyle name="T_Bieu  KH CTMT QG trinh HDND 3" xfId="6842"/>
    <cellStyle name="T_Bieu  KH CTMT QG trinh HDND_BIEU KE HOACH  2015 (KTN 6.11 sua)" xfId="6843"/>
    <cellStyle name="T_Bieu chi tieu KH 2008 10_12 IN" xfId="6844"/>
    <cellStyle name="T_Bieu chi tieu KH 2008 10_12 IN 2" xfId="6845"/>
    <cellStyle name="T_Bieu chi tieu KH 2008 10_12 IN 3" xfId="6846"/>
    <cellStyle name="T_Bieu chi tieu KH 2008 10_12 IN_BIEU KE HOACH  2015 (KTN 6.11 sua)" xfId="6847"/>
    <cellStyle name="T_Bieu chi tieu KH 2014 (Huy-04-11)" xfId="6848"/>
    <cellStyle name="T_Bieu chi tieu KH 2014 (Huy-04-11) 2" xfId="6849"/>
    <cellStyle name="T_BIEU KE HOACH  2015 (KTN 6.11 sua)" xfId="6850"/>
    <cellStyle name="T_bieu ke hoach dau thau" xfId="6851"/>
    <cellStyle name="T_bieu ke hoach dau thau 2" xfId="6852"/>
    <cellStyle name="T_bieu ke hoach dau thau 3" xfId="6853"/>
    <cellStyle name="T_bieu ke hoach dau thau truong mam non SKH" xfId="6854"/>
    <cellStyle name="T_bieu ke hoach dau thau truong mam non SKH 2" xfId="6855"/>
    <cellStyle name="T_bieu ke hoach dau thau truong mam non SKH 3" xfId="6856"/>
    <cellStyle name="T_bieu ke hoach dau thau truong mam non SKH_BIEU KE HOACH  2015 (KTN 6.11 sua)" xfId="6857"/>
    <cellStyle name="T_bieu ke hoach dau thau_BIEU KE HOACH  2015 (KTN 6.11 sua)" xfId="6858"/>
    <cellStyle name="T_Bieu mau danh muc du an thuoc CTMTQG nam 2008" xfId="6859"/>
    <cellStyle name="T_Bieu mau danh muc du an thuoc CTMTQG nam 2008 2" xfId="6860"/>
    <cellStyle name="T_Bieu mau danh muc du an thuoc CTMTQG nam 2008 3" xfId="6861"/>
    <cellStyle name="T_Bieu mau danh muc du an thuoc CTMTQG nam 2008_CT 134" xfId="6862"/>
    <cellStyle name="T_bieu tong hop lai kh von 2011 gui phong TH-KTDN" xfId="6863"/>
    <cellStyle name="T_bieu tong hop lai kh von 2011 gui phong TH-KTDN 2" xfId="6864"/>
    <cellStyle name="T_bieu tong hop lai kh von 2011 gui phong TH-KTDN 3" xfId="6865"/>
    <cellStyle name="T_bieu tong hop lai kh von 2011 gui phong TH-KTDN_BIEU KE HOACH  2015 (KTN 6.11 sua)" xfId="6866"/>
    <cellStyle name="T_Bieu tong hop nhu cau ung 2011 da chon loc -Mien nui" xfId="6868"/>
    <cellStyle name="T_Bieu tong hop nhu cau ung 2011 da chon loc -Mien nui 2" xfId="6869"/>
    <cellStyle name="T_Bieu tong hop nhu cau ung 2011 da chon loc -Mien nui 3" xfId="6870"/>
    <cellStyle name="T_Bieu tong hop nhu cau ung 2011 da chon loc -Mien nui_CT 134" xfId="6871"/>
    <cellStyle name="T_bieu tong hop Sinh0" xfId="6872"/>
    <cellStyle name="T_Bieu TPCP Quynh sua ngay 14_7 IN" xfId="6873"/>
    <cellStyle name="T_Bieu TPCP Quynh sua ngay 14_7 IN 2" xfId="6874"/>
    <cellStyle name="T_bieu1" xfId="6875"/>
    <cellStyle name="T_BIỂU TỔNG HỢP LẦN CUỐI SỬA THEO NGHI QUYẾT SỐ 81" xfId="6867"/>
    <cellStyle name="T_Book1" xfId="6876"/>
    <cellStyle name="T_Book1 2" xfId="6877"/>
    <cellStyle name="T_Book1 3" xfId="6878"/>
    <cellStyle name="T_Book1 4" xfId="6879"/>
    <cellStyle name="T_Book1 5" xfId="6880"/>
    <cellStyle name="T_Book1_09_BangTongHopKinhPhiNhaso9" xfId="6881"/>
    <cellStyle name="T_Book1_09_BangTongHopKinhPhiNhaso9 2" xfId="6882"/>
    <cellStyle name="T_Book1_09_BangTongHopKinhPhiNhaso9 3" xfId="6883"/>
    <cellStyle name="T_Book1_09_BangTongHopKinhPhiNhaso9_Bieu chi tieu KH 2014 (Huy-04-11)" xfId="6884"/>
    <cellStyle name="T_Book1_09_BangTongHopKinhPhiNhaso9_bieu ke hoach dau thau" xfId="6885"/>
    <cellStyle name="T_Book1_09_BangTongHopKinhPhiNhaso9_bieu ke hoach dau thau 2" xfId="6886"/>
    <cellStyle name="T_Book1_09_BangTongHopKinhPhiNhaso9_bieu ke hoach dau thau truong mam non SKH" xfId="6887"/>
    <cellStyle name="T_Book1_09_BangTongHopKinhPhiNhaso9_bieu ke hoach dau thau truong mam non SKH 2" xfId="6888"/>
    <cellStyle name="T_Book1_09_BangTongHopKinhPhiNhaso9_bieu tong hop lai kh von 2011 gui phong TH-KTDN" xfId="6889"/>
    <cellStyle name="T_Book1_09_BangTongHopKinhPhiNhaso9_bieu tong hop lai kh von 2011 gui phong TH-KTDN 2" xfId="6890"/>
    <cellStyle name="T_Book1_09_BangTongHopKinhPhiNhaso9_Book1" xfId="6891"/>
    <cellStyle name="T_Book1_09_BangTongHopKinhPhiNhaso9_Book1 2" xfId="6892"/>
    <cellStyle name="T_Book1_09_BangTongHopKinhPhiNhaso9_Book1_Ke hoach 2010 (theo doi 11-8-2010)" xfId="6893"/>
    <cellStyle name="T_Book1_09_BangTongHopKinhPhiNhaso9_Book1_Ke hoach 2010 (theo doi 11-8-2010) 2" xfId="6894"/>
    <cellStyle name="T_Book1_09_BangTongHopKinhPhiNhaso9_Book1_ke hoach dau thau 30-6-2010" xfId="6895"/>
    <cellStyle name="T_Book1_09_BangTongHopKinhPhiNhaso9_Book1_ke hoach dau thau 30-6-2010 2" xfId="6896"/>
    <cellStyle name="T_Book1_09_BangTongHopKinhPhiNhaso9_Copy of KH PHAN BO VON ĐỐI ỨNG NAM 2011 (30 TY phuong án gop WB)" xfId="6897"/>
    <cellStyle name="T_Book1_09_BangTongHopKinhPhiNhaso9_Copy of KH PHAN BO VON ĐỐI ỨNG NAM 2011 (30 TY phuong án gop WB) 2" xfId="6898"/>
    <cellStyle name="T_Book1_09_BangTongHopKinhPhiNhaso9_DTTD chieng chan Tham lai 29-9-2009" xfId="6899"/>
    <cellStyle name="T_Book1_09_BangTongHopKinhPhiNhaso9_DTTD chieng chan Tham lai 29-9-2009 2" xfId="6900"/>
    <cellStyle name="T_Book1_09_BangTongHopKinhPhiNhaso9_Du toan nuoc San Thang (GD2)" xfId="6902"/>
    <cellStyle name="T_Book1_09_BangTongHopKinhPhiNhaso9_Du toan nuoc San Thang (GD2) 2" xfId="6903"/>
    <cellStyle name="T_Book1_09_BangTongHopKinhPhiNhaso9_dự toán 30a 2013" xfId="6901"/>
    <cellStyle name="T_Book1_09_BangTongHopKinhPhiNhaso9_Ke hoach 2010 (theo doi 11-8-2010)" xfId="6904"/>
    <cellStyle name="T_Book1_09_BangTongHopKinhPhiNhaso9_Ke hoach 2010 (theo doi 11-8-2010) 2" xfId="6905"/>
    <cellStyle name="T_Book1_09_BangTongHopKinhPhiNhaso9_ke hoach dau thau 30-6-2010" xfId="6906"/>
    <cellStyle name="T_Book1_09_BangTongHopKinhPhiNhaso9_ke hoach dau thau 30-6-2010 2" xfId="6907"/>
    <cellStyle name="T_Book1_09_BangTongHopKinhPhiNhaso9_KH Von 2012 gui BKH 1" xfId="6908"/>
    <cellStyle name="T_Book1_09_BangTongHopKinhPhiNhaso9_KH Von 2012 gui BKH 1 2" xfId="6909"/>
    <cellStyle name="T_Book1_09_BangTongHopKinhPhiNhaso9_QD ke hoach dau thau" xfId="6910"/>
    <cellStyle name="T_Book1_09_BangTongHopKinhPhiNhaso9_QD ke hoach dau thau 2" xfId="6911"/>
    <cellStyle name="T_Book1_09_BangTongHopKinhPhiNhaso9_Ra soat KH von 2011 (Huy-11-11-11)" xfId="6912"/>
    <cellStyle name="T_Book1_09_BangTongHopKinhPhiNhaso9_Ra soat KH von 2011 (Huy-11-11-11) 2" xfId="6913"/>
    <cellStyle name="T_Book1_09_BangTongHopKinhPhiNhaso9_tinh toan hoang ha" xfId="6914"/>
    <cellStyle name="T_Book1_09_BangTongHopKinhPhiNhaso9_tinh toan hoang ha 2" xfId="6915"/>
    <cellStyle name="T_Book1_09_BangTongHopKinhPhiNhaso9_Tong von ĐTPT" xfId="6916"/>
    <cellStyle name="T_Book1_09_BangTongHopKinhPhiNhaso9_Tong von ĐTPT 2" xfId="6917"/>
    <cellStyle name="T_Book1_09_BangTongHopKinhPhiNhaso9_Viec Huy dang lam" xfId="6918"/>
    <cellStyle name="T_Book1_09a_PhanMongNhaSo9" xfId="6919"/>
    <cellStyle name="T_Book1_09a_PhanMongNhaSo9 2" xfId="6920"/>
    <cellStyle name="T_Book1_09a_PhanMongNhaSo9_Bieu chi tieu KH 2014 (Huy-04-11)" xfId="6921"/>
    <cellStyle name="T_Book1_09a_PhanMongNhaSo9_Bieu chi tieu KH 2014 (Huy-04-11) 2" xfId="6922"/>
    <cellStyle name="T_Book1_09a_PhanMongNhaSo9_bieu ke hoach dau thau" xfId="6923"/>
    <cellStyle name="T_Book1_09a_PhanMongNhaSo9_bieu ke hoach dau thau 2" xfId="6924"/>
    <cellStyle name="T_Book1_09a_PhanMongNhaSo9_bieu ke hoach dau thau 2 2" xfId="6925"/>
    <cellStyle name="T_Book1_09a_PhanMongNhaSo9_bieu ke hoach dau thau 3" xfId="6926"/>
    <cellStyle name="T_Book1_09a_PhanMongNhaSo9_bieu ke hoach dau thau truong mam non SKH" xfId="6927"/>
    <cellStyle name="T_Book1_09a_PhanMongNhaSo9_bieu ke hoach dau thau truong mam non SKH 2" xfId="6928"/>
    <cellStyle name="T_Book1_09a_PhanMongNhaSo9_bieu ke hoach dau thau truong mam non SKH 2 2" xfId="6929"/>
    <cellStyle name="T_Book1_09a_PhanMongNhaSo9_bieu ke hoach dau thau truong mam non SKH 3" xfId="6930"/>
    <cellStyle name="T_Book1_09a_PhanMongNhaSo9_bieu ke hoach dau thau truong mam non SKH_BIEU KE HOACH  2015 (KTN 6.11 sua)" xfId="6931"/>
    <cellStyle name="T_Book1_09a_PhanMongNhaSo9_bieu ke hoach dau thau_BIEU KE HOACH  2015 (KTN 6.11 sua)" xfId="6932"/>
    <cellStyle name="T_Book1_09a_PhanMongNhaSo9_bieu tong hop lai kh von 2011 gui phong TH-KTDN" xfId="6933"/>
    <cellStyle name="T_Book1_09a_PhanMongNhaSo9_bieu tong hop lai kh von 2011 gui phong TH-KTDN 2" xfId="6934"/>
    <cellStyle name="T_Book1_09a_PhanMongNhaSo9_bieu tong hop lai kh von 2011 gui phong TH-KTDN 2 2" xfId="6935"/>
    <cellStyle name="T_Book1_09a_PhanMongNhaSo9_bieu tong hop lai kh von 2011 gui phong TH-KTDN 3" xfId="6936"/>
    <cellStyle name="T_Book1_09a_PhanMongNhaSo9_bieu tong hop lai kh von 2011 gui phong TH-KTDN_BIEU KE HOACH  2015 (KTN 6.11 sua)" xfId="6937"/>
    <cellStyle name="T_Book1_09a_PhanMongNhaSo9_Book1" xfId="6938"/>
    <cellStyle name="T_Book1_09a_PhanMongNhaSo9_Book1 2" xfId="6939"/>
    <cellStyle name="T_Book1_09a_PhanMongNhaSo9_Book1 2 2" xfId="6940"/>
    <cellStyle name="T_Book1_09a_PhanMongNhaSo9_Book1 3" xfId="6941"/>
    <cellStyle name="T_Book1_09a_PhanMongNhaSo9_Book1_BIEU KE HOACH  2015 (KTN 6.11 sua)" xfId="6942"/>
    <cellStyle name="T_Book1_09a_PhanMongNhaSo9_Book1_Ke hoach 2010 (theo doi 11-8-2010)" xfId="6943"/>
    <cellStyle name="T_Book1_09a_PhanMongNhaSo9_Book1_Ke hoach 2010 (theo doi 11-8-2010) 2" xfId="6944"/>
    <cellStyle name="T_Book1_09a_PhanMongNhaSo9_Book1_Ke hoach 2010 (theo doi 11-8-2010) 2 2" xfId="6945"/>
    <cellStyle name="T_Book1_09a_PhanMongNhaSo9_Book1_Ke hoach 2010 (theo doi 11-8-2010) 3" xfId="6946"/>
    <cellStyle name="T_Book1_09a_PhanMongNhaSo9_Book1_Ke hoach 2010 (theo doi 11-8-2010)_BIEU KE HOACH  2015 (KTN 6.11 sua)" xfId="6947"/>
    <cellStyle name="T_Book1_09a_PhanMongNhaSo9_Book1_ke hoach dau thau 30-6-2010" xfId="6948"/>
    <cellStyle name="T_Book1_09a_PhanMongNhaSo9_Book1_ke hoach dau thau 30-6-2010 2" xfId="6949"/>
    <cellStyle name="T_Book1_09a_PhanMongNhaSo9_Book1_ke hoach dau thau 30-6-2010 2 2" xfId="6950"/>
    <cellStyle name="T_Book1_09a_PhanMongNhaSo9_Book1_ke hoach dau thau 30-6-2010 3" xfId="6951"/>
    <cellStyle name="T_Book1_09a_PhanMongNhaSo9_Book1_ke hoach dau thau 30-6-2010_BIEU KE HOACH  2015 (KTN 6.11 sua)" xfId="6952"/>
    <cellStyle name="T_Book1_09a_PhanMongNhaSo9_Copy of KH PHAN BO VON ĐỐI ỨNG NAM 2011 (30 TY phuong án gop WB)" xfId="6953"/>
    <cellStyle name="T_Book1_09a_PhanMongNhaSo9_Copy of KH PHAN BO VON ĐỐI ỨNG NAM 2011 (30 TY phuong án gop WB) 2" xfId="6954"/>
    <cellStyle name="T_Book1_09a_PhanMongNhaSo9_Copy of KH PHAN BO VON ĐỐI ỨNG NAM 2011 (30 TY phuong án gop WB) 2 2" xfId="6955"/>
    <cellStyle name="T_Book1_09a_PhanMongNhaSo9_Copy of KH PHAN BO VON ĐỐI ỨNG NAM 2011 (30 TY phuong án gop WB) 3" xfId="6956"/>
    <cellStyle name="T_Book1_09a_PhanMongNhaSo9_Copy of KH PHAN BO VON ĐỐI ỨNG NAM 2011 (30 TY phuong án gop WB)_BIEU KE HOACH  2015 (KTN 6.11 sua)" xfId="6957"/>
    <cellStyle name="T_Book1_09a_PhanMongNhaSo9_DTTD chieng chan Tham lai 29-9-2009" xfId="6958"/>
    <cellStyle name="T_Book1_09a_PhanMongNhaSo9_DTTD chieng chan Tham lai 29-9-2009 2" xfId="6959"/>
    <cellStyle name="T_Book1_09a_PhanMongNhaSo9_DTTD chieng chan Tham lai 29-9-2009 2 2" xfId="6960"/>
    <cellStyle name="T_Book1_09a_PhanMongNhaSo9_DTTD chieng chan Tham lai 29-9-2009 3" xfId="6961"/>
    <cellStyle name="T_Book1_09a_PhanMongNhaSo9_DTTD chieng chan Tham lai 29-9-2009_BIEU KE HOACH  2015 (KTN 6.11 sua)" xfId="6962"/>
    <cellStyle name="T_Book1_09a_PhanMongNhaSo9_Du toan nuoc San Thang (GD2)" xfId="6964"/>
    <cellStyle name="T_Book1_09a_PhanMongNhaSo9_Du toan nuoc San Thang (GD2) 2" xfId="6965"/>
    <cellStyle name="T_Book1_09a_PhanMongNhaSo9_Du toan nuoc San Thang (GD2) 2 2" xfId="6966"/>
    <cellStyle name="T_Book1_09a_PhanMongNhaSo9_Du toan nuoc San Thang (GD2) 3" xfId="6967"/>
    <cellStyle name="T_Book1_09a_PhanMongNhaSo9_Du toan nuoc San Thang (GD2)_BIEU KE HOACH  2015 (KTN 6.11 sua)" xfId="6968"/>
    <cellStyle name="T_Book1_09a_PhanMongNhaSo9_dự toán 30a 2013" xfId="6963"/>
    <cellStyle name="T_Book1_09a_PhanMongNhaSo9_Ke hoach 2010 (theo doi 11-8-2010)" xfId="6969"/>
    <cellStyle name="T_Book1_09a_PhanMongNhaSo9_Ke hoach 2010 (theo doi 11-8-2010) 2" xfId="6970"/>
    <cellStyle name="T_Book1_09a_PhanMongNhaSo9_Ke hoach 2010 (theo doi 11-8-2010) 2 2" xfId="6971"/>
    <cellStyle name="T_Book1_09a_PhanMongNhaSo9_Ke hoach 2010 (theo doi 11-8-2010) 3" xfId="6972"/>
    <cellStyle name="T_Book1_09a_PhanMongNhaSo9_Ke hoach 2010 (theo doi 11-8-2010)_BIEU KE HOACH  2015 (KTN 6.11 sua)" xfId="6973"/>
    <cellStyle name="T_Book1_09a_PhanMongNhaSo9_ke hoach dau thau 30-6-2010" xfId="6974"/>
    <cellStyle name="T_Book1_09a_PhanMongNhaSo9_ke hoach dau thau 30-6-2010 2" xfId="6975"/>
    <cellStyle name="T_Book1_09a_PhanMongNhaSo9_ke hoach dau thau 30-6-2010 2 2" xfId="6976"/>
    <cellStyle name="T_Book1_09a_PhanMongNhaSo9_ke hoach dau thau 30-6-2010 3" xfId="6977"/>
    <cellStyle name="T_Book1_09a_PhanMongNhaSo9_ke hoach dau thau 30-6-2010_BIEU KE HOACH  2015 (KTN 6.11 sua)" xfId="6978"/>
    <cellStyle name="T_Book1_09a_PhanMongNhaSo9_KH Von 2012 gui BKH 1" xfId="6979"/>
    <cellStyle name="T_Book1_09a_PhanMongNhaSo9_KH Von 2012 gui BKH 1 2" xfId="6980"/>
    <cellStyle name="T_Book1_09a_PhanMongNhaSo9_KH Von 2012 gui BKH 1 2 2" xfId="6981"/>
    <cellStyle name="T_Book1_09a_PhanMongNhaSo9_KH Von 2012 gui BKH 1 3" xfId="6982"/>
    <cellStyle name="T_Book1_09a_PhanMongNhaSo9_KH Von 2012 gui BKH 1_BIEU KE HOACH  2015 (KTN 6.11 sua)" xfId="6983"/>
    <cellStyle name="T_Book1_09a_PhanMongNhaSo9_QD ke hoach dau thau" xfId="6984"/>
    <cellStyle name="T_Book1_09a_PhanMongNhaSo9_QD ke hoach dau thau 2" xfId="6985"/>
    <cellStyle name="T_Book1_09a_PhanMongNhaSo9_QD ke hoach dau thau 2 2" xfId="6986"/>
    <cellStyle name="T_Book1_09a_PhanMongNhaSo9_QD ke hoach dau thau 3" xfId="6987"/>
    <cellStyle name="T_Book1_09a_PhanMongNhaSo9_QD ke hoach dau thau_BIEU KE HOACH  2015 (KTN 6.11 sua)" xfId="6988"/>
    <cellStyle name="T_Book1_09a_PhanMongNhaSo9_Ra soat KH von 2011 (Huy-11-11-11)" xfId="6989"/>
    <cellStyle name="T_Book1_09a_PhanMongNhaSo9_Ra soat KH von 2011 (Huy-11-11-11) 2" xfId="6990"/>
    <cellStyle name="T_Book1_09a_PhanMongNhaSo9_Ra soat KH von 2011 (Huy-11-11-11) 2 2" xfId="6991"/>
    <cellStyle name="T_Book1_09a_PhanMongNhaSo9_Ra soat KH von 2011 (Huy-11-11-11) 3" xfId="6992"/>
    <cellStyle name="T_Book1_09a_PhanMongNhaSo9_Ra soat KH von 2011 (Huy-11-11-11)_BIEU KE HOACH  2015 (KTN 6.11 sua)" xfId="6993"/>
    <cellStyle name="T_Book1_09a_PhanMongNhaSo9_tinh toan hoang ha" xfId="6994"/>
    <cellStyle name="T_Book1_09a_PhanMongNhaSo9_tinh toan hoang ha 2" xfId="6995"/>
    <cellStyle name="T_Book1_09a_PhanMongNhaSo9_tinh toan hoang ha 2 2" xfId="6996"/>
    <cellStyle name="T_Book1_09a_PhanMongNhaSo9_tinh toan hoang ha 3" xfId="6997"/>
    <cellStyle name="T_Book1_09a_PhanMongNhaSo9_tinh toan hoang ha_BIEU KE HOACH  2015 (KTN 6.11 sua)" xfId="6998"/>
    <cellStyle name="T_Book1_09a_PhanMongNhaSo9_Tong von ĐTPT" xfId="6999"/>
    <cellStyle name="T_Book1_09a_PhanMongNhaSo9_Tong von ĐTPT 2" xfId="7000"/>
    <cellStyle name="T_Book1_09a_PhanMongNhaSo9_Tong von ĐTPT 2 2" xfId="7001"/>
    <cellStyle name="T_Book1_09a_PhanMongNhaSo9_Tong von ĐTPT 3" xfId="7002"/>
    <cellStyle name="T_Book1_09a_PhanMongNhaSo9_Tong von ĐTPT_BIEU KE HOACH  2015 (KTN 6.11 sua)" xfId="7003"/>
    <cellStyle name="T_Book1_09a_PhanMongNhaSo9_Viec Huy dang lam" xfId="7004"/>
    <cellStyle name="T_Book1_09a_PhanMongNhaSo9_Viec Huy dang lam_CT 134" xfId="7005"/>
    <cellStyle name="T_Book1_09b_PhanThannhaso9" xfId="7006"/>
    <cellStyle name="T_Book1_09b_PhanThannhaso9 2" xfId="7007"/>
    <cellStyle name="T_Book1_09b_PhanThannhaso9_Bieu chi tieu KH 2014 (Huy-04-11)" xfId="7008"/>
    <cellStyle name="T_Book1_09b_PhanThannhaso9_Bieu chi tieu KH 2014 (Huy-04-11) 2" xfId="7009"/>
    <cellStyle name="T_Book1_09b_PhanThannhaso9_bieu ke hoach dau thau" xfId="7010"/>
    <cellStyle name="T_Book1_09b_PhanThannhaso9_bieu ke hoach dau thau 2" xfId="7011"/>
    <cellStyle name="T_Book1_09b_PhanThannhaso9_bieu ke hoach dau thau 2 2" xfId="7012"/>
    <cellStyle name="T_Book1_09b_PhanThannhaso9_bieu ke hoach dau thau 3" xfId="7013"/>
    <cellStyle name="T_Book1_09b_PhanThannhaso9_bieu ke hoach dau thau truong mam non SKH" xfId="7014"/>
    <cellStyle name="T_Book1_09b_PhanThannhaso9_bieu ke hoach dau thau truong mam non SKH 2" xfId="7015"/>
    <cellStyle name="T_Book1_09b_PhanThannhaso9_bieu ke hoach dau thau truong mam non SKH 2 2" xfId="7016"/>
    <cellStyle name="T_Book1_09b_PhanThannhaso9_bieu ke hoach dau thau truong mam non SKH 3" xfId="7017"/>
    <cellStyle name="T_Book1_09b_PhanThannhaso9_bieu ke hoach dau thau truong mam non SKH_BIEU KE HOACH  2015 (KTN 6.11 sua)" xfId="7018"/>
    <cellStyle name="T_Book1_09b_PhanThannhaso9_bieu ke hoach dau thau_BIEU KE HOACH  2015 (KTN 6.11 sua)" xfId="7019"/>
    <cellStyle name="T_Book1_09b_PhanThannhaso9_bieu tong hop lai kh von 2011 gui phong TH-KTDN" xfId="7020"/>
    <cellStyle name="T_Book1_09b_PhanThannhaso9_bieu tong hop lai kh von 2011 gui phong TH-KTDN 2" xfId="7021"/>
    <cellStyle name="T_Book1_09b_PhanThannhaso9_bieu tong hop lai kh von 2011 gui phong TH-KTDN 2 2" xfId="7022"/>
    <cellStyle name="T_Book1_09b_PhanThannhaso9_bieu tong hop lai kh von 2011 gui phong TH-KTDN 3" xfId="7023"/>
    <cellStyle name="T_Book1_09b_PhanThannhaso9_bieu tong hop lai kh von 2011 gui phong TH-KTDN_BIEU KE HOACH  2015 (KTN 6.11 sua)" xfId="7024"/>
    <cellStyle name="T_Book1_09b_PhanThannhaso9_Book1" xfId="7025"/>
    <cellStyle name="T_Book1_09b_PhanThannhaso9_Book1 2" xfId="7026"/>
    <cellStyle name="T_Book1_09b_PhanThannhaso9_Book1 2 2" xfId="7027"/>
    <cellStyle name="T_Book1_09b_PhanThannhaso9_Book1 3" xfId="7028"/>
    <cellStyle name="T_Book1_09b_PhanThannhaso9_Book1_BIEU KE HOACH  2015 (KTN 6.11 sua)" xfId="7029"/>
    <cellStyle name="T_Book1_09b_PhanThannhaso9_Book1_Ke hoach 2010 (theo doi 11-8-2010)" xfId="7030"/>
    <cellStyle name="T_Book1_09b_PhanThannhaso9_Book1_Ke hoach 2010 (theo doi 11-8-2010) 2" xfId="7031"/>
    <cellStyle name="T_Book1_09b_PhanThannhaso9_Book1_Ke hoach 2010 (theo doi 11-8-2010) 2 2" xfId="7032"/>
    <cellStyle name="T_Book1_09b_PhanThannhaso9_Book1_Ke hoach 2010 (theo doi 11-8-2010) 3" xfId="7033"/>
    <cellStyle name="T_Book1_09b_PhanThannhaso9_Book1_Ke hoach 2010 (theo doi 11-8-2010)_BIEU KE HOACH  2015 (KTN 6.11 sua)" xfId="7034"/>
    <cellStyle name="T_Book1_09b_PhanThannhaso9_Book1_ke hoach dau thau 30-6-2010" xfId="7035"/>
    <cellStyle name="T_Book1_09b_PhanThannhaso9_Book1_ke hoach dau thau 30-6-2010 2" xfId="7036"/>
    <cellStyle name="T_Book1_09b_PhanThannhaso9_Book1_ke hoach dau thau 30-6-2010 2 2" xfId="7037"/>
    <cellStyle name="T_Book1_09b_PhanThannhaso9_Book1_ke hoach dau thau 30-6-2010 3" xfId="7038"/>
    <cellStyle name="T_Book1_09b_PhanThannhaso9_Book1_ke hoach dau thau 30-6-2010_BIEU KE HOACH  2015 (KTN 6.11 sua)" xfId="7039"/>
    <cellStyle name="T_Book1_09b_PhanThannhaso9_Copy of KH PHAN BO VON ĐỐI ỨNG NAM 2011 (30 TY phuong án gop WB)" xfId="7040"/>
    <cellStyle name="T_Book1_09b_PhanThannhaso9_Copy of KH PHAN BO VON ĐỐI ỨNG NAM 2011 (30 TY phuong án gop WB) 2" xfId="7041"/>
    <cellStyle name="T_Book1_09b_PhanThannhaso9_Copy of KH PHAN BO VON ĐỐI ỨNG NAM 2011 (30 TY phuong án gop WB) 2 2" xfId="7042"/>
    <cellStyle name="T_Book1_09b_PhanThannhaso9_Copy of KH PHAN BO VON ĐỐI ỨNG NAM 2011 (30 TY phuong án gop WB) 3" xfId="7043"/>
    <cellStyle name="T_Book1_09b_PhanThannhaso9_Copy of KH PHAN BO VON ĐỐI ỨNG NAM 2011 (30 TY phuong án gop WB)_BIEU KE HOACH  2015 (KTN 6.11 sua)" xfId="7044"/>
    <cellStyle name="T_Book1_09b_PhanThannhaso9_DTTD chieng chan Tham lai 29-9-2009" xfId="7045"/>
    <cellStyle name="T_Book1_09b_PhanThannhaso9_DTTD chieng chan Tham lai 29-9-2009 2" xfId="7046"/>
    <cellStyle name="T_Book1_09b_PhanThannhaso9_DTTD chieng chan Tham lai 29-9-2009 2 2" xfId="7047"/>
    <cellStyle name="T_Book1_09b_PhanThannhaso9_DTTD chieng chan Tham lai 29-9-2009 3" xfId="7048"/>
    <cellStyle name="T_Book1_09b_PhanThannhaso9_DTTD chieng chan Tham lai 29-9-2009_BIEU KE HOACH  2015 (KTN 6.11 sua)" xfId="7049"/>
    <cellStyle name="T_Book1_09b_PhanThannhaso9_Du toan nuoc San Thang (GD2)" xfId="7051"/>
    <cellStyle name="T_Book1_09b_PhanThannhaso9_Du toan nuoc San Thang (GD2) 2" xfId="7052"/>
    <cellStyle name="T_Book1_09b_PhanThannhaso9_Du toan nuoc San Thang (GD2) 2 2" xfId="7053"/>
    <cellStyle name="T_Book1_09b_PhanThannhaso9_Du toan nuoc San Thang (GD2) 3" xfId="7054"/>
    <cellStyle name="T_Book1_09b_PhanThannhaso9_Du toan nuoc San Thang (GD2)_BIEU KE HOACH  2015 (KTN 6.11 sua)" xfId="7055"/>
    <cellStyle name="T_Book1_09b_PhanThannhaso9_dự toán 30a 2013" xfId="7050"/>
    <cellStyle name="T_Book1_09b_PhanThannhaso9_Ke hoach 2010 (theo doi 11-8-2010)" xfId="7056"/>
    <cellStyle name="T_Book1_09b_PhanThannhaso9_Ke hoach 2010 (theo doi 11-8-2010) 2" xfId="7057"/>
    <cellStyle name="T_Book1_09b_PhanThannhaso9_Ke hoach 2010 (theo doi 11-8-2010) 2 2" xfId="7058"/>
    <cellStyle name="T_Book1_09b_PhanThannhaso9_Ke hoach 2010 (theo doi 11-8-2010) 3" xfId="7059"/>
    <cellStyle name="T_Book1_09b_PhanThannhaso9_Ke hoach 2010 (theo doi 11-8-2010)_BIEU KE HOACH  2015 (KTN 6.11 sua)" xfId="7060"/>
    <cellStyle name="T_Book1_09b_PhanThannhaso9_ke hoach dau thau 30-6-2010" xfId="7061"/>
    <cellStyle name="T_Book1_09b_PhanThannhaso9_ke hoach dau thau 30-6-2010 2" xfId="7062"/>
    <cellStyle name="T_Book1_09b_PhanThannhaso9_ke hoach dau thau 30-6-2010 2 2" xfId="7063"/>
    <cellStyle name="T_Book1_09b_PhanThannhaso9_ke hoach dau thau 30-6-2010 3" xfId="7064"/>
    <cellStyle name="T_Book1_09b_PhanThannhaso9_ke hoach dau thau 30-6-2010_BIEU KE HOACH  2015 (KTN 6.11 sua)" xfId="7065"/>
    <cellStyle name="T_Book1_09b_PhanThannhaso9_KH Von 2012 gui BKH 1" xfId="7066"/>
    <cellStyle name="T_Book1_09b_PhanThannhaso9_KH Von 2012 gui BKH 1 2" xfId="7067"/>
    <cellStyle name="T_Book1_09b_PhanThannhaso9_KH Von 2012 gui BKH 1 2 2" xfId="7068"/>
    <cellStyle name="T_Book1_09b_PhanThannhaso9_KH Von 2012 gui BKH 1 3" xfId="7069"/>
    <cellStyle name="T_Book1_09b_PhanThannhaso9_KH Von 2012 gui BKH 1_BIEU KE HOACH  2015 (KTN 6.11 sua)" xfId="7070"/>
    <cellStyle name="T_Book1_09b_PhanThannhaso9_QD ke hoach dau thau" xfId="7071"/>
    <cellStyle name="T_Book1_09b_PhanThannhaso9_QD ke hoach dau thau 2" xfId="7072"/>
    <cellStyle name="T_Book1_09b_PhanThannhaso9_QD ke hoach dau thau 2 2" xfId="7073"/>
    <cellStyle name="T_Book1_09b_PhanThannhaso9_QD ke hoach dau thau 3" xfId="7074"/>
    <cellStyle name="T_Book1_09b_PhanThannhaso9_QD ke hoach dau thau_BIEU KE HOACH  2015 (KTN 6.11 sua)" xfId="7075"/>
    <cellStyle name="T_Book1_09b_PhanThannhaso9_Ra soat KH von 2011 (Huy-11-11-11)" xfId="7076"/>
    <cellStyle name="T_Book1_09b_PhanThannhaso9_Ra soat KH von 2011 (Huy-11-11-11) 2" xfId="7077"/>
    <cellStyle name="T_Book1_09b_PhanThannhaso9_Ra soat KH von 2011 (Huy-11-11-11) 2 2" xfId="7078"/>
    <cellStyle name="T_Book1_09b_PhanThannhaso9_Ra soat KH von 2011 (Huy-11-11-11) 3" xfId="7079"/>
    <cellStyle name="T_Book1_09b_PhanThannhaso9_Ra soat KH von 2011 (Huy-11-11-11)_BIEU KE HOACH  2015 (KTN 6.11 sua)" xfId="7080"/>
    <cellStyle name="T_Book1_09b_PhanThannhaso9_tinh toan hoang ha" xfId="7081"/>
    <cellStyle name="T_Book1_09b_PhanThannhaso9_tinh toan hoang ha 2" xfId="7082"/>
    <cellStyle name="T_Book1_09b_PhanThannhaso9_tinh toan hoang ha 2 2" xfId="7083"/>
    <cellStyle name="T_Book1_09b_PhanThannhaso9_tinh toan hoang ha 3" xfId="7084"/>
    <cellStyle name="T_Book1_09b_PhanThannhaso9_tinh toan hoang ha_BIEU KE HOACH  2015 (KTN 6.11 sua)" xfId="7085"/>
    <cellStyle name="T_Book1_09b_PhanThannhaso9_Tong von ĐTPT" xfId="7086"/>
    <cellStyle name="T_Book1_09b_PhanThannhaso9_Tong von ĐTPT 2" xfId="7087"/>
    <cellStyle name="T_Book1_09b_PhanThannhaso9_Tong von ĐTPT 2 2" xfId="7088"/>
    <cellStyle name="T_Book1_09b_PhanThannhaso9_Tong von ĐTPT 3" xfId="7089"/>
    <cellStyle name="T_Book1_09b_PhanThannhaso9_Tong von ĐTPT_BIEU KE HOACH  2015 (KTN 6.11 sua)" xfId="7090"/>
    <cellStyle name="T_Book1_09b_PhanThannhaso9_Viec Huy dang lam" xfId="7091"/>
    <cellStyle name="T_Book1_09b_PhanThannhaso9_Viec Huy dang lam_CT 134" xfId="7092"/>
    <cellStyle name="T_Book1_09c_PhandienNhaso9" xfId="7093"/>
    <cellStyle name="T_Book1_09c_PhandienNhaso9 2" xfId="7094"/>
    <cellStyle name="T_Book1_09c_PhandienNhaso9_Bieu chi tieu KH 2014 (Huy-04-11)" xfId="7095"/>
    <cellStyle name="T_Book1_09c_PhandienNhaso9_Bieu chi tieu KH 2014 (Huy-04-11) 2" xfId="7096"/>
    <cellStyle name="T_Book1_09c_PhandienNhaso9_bieu ke hoach dau thau" xfId="7097"/>
    <cellStyle name="T_Book1_09c_PhandienNhaso9_bieu ke hoach dau thau 2" xfId="7098"/>
    <cellStyle name="T_Book1_09c_PhandienNhaso9_bieu ke hoach dau thau 2 2" xfId="7099"/>
    <cellStyle name="T_Book1_09c_PhandienNhaso9_bieu ke hoach dau thau 3" xfId="7100"/>
    <cellStyle name="T_Book1_09c_PhandienNhaso9_bieu ke hoach dau thau truong mam non SKH" xfId="7101"/>
    <cellStyle name="T_Book1_09c_PhandienNhaso9_bieu ke hoach dau thau truong mam non SKH 2" xfId="7102"/>
    <cellStyle name="T_Book1_09c_PhandienNhaso9_bieu ke hoach dau thau truong mam non SKH 2 2" xfId="7103"/>
    <cellStyle name="T_Book1_09c_PhandienNhaso9_bieu ke hoach dau thau truong mam non SKH 3" xfId="7104"/>
    <cellStyle name="T_Book1_09c_PhandienNhaso9_bieu ke hoach dau thau truong mam non SKH_BIEU KE HOACH  2015 (KTN 6.11 sua)" xfId="7105"/>
    <cellStyle name="T_Book1_09c_PhandienNhaso9_bieu ke hoach dau thau_BIEU KE HOACH  2015 (KTN 6.11 sua)" xfId="7106"/>
    <cellStyle name="T_Book1_09c_PhandienNhaso9_bieu tong hop lai kh von 2011 gui phong TH-KTDN" xfId="7107"/>
    <cellStyle name="T_Book1_09c_PhandienNhaso9_bieu tong hop lai kh von 2011 gui phong TH-KTDN 2" xfId="7108"/>
    <cellStyle name="T_Book1_09c_PhandienNhaso9_bieu tong hop lai kh von 2011 gui phong TH-KTDN 2 2" xfId="7109"/>
    <cellStyle name="T_Book1_09c_PhandienNhaso9_bieu tong hop lai kh von 2011 gui phong TH-KTDN 3" xfId="7110"/>
    <cellStyle name="T_Book1_09c_PhandienNhaso9_bieu tong hop lai kh von 2011 gui phong TH-KTDN_BIEU KE HOACH  2015 (KTN 6.11 sua)" xfId="7111"/>
    <cellStyle name="T_Book1_09c_PhandienNhaso9_Book1" xfId="7112"/>
    <cellStyle name="T_Book1_09c_PhandienNhaso9_Book1 2" xfId="7113"/>
    <cellStyle name="T_Book1_09c_PhandienNhaso9_Book1 2 2" xfId="7114"/>
    <cellStyle name="T_Book1_09c_PhandienNhaso9_Book1 3" xfId="7115"/>
    <cellStyle name="T_Book1_09c_PhandienNhaso9_Book1_BIEU KE HOACH  2015 (KTN 6.11 sua)" xfId="7116"/>
    <cellStyle name="T_Book1_09c_PhandienNhaso9_Book1_Ke hoach 2010 (theo doi 11-8-2010)" xfId="7117"/>
    <cellStyle name="T_Book1_09c_PhandienNhaso9_Book1_Ke hoach 2010 (theo doi 11-8-2010) 2" xfId="7118"/>
    <cellStyle name="T_Book1_09c_PhandienNhaso9_Book1_Ke hoach 2010 (theo doi 11-8-2010) 2 2" xfId="7119"/>
    <cellStyle name="T_Book1_09c_PhandienNhaso9_Book1_Ke hoach 2010 (theo doi 11-8-2010) 3" xfId="7120"/>
    <cellStyle name="T_Book1_09c_PhandienNhaso9_Book1_Ke hoach 2010 (theo doi 11-8-2010)_BIEU KE HOACH  2015 (KTN 6.11 sua)" xfId="7121"/>
    <cellStyle name="T_Book1_09c_PhandienNhaso9_Book1_ke hoach dau thau 30-6-2010" xfId="7122"/>
    <cellStyle name="T_Book1_09c_PhandienNhaso9_Book1_ke hoach dau thau 30-6-2010 2" xfId="7123"/>
    <cellStyle name="T_Book1_09c_PhandienNhaso9_Book1_ke hoach dau thau 30-6-2010 2 2" xfId="7124"/>
    <cellStyle name="T_Book1_09c_PhandienNhaso9_Book1_ke hoach dau thau 30-6-2010 3" xfId="7125"/>
    <cellStyle name="T_Book1_09c_PhandienNhaso9_Book1_ke hoach dau thau 30-6-2010_BIEU KE HOACH  2015 (KTN 6.11 sua)" xfId="7126"/>
    <cellStyle name="T_Book1_09c_PhandienNhaso9_Copy of KH PHAN BO VON ĐỐI ỨNG NAM 2011 (30 TY phuong án gop WB)" xfId="7127"/>
    <cellStyle name="T_Book1_09c_PhandienNhaso9_Copy of KH PHAN BO VON ĐỐI ỨNG NAM 2011 (30 TY phuong án gop WB) 2" xfId="7128"/>
    <cellStyle name="T_Book1_09c_PhandienNhaso9_Copy of KH PHAN BO VON ĐỐI ỨNG NAM 2011 (30 TY phuong án gop WB) 2 2" xfId="7129"/>
    <cellStyle name="T_Book1_09c_PhandienNhaso9_Copy of KH PHAN BO VON ĐỐI ỨNG NAM 2011 (30 TY phuong án gop WB) 3" xfId="7130"/>
    <cellStyle name="T_Book1_09c_PhandienNhaso9_Copy of KH PHAN BO VON ĐỐI ỨNG NAM 2011 (30 TY phuong án gop WB)_BIEU KE HOACH  2015 (KTN 6.11 sua)" xfId="7131"/>
    <cellStyle name="T_Book1_09c_PhandienNhaso9_DTTD chieng chan Tham lai 29-9-2009" xfId="7132"/>
    <cellStyle name="T_Book1_09c_PhandienNhaso9_DTTD chieng chan Tham lai 29-9-2009 2" xfId="7133"/>
    <cellStyle name="T_Book1_09c_PhandienNhaso9_DTTD chieng chan Tham lai 29-9-2009 2 2" xfId="7134"/>
    <cellStyle name="T_Book1_09c_PhandienNhaso9_DTTD chieng chan Tham lai 29-9-2009 3" xfId="7135"/>
    <cellStyle name="T_Book1_09c_PhandienNhaso9_DTTD chieng chan Tham lai 29-9-2009_BIEU KE HOACH  2015 (KTN 6.11 sua)" xfId="7136"/>
    <cellStyle name="T_Book1_09c_PhandienNhaso9_Du toan nuoc San Thang (GD2)" xfId="7138"/>
    <cellStyle name="T_Book1_09c_PhandienNhaso9_Du toan nuoc San Thang (GD2) 2" xfId="7139"/>
    <cellStyle name="T_Book1_09c_PhandienNhaso9_Du toan nuoc San Thang (GD2) 2 2" xfId="7140"/>
    <cellStyle name="T_Book1_09c_PhandienNhaso9_Du toan nuoc San Thang (GD2) 3" xfId="7141"/>
    <cellStyle name="T_Book1_09c_PhandienNhaso9_Du toan nuoc San Thang (GD2)_BIEU KE HOACH  2015 (KTN 6.11 sua)" xfId="7142"/>
    <cellStyle name="T_Book1_09c_PhandienNhaso9_dự toán 30a 2013" xfId="7137"/>
    <cellStyle name="T_Book1_09c_PhandienNhaso9_Ke hoach 2010 (theo doi 11-8-2010)" xfId="7143"/>
    <cellStyle name="T_Book1_09c_PhandienNhaso9_Ke hoach 2010 (theo doi 11-8-2010) 2" xfId="7144"/>
    <cellStyle name="T_Book1_09c_PhandienNhaso9_Ke hoach 2010 (theo doi 11-8-2010) 2 2" xfId="7145"/>
    <cellStyle name="T_Book1_09c_PhandienNhaso9_Ke hoach 2010 (theo doi 11-8-2010) 3" xfId="7146"/>
    <cellStyle name="T_Book1_09c_PhandienNhaso9_Ke hoach 2010 (theo doi 11-8-2010)_BIEU KE HOACH  2015 (KTN 6.11 sua)" xfId="7147"/>
    <cellStyle name="T_Book1_09c_PhandienNhaso9_ke hoach dau thau 30-6-2010" xfId="7148"/>
    <cellStyle name="T_Book1_09c_PhandienNhaso9_ke hoach dau thau 30-6-2010 2" xfId="7149"/>
    <cellStyle name="T_Book1_09c_PhandienNhaso9_ke hoach dau thau 30-6-2010 2 2" xfId="7150"/>
    <cellStyle name="T_Book1_09c_PhandienNhaso9_ke hoach dau thau 30-6-2010 3" xfId="7151"/>
    <cellStyle name="T_Book1_09c_PhandienNhaso9_ke hoach dau thau 30-6-2010_BIEU KE HOACH  2015 (KTN 6.11 sua)" xfId="7152"/>
    <cellStyle name="T_Book1_09c_PhandienNhaso9_KH Von 2012 gui BKH 1" xfId="7153"/>
    <cellStyle name="T_Book1_09c_PhandienNhaso9_KH Von 2012 gui BKH 1 2" xfId="7154"/>
    <cellStyle name="T_Book1_09c_PhandienNhaso9_KH Von 2012 gui BKH 1 2 2" xfId="7155"/>
    <cellStyle name="T_Book1_09c_PhandienNhaso9_KH Von 2012 gui BKH 1 3" xfId="7156"/>
    <cellStyle name="T_Book1_09c_PhandienNhaso9_KH Von 2012 gui BKH 1_BIEU KE HOACH  2015 (KTN 6.11 sua)" xfId="7157"/>
    <cellStyle name="T_Book1_09c_PhandienNhaso9_QD ke hoach dau thau" xfId="7158"/>
    <cellStyle name="T_Book1_09c_PhandienNhaso9_QD ke hoach dau thau 2" xfId="7159"/>
    <cellStyle name="T_Book1_09c_PhandienNhaso9_QD ke hoach dau thau 2 2" xfId="7160"/>
    <cellStyle name="T_Book1_09c_PhandienNhaso9_QD ke hoach dau thau 3" xfId="7161"/>
    <cellStyle name="T_Book1_09c_PhandienNhaso9_QD ke hoach dau thau_BIEU KE HOACH  2015 (KTN 6.11 sua)" xfId="7162"/>
    <cellStyle name="T_Book1_09c_PhandienNhaso9_Ra soat KH von 2011 (Huy-11-11-11)" xfId="7163"/>
    <cellStyle name="T_Book1_09c_PhandienNhaso9_Ra soat KH von 2011 (Huy-11-11-11) 2" xfId="7164"/>
    <cellStyle name="T_Book1_09c_PhandienNhaso9_Ra soat KH von 2011 (Huy-11-11-11) 2 2" xfId="7165"/>
    <cellStyle name="T_Book1_09c_PhandienNhaso9_Ra soat KH von 2011 (Huy-11-11-11) 3" xfId="7166"/>
    <cellStyle name="T_Book1_09c_PhandienNhaso9_Ra soat KH von 2011 (Huy-11-11-11)_BIEU KE HOACH  2015 (KTN 6.11 sua)" xfId="7167"/>
    <cellStyle name="T_Book1_09c_PhandienNhaso9_tinh toan hoang ha" xfId="7168"/>
    <cellStyle name="T_Book1_09c_PhandienNhaso9_tinh toan hoang ha 2" xfId="7169"/>
    <cellStyle name="T_Book1_09c_PhandienNhaso9_tinh toan hoang ha 2 2" xfId="7170"/>
    <cellStyle name="T_Book1_09c_PhandienNhaso9_tinh toan hoang ha 3" xfId="7171"/>
    <cellStyle name="T_Book1_09c_PhandienNhaso9_tinh toan hoang ha_BIEU KE HOACH  2015 (KTN 6.11 sua)" xfId="7172"/>
    <cellStyle name="T_Book1_09c_PhandienNhaso9_Tong von ĐTPT" xfId="7173"/>
    <cellStyle name="T_Book1_09c_PhandienNhaso9_Tong von ĐTPT 2" xfId="7174"/>
    <cellStyle name="T_Book1_09c_PhandienNhaso9_Tong von ĐTPT 2 2" xfId="7175"/>
    <cellStyle name="T_Book1_09c_PhandienNhaso9_Tong von ĐTPT 3" xfId="7176"/>
    <cellStyle name="T_Book1_09c_PhandienNhaso9_Tong von ĐTPT_BIEU KE HOACH  2015 (KTN 6.11 sua)" xfId="7177"/>
    <cellStyle name="T_Book1_09c_PhandienNhaso9_Viec Huy dang lam" xfId="7178"/>
    <cellStyle name="T_Book1_09c_PhandienNhaso9_Viec Huy dang lam_CT 134" xfId="7179"/>
    <cellStyle name="T_Book1_09d_Phannuocnhaso9" xfId="7180"/>
    <cellStyle name="T_Book1_09d_Phannuocnhaso9 2" xfId="7181"/>
    <cellStyle name="T_Book1_09d_Phannuocnhaso9_Bieu chi tieu KH 2014 (Huy-04-11)" xfId="7182"/>
    <cellStyle name="T_Book1_09d_Phannuocnhaso9_Bieu chi tieu KH 2014 (Huy-04-11) 2" xfId="7183"/>
    <cellStyle name="T_Book1_09d_Phannuocnhaso9_bieu ke hoach dau thau" xfId="7184"/>
    <cellStyle name="T_Book1_09d_Phannuocnhaso9_bieu ke hoach dau thau 2" xfId="7185"/>
    <cellStyle name="T_Book1_09d_Phannuocnhaso9_bieu ke hoach dau thau 2 2" xfId="7186"/>
    <cellStyle name="T_Book1_09d_Phannuocnhaso9_bieu ke hoach dau thau 3" xfId="7187"/>
    <cellStyle name="T_Book1_09d_Phannuocnhaso9_bieu ke hoach dau thau truong mam non SKH" xfId="7188"/>
    <cellStyle name="T_Book1_09d_Phannuocnhaso9_bieu ke hoach dau thau truong mam non SKH 2" xfId="7189"/>
    <cellStyle name="T_Book1_09d_Phannuocnhaso9_bieu ke hoach dau thau truong mam non SKH 2 2" xfId="7190"/>
    <cellStyle name="T_Book1_09d_Phannuocnhaso9_bieu ke hoach dau thau truong mam non SKH 3" xfId="7191"/>
    <cellStyle name="T_Book1_09d_Phannuocnhaso9_bieu ke hoach dau thau truong mam non SKH_BIEU KE HOACH  2015 (KTN 6.11 sua)" xfId="7192"/>
    <cellStyle name="T_Book1_09d_Phannuocnhaso9_bieu ke hoach dau thau_BIEU KE HOACH  2015 (KTN 6.11 sua)" xfId="7193"/>
    <cellStyle name="T_Book1_09d_Phannuocnhaso9_bieu tong hop lai kh von 2011 gui phong TH-KTDN" xfId="7194"/>
    <cellStyle name="T_Book1_09d_Phannuocnhaso9_bieu tong hop lai kh von 2011 gui phong TH-KTDN 2" xfId="7195"/>
    <cellStyle name="T_Book1_09d_Phannuocnhaso9_bieu tong hop lai kh von 2011 gui phong TH-KTDN 2 2" xfId="7196"/>
    <cellStyle name="T_Book1_09d_Phannuocnhaso9_bieu tong hop lai kh von 2011 gui phong TH-KTDN 3" xfId="7197"/>
    <cellStyle name="T_Book1_09d_Phannuocnhaso9_bieu tong hop lai kh von 2011 gui phong TH-KTDN_BIEU KE HOACH  2015 (KTN 6.11 sua)" xfId="7198"/>
    <cellStyle name="T_Book1_09d_Phannuocnhaso9_Book1" xfId="7199"/>
    <cellStyle name="T_Book1_09d_Phannuocnhaso9_Book1 2" xfId="7200"/>
    <cellStyle name="T_Book1_09d_Phannuocnhaso9_Book1 2 2" xfId="7201"/>
    <cellStyle name="T_Book1_09d_Phannuocnhaso9_Book1 3" xfId="7202"/>
    <cellStyle name="T_Book1_09d_Phannuocnhaso9_Book1_BIEU KE HOACH  2015 (KTN 6.11 sua)" xfId="7203"/>
    <cellStyle name="T_Book1_09d_Phannuocnhaso9_Book1_Ke hoach 2010 (theo doi 11-8-2010)" xfId="7204"/>
    <cellStyle name="T_Book1_09d_Phannuocnhaso9_Book1_Ke hoach 2010 (theo doi 11-8-2010) 2" xfId="7205"/>
    <cellStyle name="T_Book1_09d_Phannuocnhaso9_Book1_Ke hoach 2010 (theo doi 11-8-2010) 2 2" xfId="7206"/>
    <cellStyle name="T_Book1_09d_Phannuocnhaso9_Book1_Ke hoach 2010 (theo doi 11-8-2010) 3" xfId="7207"/>
    <cellStyle name="T_Book1_09d_Phannuocnhaso9_Book1_Ke hoach 2010 (theo doi 11-8-2010)_BIEU KE HOACH  2015 (KTN 6.11 sua)" xfId="7208"/>
    <cellStyle name="T_Book1_09d_Phannuocnhaso9_Book1_ke hoach dau thau 30-6-2010" xfId="7209"/>
    <cellStyle name="T_Book1_09d_Phannuocnhaso9_Book1_ke hoach dau thau 30-6-2010 2" xfId="7210"/>
    <cellStyle name="T_Book1_09d_Phannuocnhaso9_Book1_ke hoach dau thau 30-6-2010 2 2" xfId="7211"/>
    <cellStyle name="T_Book1_09d_Phannuocnhaso9_Book1_ke hoach dau thau 30-6-2010 3" xfId="7212"/>
    <cellStyle name="T_Book1_09d_Phannuocnhaso9_Book1_ke hoach dau thau 30-6-2010_BIEU KE HOACH  2015 (KTN 6.11 sua)" xfId="7213"/>
    <cellStyle name="T_Book1_09d_Phannuocnhaso9_Copy of KH PHAN BO VON ĐỐI ỨNG NAM 2011 (30 TY phuong án gop WB)" xfId="7214"/>
    <cellStyle name="T_Book1_09d_Phannuocnhaso9_Copy of KH PHAN BO VON ĐỐI ỨNG NAM 2011 (30 TY phuong án gop WB) 2" xfId="7215"/>
    <cellStyle name="T_Book1_09d_Phannuocnhaso9_Copy of KH PHAN BO VON ĐỐI ỨNG NAM 2011 (30 TY phuong án gop WB) 2 2" xfId="7216"/>
    <cellStyle name="T_Book1_09d_Phannuocnhaso9_Copy of KH PHAN BO VON ĐỐI ỨNG NAM 2011 (30 TY phuong án gop WB) 3" xfId="7217"/>
    <cellStyle name="T_Book1_09d_Phannuocnhaso9_Copy of KH PHAN BO VON ĐỐI ỨNG NAM 2011 (30 TY phuong án gop WB)_BIEU KE HOACH  2015 (KTN 6.11 sua)" xfId="7218"/>
    <cellStyle name="T_Book1_09d_Phannuocnhaso9_DTTD chieng chan Tham lai 29-9-2009" xfId="7219"/>
    <cellStyle name="T_Book1_09d_Phannuocnhaso9_DTTD chieng chan Tham lai 29-9-2009 2" xfId="7220"/>
    <cellStyle name="T_Book1_09d_Phannuocnhaso9_DTTD chieng chan Tham lai 29-9-2009 2 2" xfId="7221"/>
    <cellStyle name="T_Book1_09d_Phannuocnhaso9_DTTD chieng chan Tham lai 29-9-2009 3" xfId="7222"/>
    <cellStyle name="T_Book1_09d_Phannuocnhaso9_DTTD chieng chan Tham lai 29-9-2009_BIEU KE HOACH  2015 (KTN 6.11 sua)" xfId="7223"/>
    <cellStyle name="T_Book1_09d_Phannuocnhaso9_Du toan nuoc San Thang (GD2)" xfId="7225"/>
    <cellStyle name="T_Book1_09d_Phannuocnhaso9_Du toan nuoc San Thang (GD2) 2" xfId="7226"/>
    <cellStyle name="T_Book1_09d_Phannuocnhaso9_Du toan nuoc San Thang (GD2) 2 2" xfId="7227"/>
    <cellStyle name="T_Book1_09d_Phannuocnhaso9_Du toan nuoc San Thang (GD2) 3" xfId="7228"/>
    <cellStyle name="T_Book1_09d_Phannuocnhaso9_Du toan nuoc San Thang (GD2)_BIEU KE HOACH  2015 (KTN 6.11 sua)" xfId="7229"/>
    <cellStyle name="T_Book1_09d_Phannuocnhaso9_dự toán 30a 2013" xfId="7224"/>
    <cellStyle name="T_Book1_09d_Phannuocnhaso9_Ke hoach 2010 (theo doi 11-8-2010)" xfId="7230"/>
    <cellStyle name="T_Book1_09d_Phannuocnhaso9_Ke hoach 2010 (theo doi 11-8-2010) 2" xfId="7231"/>
    <cellStyle name="T_Book1_09d_Phannuocnhaso9_Ke hoach 2010 (theo doi 11-8-2010) 2 2" xfId="7232"/>
    <cellStyle name="T_Book1_09d_Phannuocnhaso9_Ke hoach 2010 (theo doi 11-8-2010) 3" xfId="7233"/>
    <cellStyle name="T_Book1_09d_Phannuocnhaso9_Ke hoach 2010 (theo doi 11-8-2010)_BIEU KE HOACH  2015 (KTN 6.11 sua)" xfId="7234"/>
    <cellStyle name="T_Book1_09d_Phannuocnhaso9_ke hoach dau thau 30-6-2010" xfId="7235"/>
    <cellStyle name="T_Book1_09d_Phannuocnhaso9_ke hoach dau thau 30-6-2010 2" xfId="7236"/>
    <cellStyle name="T_Book1_09d_Phannuocnhaso9_ke hoach dau thau 30-6-2010 2 2" xfId="7237"/>
    <cellStyle name="T_Book1_09d_Phannuocnhaso9_ke hoach dau thau 30-6-2010 3" xfId="7238"/>
    <cellStyle name="T_Book1_09d_Phannuocnhaso9_ke hoach dau thau 30-6-2010_BIEU KE HOACH  2015 (KTN 6.11 sua)" xfId="7239"/>
    <cellStyle name="T_Book1_09d_Phannuocnhaso9_KH Von 2012 gui BKH 1" xfId="7240"/>
    <cellStyle name="T_Book1_09d_Phannuocnhaso9_KH Von 2012 gui BKH 1 2" xfId="7241"/>
    <cellStyle name="T_Book1_09d_Phannuocnhaso9_KH Von 2012 gui BKH 1 2 2" xfId="7242"/>
    <cellStyle name="T_Book1_09d_Phannuocnhaso9_KH Von 2012 gui BKH 1 3" xfId="7243"/>
    <cellStyle name="T_Book1_09d_Phannuocnhaso9_KH Von 2012 gui BKH 1_BIEU KE HOACH  2015 (KTN 6.11 sua)" xfId="7244"/>
    <cellStyle name="T_Book1_09d_Phannuocnhaso9_QD ke hoach dau thau" xfId="7245"/>
    <cellStyle name="T_Book1_09d_Phannuocnhaso9_QD ke hoach dau thau 2" xfId="7246"/>
    <cellStyle name="T_Book1_09d_Phannuocnhaso9_QD ke hoach dau thau 2 2" xfId="7247"/>
    <cellStyle name="T_Book1_09d_Phannuocnhaso9_QD ke hoach dau thau 3" xfId="7248"/>
    <cellStyle name="T_Book1_09d_Phannuocnhaso9_QD ke hoach dau thau_BIEU KE HOACH  2015 (KTN 6.11 sua)" xfId="7249"/>
    <cellStyle name="T_Book1_09d_Phannuocnhaso9_Ra soat KH von 2011 (Huy-11-11-11)" xfId="7250"/>
    <cellStyle name="T_Book1_09d_Phannuocnhaso9_Ra soat KH von 2011 (Huy-11-11-11) 2" xfId="7251"/>
    <cellStyle name="T_Book1_09d_Phannuocnhaso9_Ra soat KH von 2011 (Huy-11-11-11) 2 2" xfId="7252"/>
    <cellStyle name="T_Book1_09d_Phannuocnhaso9_Ra soat KH von 2011 (Huy-11-11-11) 3" xfId="7253"/>
    <cellStyle name="T_Book1_09d_Phannuocnhaso9_Ra soat KH von 2011 (Huy-11-11-11)_BIEU KE HOACH  2015 (KTN 6.11 sua)" xfId="7254"/>
    <cellStyle name="T_Book1_09d_Phannuocnhaso9_tinh toan hoang ha" xfId="7255"/>
    <cellStyle name="T_Book1_09d_Phannuocnhaso9_tinh toan hoang ha 2" xfId="7256"/>
    <cellStyle name="T_Book1_09d_Phannuocnhaso9_tinh toan hoang ha 2 2" xfId="7257"/>
    <cellStyle name="T_Book1_09d_Phannuocnhaso9_tinh toan hoang ha 3" xfId="7258"/>
    <cellStyle name="T_Book1_09d_Phannuocnhaso9_tinh toan hoang ha_BIEU KE HOACH  2015 (KTN 6.11 sua)" xfId="7259"/>
    <cellStyle name="T_Book1_09d_Phannuocnhaso9_Tong von ĐTPT" xfId="7260"/>
    <cellStyle name="T_Book1_09d_Phannuocnhaso9_Tong von ĐTPT 2" xfId="7261"/>
    <cellStyle name="T_Book1_09d_Phannuocnhaso9_Tong von ĐTPT 2 2" xfId="7262"/>
    <cellStyle name="T_Book1_09d_Phannuocnhaso9_Tong von ĐTPT 3" xfId="7263"/>
    <cellStyle name="T_Book1_09d_Phannuocnhaso9_Tong von ĐTPT_BIEU KE HOACH  2015 (KTN 6.11 sua)" xfId="7264"/>
    <cellStyle name="T_Book1_09d_Phannuocnhaso9_Viec Huy dang lam" xfId="7265"/>
    <cellStyle name="T_Book1_09d_Phannuocnhaso9_Viec Huy dang lam_CT 134" xfId="7266"/>
    <cellStyle name="T_Book1_09f_TienluongThannhaso9" xfId="7267"/>
    <cellStyle name="T_Book1_09f_TienluongThannhaso9 2" xfId="7268"/>
    <cellStyle name="T_Book1_09f_TienluongThannhaso9_Bieu chi tieu KH 2014 (Huy-04-11)" xfId="7269"/>
    <cellStyle name="T_Book1_09f_TienluongThannhaso9_Bieu chi tieu KH 2014 (Huy-04-11) 2" xfId="7270"/>
    <cellStyle name="T_Book1_09f_TienluongThannhaso9_bieu ke hoach dau thau" xfId="7271"/>
    <cellStyle name="T_Book1_09f_TienluongThannhaso9_bieu ke hoach dau thau 2" xfId="7272"/>
    <cellStyle name="T_Book1_09f_TienluongThannhaso9_bieu ke hoach dau thau 2 2" xfId="7273"/>
    <cellStyle name="T_Book1_09f_TienluongThannhaso9_bieu ke hoach dau thau 3" xfId="7274"/>
    <cellStyle name="T_Book1_09f_TienluongThannhaso9_bieu ke hoach dau thau truong mam non SKH" xfId="7275"/>
    <cellStyle name="T_Book1_09f_TienluongThannhaso9_bieu ke hoach dau thau truong mam non SKH 2" xfId="7276"/>
    <cellStyle name="T_Book1_09f_TienluongThannhaso9_bieu ke hoach dau thau truong mam non SKH 2 2" xfId="7277"/>
    <cellStyle name="T_Book1_09f_TienluongThannhaso9_bieu ke hoach dau thau truong mam non SKH 3" xfId="7278"/>
    <cellStyle name="T_Book1_09f_TienluongThannhaso9_bieu ke hoach dau thau truong mam non SKH_BIEU KE HOACH  2015 (KTN 6.11 sua)" xfId="7279"/>
    <cellStyle name="T_Book1_09f_TienluongThannhaso9_bieu ke hoach dau thau_BIEU KE HOACH  2015 (KTN 6.11 sua)" xfId="7280"/>
    <cellStyle name="T_Book1_09f_TienluongThannhaso9_bieu tong hop lai kh von 2011 gui phong TH-KTDN" xfId="7281"/>
    <cellStyle name="T_Book1_09f_TienluongThannhaso9_bieu tong hop lai kh von 2011 gui phong TH-KTDN 2" xfId="7282"/>
    <cellStyle name="T_Book1_09f_TienluongThannhaso9_bieu tong hop lai kh von 2011 gui phong TH-KTDN 2 2" xfId="7283"/>
    <cellStyle name="T_Book1_09f_TienluongThannhaso9_bieu tong hop lai kh von 2011 gui phong TH-KTDN 3" xfId="7284"/>
    <cellStyle name="T_Book1_09f_TienluongThannhaso9_bieu tong hop lai kh von 2011 gui phong TH-KTDN_BIEU KE HOACH  2015 (KTN 6.11 sua)" xfId="7285"/>
    <cellStyle name="T_Book1_09f_TienluongThannhaso9_Book1" xfId="7286"/>
    <cellStyle name="T_Book1_09f_TienluongThannhaso9_Book1 2" xfId="7287"/>
    <cellStyle name="T_Book1_09f_TienluongThannhaso9_Book1 2 2" xfId="7288"/>
    <cellStyle name="T_Book1_09f_TienluongThannhaso9_Book1 3" xfId="7289"/>
    <cellStyle name="T_Book1_09f_TienluongThannhaso9_Book1_BIEU KE HOACH  2015 (KTN 6.11 sua)" xfId="7290"/>
    <cellStyle name="T_Book1_09f_TienluongThannhaso9_Book1_Ke hoach 2010 (theo doi 11-8-2010)" xfId="7291"/>
    <cellStyle name="T_Book1_09f_TienluongThannhaso9_Book1_Ke hoach 2010 (theo doi 11-8-2010) 2" xfId="7292"/>
    <cellStyle name="T_Book1_09f_TienluongThannhaso9_Book1_Ke hoach 2010 (theo doi 11-8-2010) 2 2" xfId="7293"/>
    <cellStyle name="T_Book1_09f_TienluongThannhaso9_Book1_Ke hoach 2010 (theo doi 11-8-2010) 3" xfId="7294"/>
    <cellStyle name="T_Book1_09f_TienluongThannhaso9_Book1_Ke hoach 2010 (theo doi 11-8-2010)_BIEU KE HOACH  2015 (KTN 6.11 sua)" xfId="7295"/>
    <cellStyle name="T_Book1_09f_TienluongThannhaso9_Book1_ke hoach dau thau 30-6-2010" xfId="7296"/>
    <cellStyle name="T_Book1_09f_TienluongThannhaso9_Book1_ke hoach dau thau 30-6-2010 2" xfId="7297"/>
    <cellStyle name="T_Book1_09f_TienluongThannhaso9_Book1_ke hoach dau thau 30-6-2010 2 2" xfId="7298"/>
    <cellStyle name="T_Book1_09f_TienluongThannhaso9_Book1_ke hoach dau thau 30-6-2010 3" xfId="7299"/>
    <cellStyle name="T_Book1_09f_TienluongThannhaso9_Book1_ke hoach dau thau 30-6-2010_BIEU KE HOACH  2015 (KTN 6.11 sua)" xfId="7300"/>
    <cellStyle name="T_Book1_09f_TienluongThannhaso9_Copy of KH PHAN BO VON ĐỐI ỨNG NAM 2011 (30 TY phuong án gop WB)" xfId="7301"/>
    <cellStyle name="T_Book1_09f_TienluongThannhaso9_Copy of KH PHAN BO VON ĐỐI ỨNG NAM 2011 (30 TY phuong án gop WB) 2" xfId="7302"/>
    <cellStyle name="T_Book1_09f_TienluongThannhaso9_Copy of KH PHAN BO VON ĐỐI ỨNG NAM 2011 (30 TY phuong án gop WB) 2 2" xfId="7303"/>
    <cellStyle name="T_Book1_09f_TienluongThannhaso9_Copy of KH PHAN BO VON ĐỐI ỨNG NAM 2011 (30 TY phuong án gop WB) 3" xfId="7304"/>
    <cellStyle name="T_Book1_09f_TienluongThannhaso9_Copy of KH PHAN BO VON ĐỐI ỨNG NAM 2011 (30 TY phuong án gop WB)_BIEU KE HOACH  2015 (KTN 6.11 sua)" xfId="7305"/>
    <cellStyle name="T_Book1_09f_TienluongThannhaso9_DTTD chieng chan Tham lai 29-9-2009" xfId="7306"/>
    <cellStyle name="T_Book1_09f_TienluongThannhaso9_DTTD chieng chan Tham lai 29-9-2009 2" xfId="7307"/>
    <cellStyle name="T_Book1_09f_TienluongThannhaso9_DTTD chieng chan Tham lai 29-9-2009 2 2" xfId="7308"/>
    <cellStyle name="T_Book1_09f_TienluongThannhaso9_DTTD chieng chan Tham lai 29-9-2009 3" xfId="7309"/>
    <cellStyle name="T_Book1_09f_TienluongThannhaso9_DTTD chieng chan Tham lai 29-9-2009_BIEU KE HOACH  2015 (KTN 6.11 sua)" xfId="7310"/>
    <cellStyle name="T_Book1_09f_TienluongThannhaso9_Du toan nuoc San Thang (GD2)" xfId="7312"/>
    <cellStyle name="T_Book1_09f_TienluongThannhaso9_Du toan nuoc San Thang (GD2) 2" xfId="7313"/>
    <cellStyle name="T_Book1_09f_TienluongThannhaso9_Du toan nuoc San Thang (GD2) 2 2" xfId="7314"/>
    <cellStyle name="T_Book1_09f_TienluongThannhaso9_Du toan nuoc San Thang (GD2) 3" xfId="7315"/>
    <cellStyle name="T_Book1_09f_TienluongThannhaso9_Du toan nuoc San Thang (GD2)_BIEU KE HOACH  2015 (KTN 6.11 sua)" xfId="7316"/>
    <cellStyle name="T_Book1_09f_TienluongThannhaso9_dự toán 30a 2013" xfId="7311"/>
    <cellStyle name="T_Book1_09f_TienluongThannhaso9_Ke hoach 2010 (theo doi 11-8-2010)" xfId="7317"/>
    <cellStyle name="T_Book1_09f_TienluongThannhaso9_Ke hoach 2010 (theo doi 11-8-2010) 2" xfId="7318"/>
    <cellStyle name="T_Book1_09f_TienluongThannhaso9_Ke hoach 2010 (theo doi 11-8-2010) 2 2" xfId="7319"/>
    <cellStyle name="T_Book1_09f_TienluongThannhaso9_Ke hoach 2010 (theo doi 11-8-2010) 3" xfId="7320"/>
    <cellStyle name="T_Book1_09f_TienluongThannhaso9_Ke hoach 2010 (theo doi 11-8-2010)_BIEU KE HOACH  2015 (KTN 6.11 sua)" xfId="7321"/>
    <cellStyle name="T_Book1_09f_TienluongThannhaso9_ke hoach dau thau 30-6-2010" xfId="7322"/>
    <cellStyle name="T_Book1_09f_TienluongThannhaso9_ke hoach dau thau 30-6-2010 2" xfId="7323"/>
    <cellStyle name="T_Book1_09f_TienluongThannhaso9_ke hoach dau thau 30-6-2010 2 2" xfId="7324"/>
    <cellStyle name="T_Book1_09f_TienluongThannhaso9_ke hoach dau thau 30-6-2010 3" xfId="7325"/>
    <cellStyle name="T_Book1_09f_TienluongThannhaso9_ke hoach dau thau 30-6-2010_BIEU KE HOACH  2015 (KTN 6.11 sua)" xfId="7326"/>
    <cellStyle name="T_Book1_09f_TienluongThannhaso9_KH Von 2012 gui BKH 1" xfId="7327"/>
    <cellStyle name="T_Book1_09f_TienluongThannhaso9_KH Von 2012 gui BKH 1 2" xfId="7328"/>
    <cellStyle name="T_Book1_09f_TienluongThannhaso9_KH Von 2012 gui BKH 1 2 2" xfId="7329"/>
    <cellStyle name="T_Book1_09f_TienluongThannhaso9_KH Von 2012 gui BKH 1 3" xfId="7330"/>
    <cellStyle name="T_Book1_09f_TienluongThannhaso9_KH Von 2012 gui BKH 1_BIEU KE HOACH  2015 (KTN 6.11 sua)" xfId="7331"/>
    <cellStyle name="T_Book1_09f_TienluongThannhaso9_QD ke hoach dau thau" xfId="7332"/>
    <cellStyle name="T_Book1_09f_TienluongThannhaso9_QD ke hoach dau thau 2" xfId="7333"/>
    <cellStyle name="T_Book1_09f_TienluongThannhaso9_QD ke hoach dau thau 2 2" xfId="7334"/>
    <cellStyle name="T_Book1_09f_TienluongThannhaso9_QD ke hoach dau thau 3" xfId="7335"/>
    <cellStyle name="T_Book1_09f_TienluongThannhaso9_QD ke hoach dau thau_BIEU KE HOACH  2015 (KTN 6.11 sua)" xfId="7336"/>
    <cellStyle name="T_Book1_09f_TienluongThannhaso9_Ra soat KH von 2011 (Huy-11-11-11)" xfId="7337"/>
    <cellStyle name="T_Book1_09f_TienluongThannhaso9_Ra soat KH von 2011 (Huy-11-11-11) 2" xfId="7338"/>
    <cellStyle name="T_Book1_09f_TienluongThannhaso9_Ra soat KH von 2011 (Huy-11-11-11) 2 2" xfId="7339"/>
    <cellStyle name="T_Book1_09f_TienluongThannhaso9_Ra soat KH von 2011 (Huy-11-11-11) 3" xfId="7340"/>
    <cellStyle name="T_Book1_09f_TienluongThannhaso9_Ra soat KH von 2011 (Huy-11-11-11)_BIEU KE HOACH  2015 (KTN 6.11 sua)" xfId="7341"/>
    <cellStyle name="T_Book1_09f_TienluongThannhaso9_tinh toan hoang ha" xfId="7342"/>
    <cellStyle name="T_Book1_09f_TienluongThannhaso9_tinh toan hoang ha 2" xfId="7343"/>
    <cellStyle name="T_Book1_09f_TienluongThannhaso9_tinh toan hoang ha 2 2" xfId="7344"/>
    <cellStyle name="T_Book1_09f_TienluongThannhaso9_tinh toan hoang ha 3" xfId="7345"/>
    <cellStyle name="T_Book1_09f_TienluongThannhaso9_tinh toan hoang ha_BIEU KE HOACH  2015 (KTN 6.11 sua)" xfId="7346"/>
    <cellStyle name="T_Book1_09f_TienluongThannhaso9_Tong von ĐTPT" xfId="7347"/>
    <cellStyle name="T_Book1_09f_TienluongThannhaso9_Tong von ĐTPT 2" xfId="7348"/>
    <cellStyle name="T_Book1_09f_TienluongThannhaso9_Tong von ĐTPT 2 2" xfId="7349"/>
    <cellStyle name="T_Book1_09f_TienluongThannhaso9_Tong von ĐTPT 3" xfId="7350"/>
    <cellStyle name="T_Book1_09f_TienluongThannhaso9_Tong von ĐTPT_BIEU KE HOACH  2015 (KTN 6.11 sua)" xfId="7351"/>
    <cellStyle name="T_Book1_09f_TienluongThannhaso9_Viec Huy dang lam" xfId="7352"/>
    <cellStyle name="T_Book1_09f_TienluongThannhaso9_Viec Huy dang lam_CT 134" xfId="7353"/>
    <cellStyle name="T_Book1_1" xfId="7354"/>
    <cellStyle name="T_Book1_1 2" xfId="7355"/>
    <cellStyle name="T_Book1_1 2 2" xfId="7356"/>
    <cellStyle name="T_Book1_1 3" xfId="7357"/>
    <cellStyle name="T_Book1_1 4" xfId="7358"/>
    <cellStyle name="T_Book1_1 5" xfId="7359"/>
    <cellStyle name="T_Book1_1_Bao cao danh muc cac cong trinh tren dia ban huyen 4-2010" xfId="7360"/>
    <cellStyle name="T_Book1_1_Bao cao danh muc cac cong trinh tren dia ban huyen 4-2010 2" xfId="7361"/>
    <cellStyle name="T_Book1_1_Bao cao TPCP" xfId="7362"/>
    <cellStyle name="T_Book1_1_Bao cao TPCP 2" xfId="7363"/>
    <cellStyle name="T_Book1_1_Bao cao TPCP 2 2" xfId="7364"/>
    <cellStyle name="T_Book1_1_Bao cao TPCP 3" xfId="7365"/>
    <cellStyle name="T_Book1_1_Bao cao TPCP_BIEU KE HOACH  2015 (KTN 6.11 sua)" xfId="7366"/>
    <cellStyle name="T_Book1_1_bao_cao_TH_th_cong_tac_dau_thau_-_ngay251209" xfId="7367"/>
    <cellStyle name="T_Book1_1_bao_cao_TH_th_cong_tac_dau_thau_-_ngay251209 2" xfId="7368"/>
    <cellStyle name="T_Book1_1_Bieu chi tieu KH 2014 (Huy-04-11)" xfId="7369"/>
    <cellStyle name="T_Book1_1_BIEU KE HOACH  2015 (KTN 6.11 sua)" xfId="7370"/>
    <cellStyle name="T_Book1_1_bieu ke hoach dau thau" xfId="7371"/>
    <cellStyle name="T_Book1_1_bieu ke hoach dau thau 2" xfId="7372"/>
    <cellStyle name="T_Book1_1_bieu ke hoach dau thau 3" xfId="7373"/>
    <cellStyle name="T_Book1_1_bieu ke hoach dau thau truong mam non SKH" xfId="7374"/>
    <cellStyle name="T_Book1_1_bieu ke hoach dau thau truong mam non SKH 2" xfId="7375"/>
    <cellStyle name="T_Book1_1_bieu ke hoach dau thau truong mam non SKH 3" xfId="7376"/>
    <cellStyle name="T_Book1_1_bieu ke hoach dau thau truong mam non SKH_BIEU KE HOACH  2015 (KTN 6.11 sua)" xfId="7377"/>
    <cellStyle name="T_Book1_1_bieu ke hoach dau thau_BIEU KE HOACH  2015 (KTN 6.11 sua)" xfId="7378"/>
    <cellStyle name="T_Book1_1_bieu tong hop lai kh von 2011 gui phong TH-KTDN" xfId="7379"/>
    <cellStyle name="T_Book1_1_bieu tong hop lai kh von 2011 gui phong TH-KTDN 2" xfId="7380"/>
    <cellStyle name="T_Book1_1_bieu tong hop lai kh von 2011 gui phong TH-KTDN 2 2" xfId="7381"/>
    <cellStyle name="T_Book1_1_bieu tong hop lai kh von 2011 gui phong TH-KTDN 3" xfId="7382"/>
    <cellStyle name="T_Book1_1_bieu tong hop lai kh von 2011 gui phong TH-KTDN_BIEU KE HOACH  2015 (KTN 6.11 sua)" xfId="7383"/>
    <cellStyle name="T_Book1_1_Bieu tong hop nhu cau ung 2011 da chon loc -Mien nui" xfId="7385"/>
    <cellStyle name="T_Book1_1_Bieu tong hop nhu cau ung 2011 da chon loc -Mien nui 2" xfId="7386"/>
    <cellStyle name="T_Book1_1_Bieu tong hop nhu cau ung 2011 da chon loc -Mien nui 3" xfId="7387"/>
    <cellStyle name="T_Book1_1_Bieu tong hop nhu cau ung 2011 da chon loc -Mien nui_CT 134" xfId="7388"/>
    <cellStyle name="T_Book1_1_bieumau 1" xfId="7389"/>
    <cellStyle name="T_Book1_1_BIỂU TỔNG HỢP LẦN CUỐI SỬA THEO NGHI QUYẾT SỐ 81" xfId="7384"/>
    <cellStyle name="T_Book1_1_Book1" xfId="7390"/>
    <cellStyle name="T_Book1_1_Book1 2" xfId="7391"/>
    <cellStyle name="T_Book1_1_Book1 3" xfId="7392"/>
    <cellStyle name="T_Book1_1_Book1 4" xfId="7393"/>
    <cellStyle name="T_Book1_1_Book1_1" xfId="7394"/>
    <cellStyle name="T_Book1_1_Book1_1 2" xfId="7395"/>
    <cellStyle name="T_Book1_1_Book1_1 2 2" xfId="7396"/>
    <cellStyle name="T_Book1_1_Book1_1 3" xfId="7397"/>
    <cellStyle name="T_Book1_1_Book1_1_Bao cao TPCP" xfId="7398"/>
    <cellStyle name="T_Book1_1_Book1_1_Bao cao TPCP 2" xfId="7399"/>
    <cellStyle name="T_Book1_1_Book1_1_BIEU KE HOACH  2015 (KTN 6.11 sua)" xfId="7400"/>
    <cellStyle name="T_Book1_1_Book1_1_dự toán 30a 2013" xfId="7401"/>
    <cellStyle name="T_Book1_1_Book1_1_Ke hoach 2010 (theo doi 11-8-2010)" xfId="7402"/>
    <cellStyle name="T_Book1_1_Book1_1_Ke hoach 2010 (theo doi 11-8-2010) 2" xfId="7403"/>
    <cellStyle name="T_Book1_1_Book1_1_ke hoach dau thau 30-6-2010" xfId="7404"/>
    <cellStyle name="T_Book1_1_Book1_1_ke hoach dau thau 30-6-2010 2" xfId="7405"/>
    <cellStyle name="T_Book1_1_Book1_1_ke hoach dau thau 30-6-2010 3" xfId="7406"/>
    <cellStyle name="T_Book1_1_Book1_1_ke hoach dau thau 30-6-2010_BIEU KE HOACH  2015 (KTN 6.11 sua)" xfId="7407"/>
    <cellStyle name="T_Book1_1_Book1_1_Ra soat KH von 2011 (Huy-11-11-11)" xfId="7408"/>
    <cellStyle name="T_Book1_1_Book1_1_Ra soat KH von 2011 (Huy-11-11-11) 2" xfId="7409"/>
    <cellStyle name="T_Book1_1_Book1_1_Ra soat KH von 2011 (Huy-11-11-11) 2 2" xfId="7410"/>
    <cellStyle name="T_Book1_1_Book1_1_Ra soat KH von 2011 (Huy-11-11-11) 3" xfId="7411"/>
    <cellStyle name="T_Book1_1_Book1_1_Ra soat KH von 2011 (Huy-11-11-11)_BIEU KE HOACH  2015 (KTN 6.11 sua)" xfId="7412"/>
    <cellStyle name="T_Book1_1_Book1_1_Viec Huy dang lam" xfId="7413"/>
    <cellStyle name="T_Book1_1_Book1_2" xfId="7414"/>
    <cellStyle name="T_Book1_1_Book1_2 2" xfId="7415"/>
    <cellStyle name="T_Book1_1_Book1_2 3" xfId="7416"/>
    <cellStyle name="T_Book1_1_Book1_2_BIEU KE HOACH  2015 (KTN 6.11 sua)" xfId="7417"/>
    <cellStyle name="T_Book1_1_Book1_2_Ke hoach 2010 (theo doi 11-8-2010)" xfId="7418"/>
    <cellStyle name="T_Book1_1_Book1_2_Ke hoach 2010 (theo doi 11-8-2010) 2" xfId="7419"/>
    <cellStyle name="T_Book1_1_Book1_2_Ke hoach 2010 (theo doi 11-8-2010) 3" xfId="7420"/>
    <cellStyle name="T_Book1_1_Book1_2_Ke hoach 2010 (theo doi 11-8-2010)_BIEU KE HOACH  2015 (KTN 6.11 sua)" xfId="7421"/>
    <cellStyle name="T_Book1_1_Book1_3" xfId="7422"/>
    <cellStyle name="T_Book1_1_Book1_3 2" xfId="7423"/>
    <cellStyle name="T_Book1_1_Book1_3 2 2" xfId="7424"/>
    <cellStyle name="T_Book1_1_Book1_3 3" xfId="7425"/>
    <cellStyle name="T_Book1_1_Book1_3_BIEU KE HOACH  2015 (KTN 6.11 sua)" xfId="7426"/>
    <cellStyle name="T_Book1_1_Book1_4" xfId="7427"/>
    <cellStyle name="T_Book1_1_Book1_Bao cao 9 thang  XDCB" xfId="7428"/>
    <cellStyle name="T_Book1_1_Book1_Bao cao 9 thang  XDCB 2" xfId="7429"/>
    <cellStyle name="T_Book1_1_Book1_Bao cáo giai ngân 2012 (SKH thang 9)" xfId="7430"/>
    <cellStyle name="T_Book1_1_Book1_Bao cao phòng lao động phụ lục 3" xfId="7431"/>
    <cellStyle name="T_Book1_1_Book1_Bao cao phòng lao động phụ lục 3 2" xfId="7432"/>
    <cellStyle name="T_Book1_1_Book1_Bao cao TPCP" xfId="7433"/>
    <cellStyle name="T_Book1_1_Book1_Bao cao TPCP 2" xfId="7434"/>
    <cellStyle name="T_Book1_1_Book1_Bao cao TPCP 3" xfId="7435"/>
    <cellStyle name="T_Book1_1_Book1_Bao cao TPCP_BIEU KE HOACH  2015 (KTN 6.11 sua)" xfId="7436"/>
    <cellStyle name="T_Book1_1_Book1_Book1" xfId="7437"/>
    <cellStyle name="T_Book1_1_Book1_DTTD chieng chan Tham lai 29-9-2009" xfId="7438"/>
    <cellStyle name="T_Book1_1_Book1_DTTD chieng chan Tham lai 29-9-2009 2" xfId="7439"/>
    <cellStyle name="T_Book1_1_Book1_dự toán 30a 2013" xfId="7440"/>
    <cellStyle name="T_Book1_1_Book1_Ke hoach 2010 (theo doi 11-8-2010)" xfId="7441"/>
    <cellStyle name="T_Book1_1_Book1_Ke hoach 2010 (theo doi 11-8-2010) 2" xfId="7442"/>
    <cellStyle name="T_Book1_1_Book1_Ke hoach 2010 (theo doi 11-8-2010) 3" xfId="7443"/>
    <cellStyle name="T_Book1_1_Book1_Ke hoach 2010 (theo doi 11-8-2010)_BIEU KE HOACH  2015 (KTN 6.11 sua)" xfId="7444"/>
    <cellStyle name="T_Book1_1_Book1_ke hoach dau thau 30-6-2010" xfId="7445"/>
    <cellStyle name="T_Book1_1_Book1_ke hoach dau thau 30-6-2010 2" xfId="7446"/>
    <cellStyle name="T_Book1_1_Book1_ke hoach dau thau 30-6-2010 2 2" xfId="7447"/>
    <cellStyle name="T_Book1_1_Book1_ke hoach dau thau 30-6-2010 3" xfId="7448"/>
    <cellStyle name="T_Book1_1_Book1_ke hoach dau thau 30-6-2010_BIEU KE HOACH  2015 (KTN 6.11 sua)" xfId="7449"/>
    <cellStyle name="T_Book1_1_Book1_KH Von 2012 gui BKH 1" xfId="7450"/>
    <cellStyle name="T_Book1_1_Book1_KH Von 2012 gui BKH 1 2" xfId="7451"/>
    <cellStyle name="T_Book1_1_Book1_KH Von 2012 gui BKH 1 3" xfId="7452"/>
    <cellStyle name="T_Book1_1_Book1_KH Von 2012 gui BKH 1_BIEU KE HOACH  2015 (KTN 6.11 sua)" xfId="7453"/>
    <cellStyle name="T_Book1_1_Book1_KH Von 2012 gui BKH 2" xfId="7454"/>
    <cellStyle name="T_Book1_1_Book1_KH Von 2012 gui BKH 2 2" xfId="7455"/>
    <cellStyle name="T_Book1_1_Book1_KH Von 2012 gui BKH 2 3" xfId="7456"/>
    <cellStyle name="T_Book1_1_Book1_KH Von 2012 gui BKH 2_BIEU KE HOACH  2015 (KTN 6.11 sua)" xfId="7457"/>
    <cellStyle name="T_Book1_1_Book1_Ra soat KH von 2011 (Huy-11-11-11)" xfId="7458"/>
    <cellStyle name="T_Book1_1_Book1_Ra soat KH von 2011 (Huy-11-11-11) 2" xfId="7459"/>
    <cellStyle name="T_Book1_1_Book1_Ra soat KH von 2011 (Huy-11-11-11) 2 2" xfId="7460"/>
    <cellStyle name="T_Book1_1_Book1_Ra soat KH von 2011 (Huy-11-11-11) 3" xfId="7461"/>
    <cellStyle name="T_Book1_1_Book1_Ra soat KH von 2011 (Huy-11-11-11)_BIEU KE HOACH  2015 (KTN 6.11 sua)" xfId="7462"/>
    <cellStyle name="T_Book1_1_Book1_TONG HOP HOAN THUE NAM 2011" xfId="7463"/>
    <cellStyle name="T_Book1_1_Book1_Viec Huy dang lam" xfId="7464"/>
    <cellStyle name="T_Book1_1_Book1_Viec Huy dang lam_CT 134" xfId="7465"/>
    <cellStyle name="T_Book1_1_Can ho 2p phai goc 0.5" xfId="7466"/>
    <cellStyle name="T_Book1_1_Can ho 2p phai goc 0.5 2" xfId="7467"/>
    <cellStyle name="T_Book1_1_cong bo gia VLXD thang 4" xfId="7472"/>
    <cellStyle name="T_Book1_1_cong bo gia VLXD thang 4 2" xfId="7473"/>
    <cellStyle name="T_Book1_1_cong bo gia VLXD thang 4 2 2" xfId="7474"/>
    <cellStyle name="T_Book1_1_cong bo gia VLXD thang 4 3" xfId="7475"/>
    <cellStyle name="T_Book1_1_cong bo gia VLXD thang 4_BIEU KE HOACH  2015 (KTN 6.11 sua)" xfId="7476"/>
    <cellStyle name="T_Book1_1_Copy of Biểu BC điều chỉnh chỉ tiêu NN các huyện chia tách 404 ngay 23.5" xfId="7477"/>
    <cellStyle name="T_Book1_1_Copy of KH PHAN BO VON ĐỐI ỨNG NAM 2011 (30 TY phuong án gop WB)" xfId="7478"/>
    <cellStyle name="T_Book1_1_Copy of KH PHAN BO VON ĐỐI ỨNG NAM 2011 (30 TY phuong án gop WB) 2" xfId="7479"/>
    <cellStyle name="T_Book1_1_Copy of KH PHAN BO VON ĐỐI ỨNG NAM 2011 (30 TY phuong án gop WB) 2 2" xfId="7480"/>
    <cellStyle name="T_Book1_1_Copy of KH PHAN BO VON ĐỐI ỨNG NAM 2011 (30 TY phuong án gop WB) 3" xfId="7481"/>
    <cellStyle name="T_Book1_1_Copy of KH PHAN BO VON ĐỐI ỨNG NAM 2011 (30 TY phuong án gop WB)_BIEU KE HOACH  2015 (KTN 6.11 sua)" xfId="7482"/>
    <cellStyle name="T_Book1_1_CPK" xfId="7483"/>
    <cellStyle name="T_Book1_1_CPK 2" xfId="7484"/>
    <cellStyle name="T_Book1_1_CPK_Bieu chi tieu KH 2014 (Huy-04-11)" xfId="7485"/>
    <cellStyle name="T_Book1_1_CPK_Bieu chi tieu KH 2014 (Huy-04-11) 2" xfId="7486"/>
    <cellStyle name="T_Book1_1_CPK_bieu ke hoach dau thau" xfId="7487"/>
    <cellStyle name="T_Book1_1_CPK_bieu ke hoach dau thau 2" xfId="7488"/>
    <cellStyle name="T_Book1_1_CPK_bieu ke hoach dau thau 2 2" xfId="7489"/>
    <cellStyle name="T_Book1_1_CPK_bieu ke hoach dau thau 3" xfId="7490"/>
    <cellStyle name="T_Book1_1_CPK_bieu ke hoach dau thau truong mam non SKH" xfId="7491"/>
    <cellStyle name="T_Book1_1_CPK_bieu ke hoach dau thau truong mam non SKH 2" xfId="7492"/>
    <cellStyle name="T_Book1_1_CPK_bieu ke hoach dau thau truong mam non SKH 2 2" xfId="7493"/>
    <cellStyle name="T_Book1_1_CPK_bieu ke hoach dau thau truong mam non SKH 3" xfId="7494"/>
    <cellStyle name="T_Book1_1_CPK_bieu ke hoach dau thau truong mam non SKH_BIEU KE HOACH  2015 (KTN 6.11 sua)" xfId="7495"/>
    <cellStyle name="T_Book1_1_CPK_bieu ke hoach dau thau_BIEU KE HOACH  2015 (KTN 6.11 sua)" xfId="7496"/>
    <cellStyle name="T_Book1_1_CPK_bieu tong hop lai kh von 2011 gui phong TH-KTDN" xfId="7497"/>
    <cellStyle name="T_Book1_1_CPK_bieu tong hop lai kh von 2011 gui phong TH-KTDN 2" xfId="7498"/>
    <cellStyle name="T_Book1_1_CPK_bieu tong hop lai kh von 2011 gui phong TH-KTDN 2 2" xfId="7499"/>
    <cellStyle name="T_Book1_1_CPK_bieu tong hop lai kh von 2011 gui phong TH-KTDN 3" xfId="7500"/>
    <cellStyle name="T_Book1_1_CPK_bieu tong hop lai kh von 2011 gui phong TH-KTDN_BIEU KE HOACH  2015 (KTN 6.11 sua)" xfId="7501"/>
    <cellStyle name="T_Book1_1_CPK_Book1" xfId="7502"/>
    <cellStyle name="T_Book1_1_CPK_Book1 2" xfId="7503"/>
    <cellStyle name="T_Book1_1_CPK_Book1 2 2" xfId="7504"/>
    <cellStyle name="T_Book1_1_CPK_Book1 3" xfId="7505"/>
    <cellStyle name="T_Book1_1_CPK_Book1_BIEU KE HOACH  2015 (KTN 6.11 sua)" xfId="7506"/>
    <cellStyle name="T_Book1_1_CPK_Book1_Ke hoach 2010 (theo doi 11-8-2010)" xfId="7507"/>
    <cellStyle name="T_Book1_1_CPK_Book1_Ke hoach 2010 (theo doi 11-8-2010) 2" xfId="7508"/>
    <cellStyle name="T_Book1_1_CPK_Book1_Ke hoach 2010 (theo doi 11-8-2010) 2 2" xfId="7509"/>
    <cellStyle name="T_Book1_1_CPK_Book1_Ke hoach 2010 (theo doi 11-8-2010) 3" xfId="7510"/>
    <cellStyle name="T_Book1_1_CPK_Book1_Ke hoach 2010 (theo doi 11-8-2010)_BIEU KE HOACH  2015 (KTN 6.11 sua)" xfId="7511"/>
    <cellStyle name="T_Book1_1_CPK_Book1_ke hoach dau thau 30-6-2010" xfId="7512"/>
    <cellStyle name="T_Book1_1_CPK_Book1_ke hoach dau thau 30-6-2010 2" xfId="7513"/>
    <cellStyle name="T_Book1_1_CPK_Book1_ke hoach dau thau 30-6-2010 2 2" xfId="7514"/>
    <cellStyle name="T_Book1_1_CPK_Book1_ke hoach dau thau 30-6-2010 3" xfId="7515"/>
    <cellStyle name="T_Book1_1_CPK_Book1_ke hoach dau thau 30-6-2010_BIEU KE HOACH  2015 (KTN 6.11 sua)" xfId="7516"/>
    <cellStyle name="T_Book1_1_CPK_Copy of KH PHAN BO VON ĐỐI ỨNG NAM 2011 (30 TY phuong án gop WB)" xfId="7517"/>
    <cellStyle name="T_Book1_1_CPK_Copy of KH PHAN BO VON ĐỐI ỨNG NAM 2011 (30 TY phuong án gop WB) 2" xfId="7518"/>
    <cellStyle name="T_Book1_1_CPK_Copy of KH PHAN BO VON ĐỐI ỨNG NAM 2011 (30 TY phuong án gop WB) 2 2" xfId="7519"/>
    <cellStyle name="T_Book1_1_CPK_Copy of KH PHAN BO VON ĐỐI ỨNG NAM 2011 (30 TY phuong án gop WB) 3" xfId="7520"/>
    <cellStyle name="T_Book1_1_CPK_Copy of KH PHAN BO VON ĐỐI ỨNG NAM 2011 (30 TY phuong án gop WB)_BIEU KE HOACH  2015 (KTN 6.11 sua)" xfId="7521"/>
    <cellStyle name="T_Book1_1_CPK_DTTD chieng chan Tham lai 29-9-2009" xfId="7522"/>
    <cellStyle name="T_Book1_1_CPK_DTTD chieng chan Tham lai 29-9-2009 2" xfId="7523"/>
    <cellStyle name="T_Book1_1_CPK_DTTD chieng chan Tham lai 29-9-2009 2 2" xfId="7524"/>
    <cellStyle name="T_Book1_1_CPK_DTTD chieng chan Tham lai 29-9-2009 3" xfId="7525"/>
    <cellStyle name="T_Book1_1_CPK_DTTD chieng chan Tham lai 29-9-2009_BIEU KE HOACH  2015 (KTN 6.11 sua)" xfId="7526"/>
    <cellStyle name="T_Book1_1_CPK_Du toan nuoc San Thang (GD2)" xfId="7528"/>
    <cellStyle name="T_Book1_1_CPK_Du toan nuoc San Thang (GD2) 2" xfId="7529"/>
    <cellStyle name="T_Book1_1_CPK_Du toan nuoc San Thang (GD2) 2 2" xfId="7530"/>
    <cellStyle name="T_Book1_1_CPK_Du toan nuoc San Thang (GD2) 3" xfId="7531"/>
    <cellStyle name="T_Book1_1_CPK_Du toan nuoc San Thang (GD2)_BIEU KE HOACH  2015 (KTN 6.11 sua)" xfId="7532"/>
    <cellStyle name="T_Book1_1_CPK_dự toán 30a 2013" xfId="7527"/>
    <cellStyle name="T_Book1_1_CPK_Ke hoach 2010 (theo doi 11-8-2010)" xfId="7533"/>
    <cellStyle name="T_Book1_1_CPK_Ke hoach 2010 (theo doi 11-8-2010) 2" xfId="7534"/>
    <cellStyle name="T_Book1_1_CPK_Ke hoach 2010 (theo doi 11-8-2010) 2 2" xfId="7535"/>
    <cellStyle name="T_Book1_1_CPK_Ke hoach 2010 (theo doi 11-8-2010) 3" xfId="7536"/>
    <cellStyle name="T_Book1_1_CPK_Ke hoach 2010 (theo doi 11-8-2010)_BIEU KE HOACH  2015 (KTN 6.11 sua)" xfId="7537"/>
    <cellStyle name="T_Book1_1_CPK_ke hoach dau thau 30-6-2010" xfId="7538"/>
    <cellStyle name="T_Book1_1_CPK_ke hoach dau thau 30-6-2010 2" xfId="7539"/>
    <cellStyle name="T_Book1_1_CPK_ke hoach dau thau 30-6-2010 2 2" xfId="7540"/>
    <cellStyle name="T_Book1_1_CPK_ke hoach dau thau 30-6-2010 3" xfId="7541"/>
    <cellStyle name="T_Book1_1_CPK_ke hoach dau thau 30-6-2010_BIEU KE HOACH  2015 (KTN 6.11 sua)" xfId="7542"/>
    <cellStyle name="T_Book1_1_CPK_KH Von 2012 gui BKH 1" xfId="7543"/>
    <cellStyle name="T_Book1_1_CPK_KH Von 2012 gui BKH 1 2" xfId="7544"/>
    <cellStyle name="T_Book1_1_CPK_KH Von 2012 gui BKH 1 2 2" xfId="7545"/>
    <cellStyle name="T_Book1_1_CPK_KH Von 2012 gui BKH 1 3" xfId="7546"/>
    <cellStyle name="T_Book1_1_CPK_KH Von 2012 gui BKH 1_BIEU KE HOACH  2015 (KTN 6.11 sua)" xfId="7547"/>
    <cellStyle name="T_Book1_1_CPK_QD ke hoach dau thau" xfId="7548"/>
    <cellStyle name="T_Book1_1_CPK_QD ke hoach dau thau 2" xfId="7549"/>
    <cellStyle name="T_Book1_1_CPK_QD ke hoach dau thau 2 2" xfId="7550"/>
    <cellStyle name="T_Book1_1_CPK_QD ke hoach dau thau 3" xfId="7551"/>
    <cellStyle name="T_Book1_1_CPK_QD ke hoach dau thau_BIEU KE HOACH  2015 (KTN 6.11 sua)" xfId="7552"/>
    <cellStyle name="T_Book1_1_CPK_Ra soat KH von 2011 (Huy-11-11-11)" xfId="7553"/>
    <cellStyle name="T_Book1_1_CPK_Ra soat KH von 2011 (Huy-11-11-11) 2" xfId="7554"/>
    <cellStyle name="T_Book1_1_CPK_Ra soat KH von 2011 (Huy-11-11-11) 2 2" xfId="7555"/>
    <cellStyle name="T_Book1_1_CPK_Ra soat KH von 2011 (Huy-11-11-11) 3" xfId="7556"/>
    <cellStyle name="T_Book1_1_CPK_Ra soat KH von 2011 (Huy-11-11-11)_BIEU KE HOACH  2015 (KTN 6.11 sua)" xfId="7557"/>
    <cellStyle name="T_Book1_1_CPK_tinh toan hoang ha" xfId="7558"/>
    <cellStyle name="T_Book1_1_CPK_tinh toan hoang ha 2" xfId="7559"/>
    <cellStyle name="T_Book1_1_CPK_tinh toan hoang ha 2 2" xfId="7560"/>
    <cellStyle name="T_Book1_1_CPK_tinh toan hoang ha 3" xfId="7561"/>
    <cellStyle name="T_Book1_1_CPK_tinh toan hoang ha_BIEU KE HOACH  2015 (KTN 6.11 sua)" xfId="7562"/>
    <cellStyle name="T_Book1_1_CPK_Tong von ĐTPT" xfId="7563"/>
    <cellStyle name="T_Book1_1_CPK_Tong von ĐTPT 2" xfId="7564"/>
    <cellStyle name="T_Book1_1_CPK_Tong von ĐTPT 2 2" xfId="7565"/>
    <cellStyle name="T_Book1_1_CPK_Tong von ĐTPT 3" xfId="7566"/>
    <cellStyle name="T_Book1_1_CPK_Tong von ĐTPT_BIEU KE HOACH  2015 (KTN 6.11 sua)" xfId="7567"/>
    <cellStyle name="T_Book1_1_CPK_Viec Huy dang lam" xfId="7568"/>
    <cellStyle name="T_Book1_1_CPK_Viec Huy dang lam_CT 134" xfId="7569"/>
    <cellStyle name="T_Book1_1_Chi tieu KH nam 2009" xfId="7468"/>
    <cellStyle name="T_Book1_1_Chi tieu KH nam 2009 2" xfId="7469"/>
    <cellStyle name="T_Book1_1_Chi tieu KH nam 2009 3" xfId="7470"/>
    <cellStyle name="T_Book1_1_Chi tieu KH nam 2009_BIEU KE HOACH  2015 (KTN 6.11 sua)" xfId="7471"/>
    <cellStyle name="T_Book1_1_dang vien mói" xfId="7570"/>
    <cellStyle name="T_Book1_1_dang vien mói 2" xfId="7571"/>
    <cellStyle name="T_Book1_1_Danh Mục KCM trinh BKH 2011 (BS 30A)" xfId="7572"/>
    <cellStyle name="T_Book1_1_Danh Mục KCM trinh BKH 2011 (BS 30A) 2" xfId="7573"/>
    <cellStyle name="T_Book1_1_DT 1751 Muong Khoa" xfId="7574"/>
    <cellStyle name="T_Book1_1_DT 1751 Muong Khoa 2" xfId="7575"/>
    <cellStyle name="T_Book1_1_DT Nam vai" xfId="7576"/>
    <cellStyle name="T_Book1_1_DT Nam vai 2" xfId="7577"/>
    <cellStyle name="T_Book1_1_DT Nam vai_bieu ke hoach dau thau" xfId="7578"/>
    <cellStyle name="T_Book1_1_DT Nam vai_bieu ke hoach dau thau 2" xfId="7579"/>
    <cellStyle name="T_Book1_1_DT Nam vai_bieu ke hoach dau thau truong mam non SKH" xfId="7580"/>
    <cellStyle name="T_Book1_1_DT Nam vai_bieu ke hoach dau thau truong mam non SKH 2" xfId="7581"/>
    <cellStyle name="T_Book1_1_DT Nam vai_Book1" xfId="7582"/>
    <cellStyle name="T_Book1_1_DT Nam vai_Book1 2" xfId="7583"/>
    <cellStyle name="T_Book1_1_DT Nam vai_DTTD chieng chan Tham lai 29-9-2009" xfId="7584"/>
    <cellStyle name="T_Book1_1_DT Nam vai_DTTD chieng chan Tham lai 29-9-2009 2" xfId="7585"/>
    <cellStyle name="T_Book1_1_DT Nam vai_Ke hoach 2010 (theo doi 11-8-2010)" xfId="7586"/>
    <cellStyle name="T_Book1_1_DT Nam vai_Ke hoach 2010 (theo doi 11-8-2010) 2" xfId="7587"/>
    <cellStyle name="T_Book1_1_DT Nam vai_ke hoach dau thau 30-6-2010" xfId="7588"/>
    <cellStyle name="T_Book1_1_DT Nam vai_ke hoach dau thau 30-6-2010 2" xfId="7589"/>
    <cellStyle name="T_Book1_1_DT Nam vai_QD ke hoach dau thau" xfId="7590"/>
    <cellStyle name="T_Book1_1_DT Nam vai_QD ke hoach dau thau 2" xfId="7591"/>
    <cellStyle name="T_Book1_1_DT Nam vai_tinh toan hoang ha" xfId="7592"/>
    <cellStyle name="T_Book1_1_DT Nam vai_tinh toan hoang ha 2" xfId="7593"/>
    <cellStyle name="T_Book1_1_DT NHA KHACH -12" xfId="7594"/>
    <cellStyle name="T_Book1_1_DT NHA KHACH -12 2" xfId="7595"/>
    <cellStyle name="T_Book1_1_DT NHA KHACH -12 2 2" xfId="7596"/>
    <cellStyle name="T_Book1_1_DT NHA KHACH -12 3" xfId="7597"/>
    <cellStyle name="T_Book1_1_DT NHA KHACH -12_BIEU KE HOACH  2015 (KTN 6.11 sua)" xfId="7598"/>
    <cellStyle name="T_Book1_1_DT tieu hoc diem TDC ban Cho 28-02-09" xfId="7599"/>
    <cellStyle name="T_Book1_1_DT tieu hoc diem TDC ban Cho 28-02-09 2" xfId="7600"/>
    <cellStyle name="T_Book1_1_DT tieu hoc diem TDC ban Cho 28-02-09 2 2" xfId="7601"/>
    <cellStyle name="T_Book1_1_DT tieu hoc diem TDC ban Cho 28-02-09 3" xfId="7602"/>
    <cellStyle name="T_Book1_1_DT tieu hoc diem TDC ban Cho 28-02-09_BIEU KE HOACH  2015 (KTN 6.11 sua)" xfId="7603"/>
    <cellStyle name="T_Book1_1_DTTD chieng chan Tham lai 29-9-2009" xfId="7604"/>
    <cellStyle name="T_Book1_1_DTTD chieng chan Tham lai 29-9-2009 2" xfId="7605"/>
    <cellStyle name="T_Book1_1_DTTD chieng chan Tham lai 29-9-2009 2 2" xfId="7606"/>
    <cellStyle name="T_Book1_1_DTTD chieng chan Tham lai 29-9-2009 3" xfId="7607"/>
    <cellStyle name="T_Book1_1_DTTD chieng chan Tham lai 29-9-2009_BIEU KE HOACH  2015 (KTN 6.11 sua)" xfId="7608"/>
    <cellStyle name="T_Book1_1_Du toan nuoc San Thang (GD2)" xfId="7610"/>
    <cellStyle name="T_Book1_1_Du toan nuoc San Thang (GD2) 2" xfId="7611"/>
    <cellStyle name="T_Book1_1_DuToan92009Luong650" xfId="7612"/>
    <cellStyle name="T_Book1_1_DuToan92009Luong650 2" xfId="7613"/>
    <cellStyle name="T_Book1_1_DuToan92009Luong650_CT 134" xfId="7614"/>
    <cellStyle name="T_Book1_1_dự toán 30a 2013" xfId="7609"/>
    <cellStyle name="T_Book1_1_GVL" xfId="7615"/>
    <cellStyle name="T_Book1_1_GVL 2" xfId="7616"/>
    <cellStyle name="T_Book1_1_GVL 3" xfId="7617"/>
    <cellStyle name="T_Book1_1_GVL_BIEU KE HOACH  2015 (KTN 6.11 sua)" xfId="7618"/>
    <cellStyle name="T_Book1_1_HD TT1" xfId="7619"/>
    <cellStyle name="T_Book1_1_HD TT1 2" xfId="7620"/>
    <cellStyle name="T_Book1_1_HD TT1 3" xfId="7621"/>
    <cellStyle name="T_Book1_1_HD TT1_BIEU KE HOACH  2015 (KTN 6.11 sua)" xfId="7622"/>
    <cellStyle name="T_Book1_1_Ke hoach 2010 ngay 14.4.10" xfId="7623"/>
    <cellStyle name="T_Book1_1_Ke hoach 2010 ngay 14.4.10 2" xfId="7624"/>
    <cellStyle name="T_Book1_1_Ke hoach 2010 ngay 14.4.10 3" xfId="7625"/>
    <cellStyle name="T_Book1_1_Ke hoach 2010 ngay 14.4.10_BIEU KE HOACH  2015 (KTN 6.11 sua)" xfId="7626"/>
    <cellStyle name="T_Book1_1_Ke hoach 2010 ngay 31-01" xfId="7627"/>
    <cellStyle name="T_Book1_1_Ke hoach 2010 ngay 31-01 2" xfId="7628"/>
    <cellStyle name="T_Book1_1_ke hoach dau thau 30-6-2010" xfId="7629"/>
    <cellStyle name="T_Book1_1_ke hoach dau thau 30-6-2010 2" xfId="7630"/>
    <cellStyle name="T_Book1_1_ke hoach dau thau 30-6-2010 3" xfId="7631"/>
    <cellStyle name="T_Book1_1_ke hoach dau thau 30-6-2010_BIEU KE HOACH  2015 (KTN 6.11 sua)" xfId="7632"/>
    <cellStyle name="T_Book1_1_Ke hoạch thuc hien goi thau" xfId="7633"/>
    <cellStyle name="T_Book1_1_Ket du ung NS" xfId="7634"/>
    <cellStyle name="T_Book1_1_Ket du ung NS 2" xfId="7635"/>
    <cellStyle name="T_Book1_1_kinh phi che nam 2012" xfId="7641"/>
    <cellStyle name="T_Book1_1_KH Von 2012 gui BKH 1" xfId="7636"/>
    <cellStyle name="T_Book1_1_KH Von 2012 gui BKH 1 2" xfId="7637"/>
    <cellStyle name="T_Book1_1_KH Von 2012 gui BKH 1 2 2" xfId="7638"/>
    <cellStyle name="T_Book1_1_KH Von 2012 gui BKH 1 3" xfId="7639"/>
    <cellStyle name="T_Book1_1_KH Von 2012 gui BKH 1_BIEU KE HOACH  2015 (KTN 6.11 sua)" xfId="7640"/>
    <cellStyle name="T_Book1_1_Luy ke von ung nam 2011 -Thoa gui ngay 12-8-2012" xfId="7642"/>
    <cellStyle name="T_Book1_1_Nha lop hoc 8 P" xfId="7643"/>
    <cellStyle name="T_Book1_1_Nha lop hoc 8 P 2" xfId="7644"/>
    <cellStyle name="T_Book1_1_Nha lop hoc 8 P 3" xfId="7645"/>
    <cellStyle name="T_Book1_1_Nha lop hoc 8 P_BIEU KE HOACH  2015 (KTN 6.11 sua)" xfId="7646"/>
    <cellStyle name="T_Book1_1_Phan pha do" xfId="7647"/>
    <cellStyle name="T_Book1_1_Phan pha do 2" xfId="7648"/>
    <cellStyle name="T_Book1_1_QD ke hoach dau thau" xfId="7651"/>
    <cellStyle name="T_Book1_1_QD ke hoach dau thau 2" xfId="7652"/>
    <cellStyle name="T_Book1_1_QD ke hoach dau thau 3" xfId="7653"/>
    <cellStyle name="T_Book1_1_QD ke hoach dau thau_BIEU KE HOACH  2015 (KTN 6.11 sua)" xfId="7654"/>
    <cellStyle name="T_Book1_1_QĐ 980" xfId="7649"/>
    <cellStyle name="T_Book1_1_QĐ 980 2" xfId="7650"/>
    <cellStyle name="T_Book1_1_Ra soat KH von 2011 (Huy-11-11-11)" xfId="7655"/>
    <cellStyle name="T_Book1_1_Ra soat KH von 2011 (Huy-11-11-11) 2" xfId="7656"/>
    <cellStyle name="T_Book1_1_Ra soat KH von 2011 (Huy-11-11-11) 3" xfId="7657"/>
    <cellStyle name="T_Book1_1_Ra soat KH von 2011 (Huy-11-11-11)_BIEU KE HOACH  2015 (KTN 6.11 sua)" xfId="7658"/>
    <cellStyle name="T_Book1_1_Sheet2" xfId="7659"/>
    <cellStyle name="T_Book1_1_Sheet2 2" xfId="7660"/>
    <cellStyle name="T_Book1_1_tien luong" xfId="7750"/>
    <cellStyle name="T_Book1_1_tien luong 2" xfId="7751"/>
    <cellStyle name="T_Book1_1_Tien luong chuan 01" xfId="7752"/>
    <cellStyle name="T_Book1_1_Tien luong chuan 01 2" xfId="7753"/>
    <cellStyle name="T_Book1_1_Tienluong" xfId="7754"/>
    <cellStyle name="T_Book1_1_Tienluong 2" xfId="7755"/>
    <cellStyle name="T_Book1_1_Tienluong 2 2" xfId="7756"/>
    <cellStyle name="T_Book1_1_Tienluong 3" xfId="7757"/>
    <cellStyle name="T_Book1_1_Tienluong_BIEU KE HOACH  2015 (KTN 6.11 sua)" xfId="7758"/>
    <cellStyle name="T_Book1_1_tinh toan hoang ha" xfId="7759"/>
    <cellStyle name="T_Book1_1_tinh toan hoang ha 2" xfId="7760"/>
    <cellStyle name="T_Book1_1_tinh toan hoang ha 3" xfId="7761"/>
    <cellStyle name="T_Book1_1_tinh toan hoang ha_BIEU KE HOACH  2015 (KTN 6.11 sua)" xfId="7762"/>
    <cellStyle name="T_Book1_1_Tong hop  " xfId="7763"/>
    <cellStyle name="T_Book1_1_Tong hop   2" xfId="7764"/>
    <cellStyle name="T_Book1_1_Tong von ĐTPT" xfId="7765"/>
    <cellStyle name="T_Book1_1_Tong von ĐTPT 2" xfId="7766"/>
    <cellStyle name="T_Book1_1_Tong von ĐTPT 3" xfId="7767"/>
    <cellStyle name="T_Book1_1_Tong von ĐTPT_BIEU KE HOACH  2015 (KTN 6.11 sua)" xfId="7768"/>
    <cellStyle name="T_Book1_1_TU VAN THUY LOI THAM  PHE" xfId="7769"/>
    <cellStyle name="T_Book1_1_TU VAN THUY LOI THAM  PHE 2" xfId="7770"/>
    <cellStyle name="T_Book1_1_TU VAN THUY LOI THAM  PHE 3" xfId="7771"/>
    <cellStyle name="T_Book1_1_TU VAN THUY LOI THAM  PHE_BIEU KE HOACH  2015 (KTN 6.11 sua)" xfId="7772"/>
    <cellStyle name="T_Book1_1_TH danh muc 08-09 den ngay 30-8-09" xfId="7661"/>
    <cellStyle name="T_Book1_1_TH danh muc 08-09 den ngay 30-8-09 2" xfId="7662"/>
    <cellStyle name="T_Book1_1_Thiet bi" xfId="7663"/>
    <cellStyle name="T_Book1_1_Thiet bi 2" xfId="7664"/>
    <cellStyle name="T_Book1_1_Thiet bi_Bieu chi tieu KH 2014 (Huy-04-11)" xfId="7665"/>
    <cellStyle name="T_Book1_1_Thiet bi_Bieu chi tieu KH 2014 (Huy-04-11) 2" xfId="7666"/>
    <cellStyle name="T_Book1_1_Thiet bi_bieu ke hoach dau thau" xfId="7667"/>
    <cellStyle name="T_Book1_1_Thiet bi_bieu ke hoach dau thau 2" xfId="7668"/>
    <cellStyle name="T_Book1_1_Thiet bi_bieu ke hoach dau thau 2 2" xfId="7669"/>
    <cellStyle name="T_Book1_1_Thiet bi_bieu ke hoach dau thau 3" xfId="7670"/>
    <cellStyle name="T_Book1_1_Thiet bi_bieu ke hoach dau thau truong mam non SKH" xfId="7671"/>
    <cellStyle name="T_Book1_1_Thiet bi_bieu ke hoach dau thau truong mam non SKH 2" xfId="7672"/>
    <cellStyle name="T_Book1_1_Thiet bi_bieu ke hoach dau thau truong mam non SKH 2 2" xfId="7673"/>
    <cellStyle name="T_Book1_1_Thiet bi_bieu ke hoach dau thau truong mam non SKH 3" xfId="7674"/>
    <cellStyle name="T_Book1_1_Thiet bi_bieu ke hoach dau thau truong mam non SKH_BIEU KE HOACH  2015 (KTN 6.11 sua)" xfId="7675"/>
    <cellStyle name="T_Book1_1_Thiet bi_bieu ke hoach dau thau_BIEU KE HOACH  2015 (KTN 6.11 sua)" xfId="7676"/>
    <cellStyle name="T_Book1_1_Thiet bi_bieu tong hop lai kh von 2011 gui phong TH-KTDN" xfId="7677"/>
    <cellStyle name="T_Book1_1_Thiet bi_bieu tong hop lai kh von 2011 gui phong TH-KTDN 2" xfId="7678"/>
    <cellStyle name="T_Book1_1_Thiet bi_bieu tong hop lai kh von 2011 gui phong TH-KTDN 2 2" xfId="7679"/>
    <cellStyle name="T_Book1_1_Thiet bi_bieu tong hop lai kh von 2011 gui phong TH-KTDN 3" xfId="7680"/>
    <cellStyle name="T_Book1_1_Thiet bi_bieu tong hop lai kh von 2011 gui phong TH-KTDN_BIEU KE HOACH  2015 (KTN 6.11 sua)" xfId="7681"/>
    <cellStyle name="T_Book1_1_Thiet bi_Book1" xfId="7682"/>
    <cellStyle name="T_Book1_1_Thiet bi_Book1 2" xfId="7683"/>
    <cellStyle name="T_Book1_1_Thiet bi_Book1 2 2" xfId="7684"/>
    <cellStyle name="T_Book1_1_Thiet bi_Book1 3" xfId="7685"/>
    <cellStyle name="T_Book1_1_Thiet bi_Book1_BIEU KE HOACH  2015 (KTN 6.11 sua)" xfId="7686"/>
    <cellStyle name="T_Book1_1_Thiet bi_Book1_Ke hoach 2010 (theo doi 11-8-2010)" xfId="7687"/>
    <cellStyle name="T_Book1_1_Thiet bi_Book1_Ke hoach 2010 (theo doi 11-8-2010) 2" xfId="7688"/>
    <cellStyle name="T_Book1_1_Thiet bi_Book1_Ke hoach 2010 (theo doi 11-8-2010) 2 2" xfId="7689"/>
    <cellStyle name="T_Book1_1_Thiet bi_Book1_Ke hoach 2010 (theo doi 11-8-2010) 3" xfId="7690"/>
    <cellStyle name="T_Book1_1_Thiet bi_Book1_Ke hoach 2010 (theo doi 11-8-2010)_BIEU KE HOACH  2015 (KTN 6.11 sua)" xfId="7691"/>
    <cellStyle name="T_Book1_1_Thiet bi_Book1_ke hoach dau thau 30-6-2010" xfId="7692"/>
    <cellStyle name="T_Book1_1_Thiet bi_Book1_ke hoach dau thau 30-6-2010 2" xfId="7693"/>
    <cellStyle name="T_Book1_1_Thiet bi_Book1_ke hoach dau thau 30-6-2010 2 2" xfId="7694"/>
    <cellStyle name="T_Book1_1_Thiet bi_Book1_ke hoach dau thau 30-6-2010 3" xfId="7695"/>
    <cellStyle name="T_Book1_1_Thiet bi_Book1_ke hoach dau thau 30-6-2010_BIEU KE HOACH  2015 (KTN 6.11 sua)" xfId="7696"/>
    <cellStyle name="T_Book1_1_Thiet bi_Copy of KH PHAN BO VON ĐỐI ỨNG NAM 2011 (30 TY phuong án gop WB)" xfId="7697"/>
    <cellStyle name="T_Book1_1_Thiet bi_Copy of KH PHAN BO VON ĐỐI ỨNG NAM 2011 (30 TY phuong án gop WB) 2" xfId="7698"/>
    <cellStyle name="T_Book1_1_Thiet bi_Copy of KH PHAN BO VON ĐỐI ỨNG NAM 2011 (30 TY phuong án gop WB) 2 2" xfId="7699"/>
    <cellStyle name="T_Book1_1_Thiet bi_Copy of KH PHAN BO VON ĐỐI ỨNG NAM 2011 (30 TY phuong án gop WB) 3" xfId="7700"/>
    <cellStyle name="T_Book1_1_Thiet bi_Copy of KH PHAN BO VON ĐỐI ỨNG NAM 2011 (30 TY phuong án gop WB)_BIEU KE HOACH  2015 (KTN 6.11 sua)" xfId="7701"/>
    <cellStyle name="T_Book1_1_Thiet bi_DTTD chieng chan Tham lai 29-9-2009" xfId="7702"/>
    <cellStyle name="T_Book1_1_Thiet bi_DTTD chieng chan Tham lai 29-9-2009 2" xfId="7703"/>
    <cellStyle name="T_Book1_1_Thiet bi_DTTD chieng chan Tham lai 29-9-2009 2 2" xfId="7704"/>
    <cellStyle name="T_Book1_1_Thiet bi_DTTD chieng chan Tham lai 29-9-2009 3" xfId="7705"/>
    <cellStyle name="T_Book1_1_Thiet bi_DTTD chieng chan Tham lai 29-9-2009_BIEU KE HOACH  2015 (KTN 6.11 sua)" xfId="7706"/>
    <cellStyle name="T_Book1_1_Thiet bi_Du toan nuoc San Thang (GD2)" xfId="7708"/>
    <cellStyle name="T_Book1_1_Thiet bi_Du toan nuoc San Thang (GD2) 2" xfId="7709"/>
    <cellStyle name="T_Book1_1_Thiet bi_Du toan nuoc San Thang (GD2) 2 2" xfId="7710"/>
    <cellStyle name="T_Book1_1_Thiet bi_Du toan nuoc San Thang (GD2) 3" xfId="7711"/>
    <cellStyle name="T_Book1_1_Thiet bi_Du toan nuoc San Thang (GD2)_BIEU KE HOACH  2015 (KTN 6.11 sua)" xfId="7712"/>
    <cellStyle name="T_Book1_1_Thiet bi_dự toán 30a 2013" xfId="7707"/>
    <cellStyle name="T_Book1_1_Thiet bi_Ke hoach 2010 (theo doi 11-8-2010)" xfId="7713"/>
    <cellStyle name="T_Book1_1_Thiet bi_Ke hoach 2010 (theo doi 11-8-2010) 2" xfId="7714"/>
    <cellStyle name="T_Book1_1_Thiet bi_Ke hoach 2010 (theo doi 11-8-2010) 2 2" xfId="7715"/>
    <cellStyle name="T_Book1_1_Thiet bi_Ke hoach 2010 (theo doi 11-8-2010) 3" xfId="7716"/>
    <cellStyle name="T_Book1_1_Thiet bi_Ke hoach 2010 (theo doi 11-8-2010)_BIEU KE HOACH  2015 (KTN 6.11 sua)" xfId="7717"/>
    <cellStyle name="T_Book1_1_Thiet bi_ke hoach dau thau 30-6-2010" xfId="7718"/>
    <cellStyle name="T_Book1_1_Thiet bi_ke hoach dau thau 30-6-2010 2" xfId="7719"/>
    <cellStyle name="T_Book1_1_Thiet bi_ke hoach dau thau 30-6-2010 2 2" xfId="7720"/>
    <cellStyle name="T_Book1_1_Thiet bi_ke hoach dau thau 30-6-2010 3" xfId="7721"/>
    <cellStyle name="T_Book1_1_Thiet bi_ke hoach dau thau 30-6-2010_BIEU KE HOACH  2015 (KTN 6.11 sua)" xfId="7722"/>
    <cellStyle name="T_Book1_1_Thiet bi_KH Von 2012 gui BKH 1" xfId="7723"/>
    <cellStyle name="T_Book1_1_Thiet bi_KH Von 2012 gui BKH 1 2" xfId="7724"/>
    <cellStyle name="T_Book1_1_Thiet bi_KH Von 2012 gui BKH 1 2 2" xfId="7725"/>
    <cellStyle name="T_Book1_1_Thiet bi_KH Von 2012 gui BKH 1 3" xfId="7726"/>
    <cellStyle name="T_Book1_1_Thiet bi_KH Von 2012 gui BKH 1_BIEU KE HOACH  2015 (KTN 6.11 sua)" xfId="7727"/>
    <cellStyle name="T_Book1_1_Thiet bi_QD ke hoach dau thau" xfId="7728"/>
    <cellStyle name="T_Book1_1_Thiet bi_QD ke hoach dau thau 2" xfId="7729"/>
    <cellStyle name="T_Book1_1_Thiet bi_QD ke hoach dau thau 2 2" xfId="7730"/>
    <cellStyle name="T_Book1_1_Thiet bi_QD ke hoach dau thau 3" xfId="7731"/>
    <cellStyle name="T_Book1_1_Thiet bi_QD ke hoach dau thau_BIEU KE HOACH  2015 (KTN 6.11 sua)" xfId="7732"/>
    <cellStyle name="T_Book1_1_Thiet bi_Ra soat KH von 2011 (Huy-11-11-11)" xfId="7733"/>
    <cellStyle name="T_Book1_1_Thiet bi_Ra soat KH von 2011 (Huy-11-11-11) 2" xfId="7734"/>
    <cellStyle name="T_Book1_1_Thiet bi_Ra soat KH von 2011 (Huy-11-11-11) 2 2" xfId="7735"/>
    <cellStyle name="T_Book1_1_Thiet bi_Ra soat KH von 2011 (Huy-11-11-11) 3" xfId="7736"/>
    <cellStyle name="T_Book1_1_Thiet bi_Ra soat KH von 2011 (Huy-11-11-11)_BIEU KE HOACH  2015 (KTN 6.11 sua)" xfId="7737"/>
    <cellStyle name="T_Book1_1_Thiet bi_tinh toan hoang ha" xfId="7738"/>
    <cellStyle name="T_Book1_1_Thiet bi_tinh toan hoang ha 2" xfId="7739"/>
    <cellStyle name="T_Book1_1_Thiet bi_tinh toan hoang ha 2 2" xfId="7740"/>
    <cellStyle name="T_Book1_1_Thiet bi_tinh toan hoang ha 3" xfId="7741"/>
    <cellStyle name="T_Book1_1_Thiet bi_tinh toan hoang ha_BIEU KE HOACH  2015 (KTN 6.11 sua)" xfId="7742"/>
    <cellStyle name="T_Book1_1_Thiet bi_Tong von ĐTPT" xfId="7743"/>
    <cellStyle name="T_Book1_1_Thiet bi_Tong von ĐTPT 2" xfId="7744"/>
    <cellStyle name="T_Book1_1_Thiet bi_Tong von ĐTPT 2 2" xfId="7745"/>
    <cellStyle name="T_Book1_1_Thiet bi_Tong von ĐTPT 3" xfId="7746"/>
    <cellStyle name="T_Book1_1_Thiet bi_Tong von ĐTPT_BIEU KE HOACH  2015 (KTN 6.11 sua)" xfId="7747"/>
    <cellStyle name="T_Book1_1_Thiet bi_Viec Huy dang lam" xfId="7748"/>
    <cellStyle name="T_Book1_1_Thiet bi_Viec Huy dang lam_CT 134" xfId="7749"/>
    <cellStyle name="T_Book1_1_Viec Huy dang lam" xfId="7773"/>
    <cellStyle name="T_Book1_10b_PhanThanNhaSo10" xfId="7774"/>
    <cellStyle name="T_Book1_10b_PhanThanNhaSo10 2" xfId="7775"/>
    <cellStyle name="T_Book1_10b_PhanThanNhaSo10_Bieu chi tieu KH 2014 (Huy-04-11)" xfId="7776"/>
    <cellStyle name="T_Book1_10b_PhanThanNhaSo10_Bieu chi tieu KH 2014 (Huy-04-11) 2" xfId="7777"/>
    <cellStyle name="T_Book1_10b_PhanThanNhaSo10_bieu ke hoach dau thau" xfId="7778"/>
    <cellStyle name="T_Book1_10b_PhanThanNhaSo10_bieu ke hoach dau thau 2" xfId="7779"/>
    <cellStyle name="T_Book1_10b_PhanThanNhaSo10_bieu ke hoach dau thau 2 2" xfId="7780"/>
    <cellStyle name="T_Book1_10b_PhanThanNhaSo10_bieu ke hoach dau thau 3" xfId="7781"/>
    <cellStyle name="T_Book1_10b_PhanThanNhaSo10_bieu ke hoach dau thau truong mam non SKH" xfId="7782"/>
    <cellStyle name="T_Book1_10b_PhanThanNhaSo10_bieu ke hoach dau thau truong mam non SKH 2" xfId="7783"/>
    <cellStyle name="T_Book1_10b_PhanThanNhaSo10_bieu ke hoach dau thau truong mam non SKH 2 2" xfId="7784"/>
    <cellStyle name="T_Book1_10b_PhanThanNhaSo10_bieu ke hoach dau thau truong mam non SKH 3" xfId="7785"/>
    <cellStyle name="T_Book1_10b_PhanThanNhaSo10_bieu ke hoach dau thau truong mam non SKH_BIEU KE HOACH  2015 (KTN 6.11 sua)" xfId="7786"/>
    <cellStyle name="T_Book1_10b_PhanThanNhaSo10_bieu ke hoach dau thau_BIEU KE HOACH  2015 (KTN 6.11 sua)" xfId="7787"/>
    <cellStyle name="T_Book1_10b_PhanThanNhaSo10_bieu tong hop lai kh von 2011 gui phong TH-KTDN" xfId="7788"/>
    <cellStyle name="T_Book1_10b_PhanThanNhaSo10_bieu tong hop lai kh von 2011 gui phong TH-KTDN 2" xfId="7789"/>
    <cellStyle name="T_Book1_10b_PhanThanNhaSo10_bieu tong hop lai kh von 2011 gui phong TH-KTDN 2 2" xfId="7790"/>
    <cellStyle name="T_Book1_10b_PhanThanNhaSo10_bieu tong hop lai kh von 2011 gui phong TH-KTDN 3" xfId="7791"/>
    <cellStyle name="T_Book1_10b_PhanThanNhaSo10_bieu tong hop lai kh von 2011 gui phong TH-KTDN_BIEU KE HOACH  2015 (KTN 6.11 sua)" xfId="7792"/>
    <cellStyle name="T_Book1_10b_PhanThanNhaSo10_Book1" xfId="7793"/>
    <cellStyle name="T_Book1_10b_PhanThanNhaSo10_Book1 2" xfId="7794"/>
    <cellStyle name="T_Book1_10b_PhanThanNhaSo10_Book1 2 2" xfId="7795"/>
    <cellStyle name="T_Book1_10b_PhanThanNhaSo10_Book1 3" xfId="7796"/>
    <cellStyle name="T_Book1_10b_PhanThanNhaSo10_Book1_BIEU KE HOACH  2015 (KTN 6.11 sua)" xfId="7797"/>
    <cellStyle name="T_Book1_10b_PhanThanNhaSo10_Book1_Ke hoach 2010 (theo doi 11-8-2010)" xfId="7798"/>
    <cellStyle name="T_Book1_10b_PhanThanNhaSo10_Book1_Ke hoach 2010 (theo doi 11-8-2010) 2" xfId="7799"/>
    <cellStyle name="T_Book1_10b_PhanThanNhaSo10_Book1_Ke hoach 2010 (theo doi 11-8-2010) 2 2" xfId="7800"/>
    <cellStyle name="T_Book1_10b_PhanThanNhaSo10_Book1_Ke hoach 2010 (theo doi 11-8-2010) 3" xfId="7801"/>
    <cellStyle name="T_Book1_10b_PhanThanNhaSo10_Book1_Ke hoach 2010 (theo doi 11-8-2010)_BIEU KE HOACH  2015 (KTN 6.11 sua)" xfId="7802"/>
    <cellStyle name="T_Book1_10b_PhanThanNhaSo10_Book1_ke hoach dau thau 30-6-2010" xfId="7803"/>
    <cellStyle name="T_Book1_10b_PhanThanNhaSo10_Book1_ke hoach dau thau 30-6-2010 2" xfId="7804"/>
    <cellStyle name="T_Book1_10b_PhanThanNhaSo10_Book1_ke hoach dau thau 30-6-2010 2 2" xfId="7805"/>
    <cellStyle name="T_Book1_10b_PhanThanNhaSo10_Book1_ke hoach dau thau 30-6-2010 3" xfId="7806"/>
    <cellStyle name="T_Book1_10b_PhanThanNhaSo10_Book1_ke hoach dau thau 30-6-2010_BIEU KE HOACH  2015 (KTN 6.11 sua)" xfId="7807"/>
    <cellStyle name="T_Book1_10b_PhanThanNhaSo10_Copy of KH PHAN BO VON ĐỐI ỨNG NAM 2011 (30 TY phuong án gop WB)" xfId="7808"/>
    <cellStyle name="T_Book1_10b_PhanThanNhaSo10_Copy of KH PHAN BO VON ĐỐI ỨNG NAM 2011 (30 TY phuong án gop WB) 2" xfId="7809"/>
    <cellStyle name="T_Book1_10b_PhanThanNhaSo10_Copy of KH PHAN BO VON ĐỐI ỨNG NAM 2011 (30 TY phuong án gop WB) 2 2" xfId="7810"/>
    <cellStyle name="T_Book1_10b_PhanThanNhaSo10_Copy of KH PHAN BO VON ĐỐI ỨNG NAM 2011 (30 TY phuong án gop WB) 3" xfId="7811"/>
    <cellStyle name="T_Book1_10b_PhanThanNhaSo10_Copy of KH PHAN BO VON ĐỐI ỨNG NAM 2011 (30 TY phuong án gop WB)_BIEU KE HOACH  2015 (KTN 6.11 sua)" xfId="7812"/>
    <cellStyle name="T_Book1_10b_PhanThanNhaSo10_DTTD chieng chan Tham lai 29-9-2009" xfId="7813"/>
    <cellStyle name="T_Book1_10b_PhanThanNhaSo10_DTTD chieng chan Tham lai 29-9-2009 2" xfId="7814"/>
    <cellStyle name="T_Book1_10b_PhanThanNhaSo10_DTTD chieng chan Tham lai 29-9-2009 2 2" xfId="7815"/>
    <cellStyle name="T_Book1_10b_PhanThanNhaSo10_DTTD chieng chan Tham lai 29-9-2009 3" xfId="7816"/>
    <cellStyle name="T_Book1_10b_PhanThanNhaSo10_DTTD chieng chan Tham lai 29-9-2009_BIEU KE HOACH  2015 (KTN 6.11 sua)" xfId="7817"/>
    <cellStyle name="T_Book1_10b_PhanThanNhaSo10_Du toan nuoc San Thang (GD2)" xfId="7819"/>
    <cellStyle name="T_Book1_10b_PhanThanNhaSo10_Du toan nuoc San Thang (GD2) 2" xfId="7820"/>
    <cellStyle name="T_Book1_10b_PhanThanNhaSo10_Du toan nuoc San Thang (GD2) 2 2" xfId="7821"/>
    <cellStyle name="T_Book1_10b_PhanThanNhaSo10_Du toan nuoc San Thang (GD2) 3" xfId="7822"/>
    <cellStyle name="T_Book1_10b_PhanThanNhaSo10_Du toan nuoc San Thang (GD2)_BIEU KE HOACH  2015 (KTN 6.11 sua)" xfId="7823"/>
    <cellStyle name="T_Book1_10b_PhanThanNhaSo10_dự toán 30a 2013" xfId="7818"/>
    <cellStyle name="T_Book1_10b_PhanThanNhaSo10_Ke hoach 2010 (theo doi 11-8-2010)" xfId="7824"/>
    <cellStyle name="T_Book1_10b_PhanThanNhaSo10_Ke hoach 2010 (theo doi 11-8-2010) 2" xfId="7825"/>
    <cellStyle name="T_Book1_10b_PhanThanNhaSo10_Ke hoach 2010 (theo doi 11-8-2010) 2 2" xfId="7826"/>
    <cellStyle name="T_Book1_10b_PhanThanNhaSo10_Ke hoach 2010 (theo doi 11-8-2010) 3" xfId="7827"/>
    <cellStyle name="T_Book1_10b_PhanThanNhaSo10_Ke hoach 2010 (theo doi 11-8-2010)_BIEU KE HOACH  2015 (KTN 6.11 sua)" xfId="7828"/>
    <cellStyle name="T_Book1_10b_PhanThanNhaSo10_ke hoach dau thau 30-6-2010" xfId="7829"/>
    <cellStyle name="T_Book1_10b_PhanThanNhaSo10_ke hoach dau thau 30-6-2010 2" xfId="7830"/>
    <cellStyle name="T_Book1_10b_PhanThanNhaSo10_ke hoach dau thau 30-6-2010 2 2" xfId="7831"/>
    <cellStyle name="T_Book1_10b_PhanThanNhaSo10_ke hoach dau thau 30-6-2010 3" xfId="7832"/>
    <cellStyle name="T_Book1_10b_PhanThanNhaSo10_ke hoach dau thau 30-6-2010_BIEU KE HOACH  2015 (KTN 6.11 sua)" xfId="7833"/>
    <cellStyle name="T_Book1_10b_PhanThanNhaSo10_KH Von 2012 gui BKH 1" xfId="7834"/>
    <cellStyle name="T_Book1_10b_PhanThanNhaSo10_KH Von 2012 gui BKH 1 2" xfId="7835"/>
    <cellStyle name="T_Book1_10b_PhanThanNhaSo10_KH Von 2012 gui BKH 1 2 2" xfId="7836"/>
    <cellStyle name="T_Book1_10b_PhanThanNhaSo10_KH Von 2012 gui BKH 1 3" xfId="7837"/>
    <cellStyle name="T_Book1_10b_PhanThanNhaSo10_KH Von 2012 gui BKH 1_BIEU KE HOACH  2015 (KTN 6.11 sua)" xfId="7838"/>
    <cellStyle name="T_Book1_10b_PhanThanNhaSo10_QD ke hoach dau thau" xfId="7839"/>
    <cellStyle name="T_Book1_10b_PhanThanNhaSo10_QD ke hoach dau thau 2" xfId="7840"/>
    <cellStyle name="T_Book1_10b_PhanThanNhaSo10_QD ke hoach dau thau 2 2" xfId="7841"/>
    <cellStyle name="T_Book1_10b_PhanThanNhaSo10_QD ke hoach dau thau 3" xfId="7842"/>
    <cellStyle name="T_Book1_10b_PhanThanNhaSo10_QD ke hoach dau thau_BIEU KE HOACH  2015 (KTN 6.11 sua)" xfId="7843"/>
    <cellStyle name="T_Book1_10b_PhanThanNhaSo10_Ra soat KH von 2011 (Huy-11-11-11)" xfId="7844"/>
    <cellStyle name="T_Book1_10b_PhanThanNhaSo10_Ra soat KH von 2011 (Huy-11-11-11) 2" xfId="7845"/>
    <cellStyle name="T_Book1_10b_PhanThanNhaSo10_Ra soat KH von 2011 (Huy-11-11-11) 2 2" xfId="7846"/>
    <cellStyle name="T_Book1_10b_PhanThanNhaSo10_Ra soat KH von 2011 (Huy-11-11-11) 3" xfId="7847"/>
    <cellStyle name="T_Book1_10b_PhanThanNhaSo10_Ra soat KH von 2011 (Huy-11-11-11)_BIEU KE HOACH  2015 (KTN 6.11 sua)" xfId="7848"/>
    <cellStyle name="T_Book1_10b_PhanThanNhaSo10_tinh toan hoang ha" xfId="7849"/>
    <cellStyle name="T_Book1_10b_PhanThanNhaSo10_tinh toan hoang ha 2" xfId="7850"/>
    <cellStyle name="T_Book1_10b_PhanThanNhaSo10_tinh toan hoang ha 2 2" xfId="7851"/>
    <cellStyle name="T_Book1_10b_PhanThanNhaSo10_tinh toan hoang ha 3" xfId="7852"/>
    <cellStyle name="T_Book1_10b_PhanThanNhaSo10_tinh toan hoang ha_BIEU KE HOACH  2015 (KTN 6.11 sua)" xfId="7853"/>
    <cellStyle name="T_Book1_10b_PhanThanNhaSo10_Tong von ĐTPT" xfId="7854"/>
    <cellStyle name="T_Book1_10b_PhanThanNhaSo10_Tong von ĐTPT 2" xfId="7855"/>
    <cellStyle name="T_Book1_10b_PhanThanNhaSo10_Tong von ĐTPT 2 2" xfId="7856"/>
    <cellStyle name="T_Book1_10b_PhanThanNhaSo10_Tong von ĐTPT 3" xfId="7857"/>
    <cellStyle name="T_Book1_10b_PhanThanNhaSo10_Tong von ĐTPT_BIEU KE HOACH  2015 (KTN 6.11 sua)" xfId="7858"/>
    <cellStyle name="T_Book1_10b_PhanThanNhaSo10_Viec Huy dang lam" xfId="7859"/>
    <cellStyle name="T_Book1_10b_PhanThanNhaSo10_Viec Huy dang lam_CT 134" xfId="7860"/>
    <cellStyle name="T_Book1_2" xfId="7861"/>
    <cellStyle name="T_Book1_2 2" xfId="7862"/>
    <cellStyle name="T_Book1_2 3" xfId="7863"/>
    <cellStyle name="T_Book1_2 4" xfId="7864"/>
    <cellStyle name="T_Book1_2_Bao cao danh muc cac cong trinh tren dia ban huyen 4-2010" xfId="7865"/>
    <cellStyle name="T_Book1_2_Bao cao danh muc cac cong trinh tren dia ban huyen 4-2010 2" xfId="7866"/>
    <cellStyle name="T_Book1_2_Bao cao TPCP" xfId="7867"/>
    <cellStyle name="T_Book1_2_Bao cao TPCP 2" xfId="7868"/>
    <cellStyle name="T_Book1_2_Bao cao TPCP 3" xfId="7869"/>
    <cellStyle name="T_Book1_2_Bao cao TPCP_BIEU KE HOACH  2015 (KTN 6.11 sua)" xfId="7870"/>
    <cellStyle name="T_Book1_2_bao_cao_TH_th_cong_tac_dau_thau_-_ngay251209" xfId="7871"/>
    <cellStyle name="T_Book1_2_bao_cao_TH_th_cong_tac_dau_thau_-_ngay251209 2" xfId="7872"/>
    <cellStyle name="T_Book1_2_Bieu chi tieu KH 2014 (Huy-04-11)" xfId="7873"/>
    <cellStyle name="T_Book1_2_Bieu chi tieu KH 2014 (Huy-04-11) 2" xfId="7874"/>
    <cellStyle name="T_Book1_2_BIEU KE HOACH  2015 (KTN 6.11 sua)" xfId="7875"/>
    <cellStyle name="T_Book1_2_bieu ke hoach dau thau" xfId="7876"/>
    <cellStyle name="T_Book1_2_bieu ke hoach dau thau 2" xfId="7877"/>
    <cellStyle name="T_Book1_2_bieu ke hoach dau thau 3" xfId="7878"/>
    <cellStyle name="T_Book1_2_bieu ke hoach dau thau truong mam non SKH" xfId="7879"/>
    <cellStyle name="T_Book1_2_bieu ke hoach dau thau truong mam non SKH 2" xfId="7880"/>
    <cellStyle name="T_Book1_2_bieu ke hoach dau thau truong mam non SKH 3" xfId="7881"/>
    <cellStyle name="T_Book1_2_bieu ke hoach dau thau truong mam non SKH_BIEU KE HOACH  2015 (KTN 6.11 sua)" xfId="7882"/>
    <cellStyle name="T_Book1_2_bieu ke hoach dau thau_BIEU KE HOACH  2015 (KTN 6.11 sua)" xfId="7883"/>
    <cellStyle name="T_Book1_2_bieu tong hop lai kh von 2011 gui phong TH-KTDN" xfId="7884"/>
    <cellStyle name="T_Book1_2_bieu tong hop lai kh von 2011 gui phong TH-KTDN 2" xfId="7885"/>
    <cellStyle name="T_Book1_2_bieu tong hop lai kh von 2011 gui phong TH-KTDN 3" xfId="7886"/>
    <cellStyle name="T_Book1_2_bieu tong hop lai kh von 2011 gui phong TH-KTDN_BIEU KE HOACH  2015 (KTN 6.11 sua)" xfId="7887"/>
    <cellStyle name="T_Book1_2_bieumau 1" xfId="7889"/>
    <cellStyle name="T_Book1_2_BIỂU TỔNG HỢP LẦN CUỐI SỬA THEO NGHI QUYẾT SỐ 81" xfId="7888"/>
    <cellStyle name="T_Book1_2_Book1" xfId="7890"/>
    <cellStyle name="T_Book1_2_Book1 2" xfId="7891"/>
    <cellStyle name="T_Book1_2_Book1 3" xfId="7892"/>
    <cellStyle name="T_Book1_2_Book1 4" xfId="7893"/>
    <cellStyle name="T_Book1_2_Book1_1" xfId="7894"/>
    <cellStyle name="T_Book1_2_Book1_1 2" xfId="7895"/>
    <cellStyle name="T_Book1_2_Book1_1 3" xfId="7896"/>
    <cellStyle name="T_Book1_2_Book1_1_BIEU KE HOACH  2015 (KTN 6.11 sua)" xfId="7897"/>
    <cellStyle name="T_Book1_2_Book1_1_Book1" xfId="7898"/>
    <cellStyle name="T_Book1_2_Book1_1_Book1 2" xfId="7899"/>
    <cellStyle name="T_Book1_2_Book1_1_Book1 3" xfId="7900"/>
    <cellStyle name="T_Book1_2_Book1_1_Book1_BIEU KE HOACH  2015 (KTN 6.11 sua)" xfId="7901"/>
    <cellStyle name="T_Book1_2_Book1_1_Book1_Ke hoach 2010 (theo doi 11-8-2010)" xfId="7902"/>
    <cellStyle name="T_Book1_2_Book1_1_Book1_Ke hoach 2010 (theo doi 11-8-2010) 2" xfId="7903"/>
    <cellStyle name="T_Book1_2_Book1_1_Book1_Ke hoach 2010 (theo doi 11-8-2010) 3" xfId="7904"/>
    <cellStyle name="T_Book1_2_Book1_1_Book1_Ke hoach 2010 (theo doi 11-8-2010)_BIEU KE HOACH  2015 (KTN 6.11 sua)" xfId="7905"/>
    <cellStyle name="T_Book1_2_Book1_1_Ke hoach 2010 (theo doi 11-8-2010)" xfId="7906"/>
    <cellStyle name="T_Book1_2_Book1_1_Ke hoach 2010 (theo doi 11-8-2010) 2" xfId="7907"/>
    <cellStyle name="T_Book1_2_Book1_1_Ke hoach 2010 (theo doi 11-8-2010) 3" xfId="7908"/>
    <cellStyle name="T_Book1_2_Book1_1_Ke hoach 2010 (theo doi 11-8-2010)_BIEU KE HOACH  2015 (KTN 6.11 sua)" xfId="7909"/>
    <cellStyle name="T_Book1_2_Book1_1_ke hoach dau thau 30-6-2010" xfId="7910"/>
    <cellStyle name="T_Book1_2_Book1_1_ke hoach dau thau 30-6-2010 2" xfId="7911"/>
    <cellStyle name="T_Book1_2_Book1_1_ke hoach dau thau 30-6-2010 3" xfId="7912"/>
    <cellStyle name="T_Book1_2_Book1_1_ke hoach dau thau 30-6-2010_BIEU KE HOACH  2015 (KTN 6.11 sua)" xfId="7913"/>
    <cellStyle name="T_Book1_2_Book1_2" xfId="7914"/>
    <cellStyle name="T_Book1_2_Book1_2 2" xfId="7915"/>
    <cellStyle name="T_Book1_2_Book1_2 2 2" xfId="7916"/>
    <cellStyle name="T_Book1_2_Book1_2 3" xfId="7917"/>
    <cellStyle name="T_Book1_2_Book1_2_BIEU KE HOACH  2015 (KTN 6.11 sua)" xfId="7918"/>
    <cellStyle name="T_Book1_2_Book1_2_Ke hoach 2010 (theo doi 11-8-2010)" xfId="7919"/>
    <cellStyle name="T_Book1_2_Book1_2_Ke hoach 2010 (theo doi 11-8-2010) 2" xfId="7920"/>
    <cellStyle name="T_Book1_2_Book1_2_Ke hoach 2010 (theo doi 11-8-2010) 3" xfId="7921"/>
    <cellStyle name="T_Book1_2_Book1_2_Ke hoach 2010 (theo doi 11-8-2010)_BIEU KE HOACH  2015 (KTN 6.11 sua)" xfId="7922"/>
    <cellStyle name="T_Book1_2_Book1_3" xfId="7923"/>
    <cellStyle name="T_Book1_2_Book1_Bao cao 9 thang  XDCB" xfId="7924"/>
    <cellStyle name="T_Book1_2_Book1_Bao cao 9 thang  XDCB 2" xfId="7925"/>
    <cellStyle name="T_Book1_2_Book1_Bao cao phòng lao động phụ lục 3" xfId="7926"/>
    <cellStyle name="T_Book1_2_Book1_Bao cao phòng lao động phụ lục 3 2" xfId="7927"/>
    <cellStyle name="T_Book1_2_Book1_Book1" xfId="7928"/>
    <cellStyle name="T_Book1_2_Book1_Book1 2" xfId="7929"/>
    <cellStyle name="T_Book1_2_Book1_Book1 3" xfId="7930"/>
    <cellStyle name="T_Book1_2_Book1_Book1_1" xfId="7931"/>
    <cellStyle name="T_Book1_2_Book1_Book1_BIEU KE HOACH  2015 (KTN 6.11 sua)" xfId="7932"/>
    <cellStyle name="T_Book1_2_Book1_Book1_Ke hoach 2010 (theo doi 11-8-2010)" xfId="7933"/>
    <cellStyle name="T_Book1_2_Book1_Book1_Ke hoach 2010 (theo doi 11-8-2010) 2" xfId="7934"/>
    <cellStyle name="T_Book1_2_Book1_Book1_Ke hoach 2010 (theo doi 11-8-2010) 3" xfId="7935"/>
    <cellStyle name="T_Book1_2_Book1_Book1_Ke hoach 2010 (theo doi 11-8-2010)_BIEU KE HOACH  2015 (KTN 6.11 sua)" xfId="7936"/>
    <cellStyle name="T_Book1_2_Book1_Danh Mục KCM trinh BKH 2011 (BS 30A)" xfId="7937"/>
    <cellStyle name="T_Book1_2_Book1_Danh Mục KCM trinh BKH 2011 (BS 30A) 2" xfId="7938"/>
    <cellStyle name="T_Book1_2_Book1_dự toán 30a 2013" xfId="7939"/>
    <cellStyle name="T_Book1_2_Book1_Ke hoach 2010 (theo doi 11-8-2010)" xfId="7940"/>
    <cellStyle name="T_Book1_2_Book1_Ke hoach 2010 (theo doi 11-8-2010) 2" xfId="7941"/>
    <cellStyle name="T_Book1_2_Book1_Ke hoach 2010 (theo doi 11-8-2010) 2 2" xfId="7942"/>
    <cellStyle name="T_Book1_2_Book1_Ke hoach 2010 (theo doi 11-8-2010) 3" xfId="7943"/>
    <cellStyle name="T_Book1_2_Book1_Ke hoach 2010 (theo doi 11-8-2010)_BIEU KE HOACH  2015 (KTN 6.11 sua)" xfId="7944"/>
    <cellStyle name="T_Book1_2_Book1_ke hoach dau thau 30-6-2010" xfId="7945"/>
    <cellStyle name="T_Book1_2_Book1_ke hoach dau thau 30-6-2010 2" xfId="7946"/>
    <cellStyle name="T_Book1_2_Book1_ke hoach dau thau 30-6-2010 3" xfId="7947"/>
    <cellStyle name="T_Book1_2_Book1_ke hoach dau thau 30-6-2010_BIEU KE HOACH  2015 (KTN 6.11 sua)" xfId="7948"/>
    <cellStyle name="T_Book1_2_Book1_KH Von 2012 gui BKH 1" xfId="7949"/>
    <cellStyle name="T_Book1_2_Book1_KH Von 2012 gui BKH 1 2" xfId="7950"/>
    <cellStyle name="T_Book1_2_Book1_KH Von 2012 gui BKH 1 3" xfId="7951"/>
    <cellStyle name="T_Book1_2_Book1_KH Von 2012 gui BKH 1_BIEU KE HOACH  2015 (KTN 6.11 sua)" xfId="7952"/>
    <cellStyle name="T_Book1_2_Book1_KH Von 2012 gui BKH 2" xfId="7953"/>
    <cellStyle name="T_Book1_2_Book1_KH Von 2012 gui BKH 2 2" xfId="7954"/>
    <cellStyle name="T_Book1_2_Book1_KH Von 2012 gui BKH 2 3" xfId="7955"/>
    <cellStyle name="T_Book1_2_Book1_KH Von 2012 gui BKH 2_BIEU KE HOACH  2015 (KTN 6.11 sua)" xfId="7956"/>
    <cellStyle name="T_Book1_2_Book1_Quy 3 nam 2011" xfId="7957"/>
    <cellStyle name="T_Book1_2_Book1_Ra soat KH von 2011 (Huy-11-11-11)" xfId="7958"/>
    <cellStyle name="T_Book1_2_Book1_Ra soat KH von 2011 (Huy-11-11-11) 2" xfId="7959"/>
    <cellStyle name="T_Book1_2_Book1_TONG HOP HOAN THUE NAM 2011" xfId="7962"/>
    <cellStyle name="T_Book1_2_Book1_Theo doi thanh toan" xfId="7960"/>
    <cellStyle name="T_Book1_2_Book1_Theo doi thanh toan 2" xfId="7961"/>
    <cellStyle name="T_Book1_2_Book1_Viec Huy dang lam" xfId="7963"/>
    <cellStyle name="T_Book1_2_Book1_Viec Huy dang lam_CT 134" xfId="7964"/>
    <cellStyle name="T_Book1_2_cong bo gia VLXD thang 4" xfId="7969"/>
    <cellStyle name="T_Book1_2_cong bo gia VLXD thang 4 2" xfId="7970"/>
    <cellStyle name="T_Book1_2_cong bo gia VLXD thang 4 3" xfId="7971"/>
    <cellStyle name="T_Book1_2_cong bo gia VLXD thang 4_BIEU KE HOACH  2015 (KTN 6.11 sua)" xfId="7972"/>
    <cellStyle name="T_Book1_2_Copy of KH PHAN BO VON ĐỐI ỨNG NAM 2011 (30 TY phuong án gop WB)" xfId="7973"/>
    <cellStyle name="T_Book1_2_Copy of KH PHAN BO VON ĐỐI ỨNG NAM 2011 (30 TY phuong án gop WB) 2" xfId="7974"/>
    <cellStyle name="T_Book1_2_Copy of KH PHAN BO VON ĐỐI ỨNG NAM 2011 (30 TY phuong án gop WB) 3" xfId="7975"/>
    <cellStyle name="T_Book1_2_Copy of KH PHAN BO VON ĐỐI ỨNG NAM 2011 (30 TY phuong án gop WB)_BIEU KE HOACH  2015 (KTN 6.11 sua)" xfId="7976"/>
    <cellStyle name="T_Book1_2_Chi tieu KH nam 2009" xfId="7965"/>
    <cellStyle name="T_Book1_2_Chi tieu KH nam 2009 2" xfId="7966"/>
    <cellStyle name="T_Book1_2_Chi tieu KH nam 2009 3" xfId="7967"/>
    <cellStyle name="T_Book1_2_Chi tieu KH nam 2009_BIEU KE HOACH  2015 (KTN 6.11 sua)" xfId="7968"/>
    <cellStyle name="T_Book1_2_dang vien mói" xfId="7977"/>
    <cellStyle name="T_Book1_2_dang vien mói 2" xfId="7978"/>
    <cellStyle name="T_Book1_2_Danh Mục KCM trinh BKH 2011 (BS 30A)" xfId="7979"/>
    <cellStyle name="T_Book1_2_Danh Mục KCM trinh BKH 2011 (BS 30A) 2" xfId="7980"/>
    <cellStyle name="T_Book1_2_DT 1751 Muong Khoa" xfId="7981"/>
    <cellStyle name="T_Book1_2_DT 1751 Muong Khoa 2" xfId="7982"/>
    <cellStyle name="T_Book1_2_DT 1751 Muong Khoa 3" xfId="7983"/>
    <cellStyle name="T_Book1_2_DT 1751 Muong Khoa_BIEU KE HOACH  2015 (KTN 6.11 sua)" xfId="7984"/>
    <cellStyle name="T_Book1_2_DT Nam vai" xfId="7985"/>
    <cellStyle name="T_Book1_2_DT Nam vai 2" xfId="7986"/>
    <cellStyle name="T_Book1_2_DT Nam vai 3" xfId="7987"/>
    <cellStyle name="T_Book1_2_DT Nam vai_BIEU KE HOACH  2015 (KTN 6.11 sua)" xfId="7988"/>
    <cellStyle name="T_Book1_2_DT Nam vai_bieu ke hoach dau thau" xfId="7989"/>
    <cellStyle name="T_Book1_2_DT Nam vai_bieu ke hoach dau thau 2" xfId="7990"/>
    <cellStyle name="T_Book1_2_DT Nam vai_bieu ke hoach dau thau 3" xfId="7991"/>
    <cellStyle name="T_Book1_2_DT Nam vai_bieu ke hoach dau thau truong mam non SKH" xfId="7992"/>
    <cellStyle name="T_Book1_2_DT Nam vai_bieu ke hoach dau thau truong mam non SKH 2" xfId="7993"/>
    <cellStyle name="T_Book1_2_DT Nam vai_bieu ke hoach dau thau truong mam non SKH 3" xfId="7994"/>
    <cellStyle name="T_Book1_2_DT Nam vai_bieu ke hoach dau thau truong mam non SKH_BIEU KE HOACH  2015 (KTN 6.11 sua)" xfId="7995"/>
    <cellStyle name="T_Book1_2_DT Nam vai_bieu ke hoach dau thau_BIEU KE HOACH  2015 (KTN 6.11 sua)" xfId="7996"/>
    <cellStyle name="T_Book1_2_DT Nam vai_Book1" xfId="7997"/>
    <cellStyle name="T_Book1_2_DT Nam vai_Book1 2" xfId="7998"/>
    <cellStyle name="T_Book1_2_DT Nam vai_Book1 3" xfId="7999"/>
    <cellStyle name="T_Book1_2_DT Nam vai_Book1_BIEU KE HOACH  2015 (KTN 6.11 sua)" xfId="8000"/>
    <cellStyle name="T_Book1_2_DT Nam vai_DTTD chieng chan Tham lai 29-9-2009" xfId="8001"/>
    <cellStyle name="T_Book1_2_DT Nam vai_DTTD chieng chan Tham lai 29-9-2009 2" xfId="8002"/>
    <cellStyle name="T_Book1_2_DT Nam vai_DTTD chieng chan Tham lai 29-9-2009 3" xfId="8003"/>
    <cellStyle name="T_Book1_2_DT Nam vai_DTTD chieng chan Tham lai 29-9-2009_BIEU KE HOACH  2015 (KTN 6.11 sua)" xfId="8004"/>
    <cellStyle name="T_Book1_2_DT Nam vai_Ke hoach 2010 (theo doi 11-8-2010)" xfId="8005"/>
    <cellStyle name="T_Book1_2_DT Nam vai_Ke hoach 2010 (theo doi 11-8-2010) 2" xfId="8006"/>
    <cellStyle name="T_Book1_2_DT Nam vai_Ke hoach 2010 (theo doi 11-8-2010) 3" xfId="8007"/>
    <cellStyle name="T_Book1_2_DT Nam vai_Ke hoach 2010 (theo doi 11-8-2010)_BIEU KE HOACH  2015 (KTN 6.11 sua)" xfId="8008"/>
    <cellStyle name="T_Book1_2_DT Nam vai_ke hoach dau thau 30-6-2010" xfId="8009"/>
    <cellStyle name="T_Book1_2_DT Nam vai_ke hoach dau thau 30-6-2010 2" xfId="8010"/>
    <cellStyle name="T_Book1_2_DT Nam vai_ke hoach dau thau 30-6-2010 3" xfId="8011"/>
    <cellStyle name="T_Book1_2_DT Nam vai_ke hoach dau thau 30-6-2010_BIEU KE HOACH  2015 (KTN 6.11 sua)" xfId="8012"/>
    <cellStyle name="T_Book1_2_DT Nam vai_QD ke hoach dau thau" xfId="8013"/>
    <cellStyle name="T_Book1_2_DT Nam vai_QD ke hoach dau thau 2" xfId="8014"/>
    <cellStyle name="T_Book1_2_DT Nam vai_QD ke hoach dau thau 3" xfId="8015"/>
    <cellStyle name="T_Book1_2_DT Nam vai_QD ke hoach dau thau_BIEU KE HOACH  2015 (KTN 6.11 sua)" xfId="8016"/>
    <cellStyle name="T_Book1_2_DT Nam vai_tinh toan hoang ha" xfId="8017"/>
    <cellStyle name="T_Book1_2_DT Nam vai_tinh toan hoang ha 2" xfId="8018"/>
    <cellStyle name="T_Book1_2_DT Nam vai_tinh toan hoang ha 3" xfId="8019"/>
    <cellStyle name="T_Book1_2_DT Nam vai_tinh toan hoang ha_BIEU KE HOACH  2015 (KTN 6.11 sua)" xfId="8020"/>
    <cellStyle name="T_Book1_2_DT NHA KHACH -12" xfId="8021"/>
    <cellStyle name="T_Book1_2_DT NHA KHACH -12 2" xfId="8022"/>
    <cellStyle name="T_Book1_2_DT NHA KHACH -12 3" xfId="8023"/>
    <cellStyle name="T_Book1_2_DT NHA KHACH -12_BIEU KE HOACH  2015 (KTN 6.11 sua)" xfId="8024"/>
    <cellStyle name="T_Book1_2_DT tieu hoc diem TDC ban Cho 28-02-09" xfId="8025"/>
    <cellStyle name="T_Book1_2_DT tieu hoc diem TDC ban Cho 28-02-09 2" xfId="8026"/>
    <cellStyle name="T_Book1_2_DT tieu hoc diem TDC ban Cho 28-02-09 3" xfId="8027"/>
    <cellStyle name="T_Book1_2_DT tieu hoc diem TDC ban Cho 28-02-09_BIEU KE HOACH  2015 (KTN 6.11 sua)" xfId="8028"/>
    <cellStyle name="T_Book1_2_DTTD chieng chan Tham lai 29-9-2009" xfId="8029"/>
    <cellStyle name="T_Book1_2_DTTD chieng chan Tham lai 29-9-2009 2" xfId="8030"/>
    <cellStyle name="T_Book1_2_DTTD chieng chan Tham lai 29-9-2009 3" xfId="8031"/>
    <cellStyle name="T_Book1_2_DTTD chieng chan Tham lai 29-9-2009_BIEU KE HOACH  2015 (KTN 6.11 sua)" xfId="8032"/>
    <cellStyle name="T_Book1_2_Du toan nuoc San Thang (GD2)" xfId="8034"/>
    <cellStyle name="T_Book1_2_Du toan nuoc San Thang (GD2) 2" xfId="8035"/>
    <cellStyle name="T_Book1_2_Du toan nuoc San Thang (GD2) 3" xfId="8036"/>
    <cellStyle name="T_Book1_2_Du toan nuoc San Thang (GD2)_BIEU KE HOACH  2015 (KTN 6.11 sua)" xfId="8037"/>
    <cellStyle name="T_Book1_2_DuToan92009Luong650" xfId="8038"/>
    <cellStyle name="T_Book1_2_DuToan92009Luong650 2" xfId="8039"/>
    <cellStyle name="T_Book1_2_DuToan92009Luong650 3" xfId="8040"/>
    <cellStyle name="T_Book1_2_DuToan92009Luong650_CT 134" xfId="8041"/>
    <cellStyle name="T_Book1_2_dự toán 30a 2013" xfId="8033"/>
    <cellStyle name="T_Book1_2_GVL" xfId="8042"/>
    <cellStyle name="T_Book1_2_GVL 2" xfId="8043"/>
    <cellStyle name="T_Book1_2_GVL 3" xfId="8044"/>
    <cellStyle name="T_Book1_2_GVL_BIEU KE HOACH  2015 (KTN 6.11 sua)" xfId="8045"/>
    <cellStyle name="T_Book1_2_HD TT1" xfId="8046"/>
    <cellStyle name="T_Book1_2_HD TT1 2" xfId="8047"/>
    <cellStyle name="T_Book1_2_HD TT1 3" xfId="8048"/>
    <cellStyle name="T_Book1_2_HD TT1_BIEU KE HOACH  2015 (KTN 6.11 sua)" xfId="8049"/>
    <cellStyle name="T_Book1_2_Ke hoach 2010 ngay 14.4.10" xfId="8050"/>
    <cellStyle name="T_Book1_2_Ke hoach 2010 ngay 14.4.10 2" xfId="8051"/>
    <cellStyle name="T_Book1_2_Ke hoach 2010 ngay 14.4.10 3" xfId="8052"/>
    <cellStyle name="T_Book1_2_Ke hoach 2010 ngay 14.4.10_BIEU KE HOACH  2015 (KTN 6.11 sua)" xfId="8053"/>
    <cellStyle name="T_Book1_2_ke hoach dau thau 30-6-2010" xfId="8054"/>
    <cellStyle name="T_Book1_2_ke hoach dau thau 30-6-2010 2" xfId="8055"/>
    <cellStyle name="T_Book1_2_ke hoach dau thau 30-6-2010 3" xfId="8056"/>
    <cellStyle name="T_Book1_2_ke hoach dau thau 30-6-2010_BIEU KE HOACH  2015 (KTN 6.11 sua)" xfId="8057"/>
    <cellStyle name="T_Book1_2_KH 2014" xfId="8058"/>
    <cellStyle name="T_Book1_2_KH Von 2012 gui BKH 1" xfId="8059"/>
    <cellStyle name="T_Book1_2_KH Von 2012 gui BKH 1 2" xfId="8060"/>
    <cellStyle name="T_Book1_2_KH Von 2012 gui BKH 1 3" xfId="8061"/>
    <cellStyle name="T_Book1_2_KH Von 2012 gui BKH 1_BIEU KE HOACH  2015 (KTN 6.11 sua)" xfId="8062"/>
    <cellStyle name="T_Book1_2_Nha lop hoc 8 P" xfId="8063"/>
    <cellStyle name="T_Book1_2_Nha lop hoc 8 P 2" xfId="8064"/>
    <cellStyle name="T_Book1_2_Nha lop hoc 8 P 3" xfId="8065"/>
    <cellStyle name="T_Book1_2_Nha lop hoc 8 P_BIEU KE HOACH  2015 (KTN 6.11 sua)" xfId="8066"/>
    <cellStyle name="T_Book1_2_Phan pha do" xfId="8067"/>
    <cellStyle name="T_Book1_2_Phan pha do 2" xfId="8068"/>
    <cellStyle name="T_Book1_2_QD ke hoach dau thau" xfId="8071"/>
    <cellStyle name="T_Book1_2_QD ke hoach dau thau 2" xfId="8072"/>
    <cellStyle name="T_Book1_2_QD ke hoach dau thau 3" xfId="8073"/>
    <cellStyle name="T_Book1_2_QD ke hoach dau thau_BIEU KE HOACH  2015 (KTN 6.11 sua)" xfId="8074"/>
    <cellStyle name="T_Book1_2_QĐ 980" xfId="8069"/>
    <cellStyle name="T_Book1_2_QĐ 980 2" xfId="8070"/>
    <cellStyle name="T_Book1_2_Ra soat KH von 2011 (Huy-11-11-11)" xfId="8075"/>
    <cellStyle name="T_Book1_2_Ra soat KH von 2011 (Huy-11-11-11) 2" xfId="8076"/>
    <cellStyle name="T_Book1_2_Ra soat KH von 2011 (Huy-11-11-11) 3" xfId="8077"/>
    <cellStyle name="T_Book1_2_Ra soat KH von 2011 (Huy-11-11-11)_BIEU KE HOACH  2015 (KTN 6.11 sua)" xfId="8078"/>
    <cellStyle name="T_Book1_2_Sheet2" xfId="8079"/>
    <cellStyle name="T_Book1_2_Sheet2 2" xfId="8080"/>
    <cellStyle name="T_Book1_2_Sheet2 3" xfId="8081"/>
    <cellStyle name="T_Book1_2_Sheet2_BIEU KE HOACH  2015 (KTN 6.11 sua)" xfId="8082"/>
    <cellStyle name="T_Book1_2_Tienluong" xfId="8085"/>
    <cellStyle name="T_Book1_2_Tienluong 2" xfId="8086"/>
    <cellStyle name="T_Book1_2_Tienluong 3" xfId="8087"/>
    <cellStyle name="T_Book1_2_Tienluong_BIEU KE HOACH  2015 (KTN 6.11 sua)" xfId="8088"/>
    <cellStyle name="T_Book1_2_tinh toan hoang ha" xfId="8089"/>
    <cellStyle name="T_Book1_2_tinh toan hoang ha 2" xfId="8090"/>
    <cellStyle name="T_Book1_2_tinh toan hoang ha 3" xfId="8091"/>
    <cellStyle name="T_Book1_2_tinh toan hoang ha_BIEU KE HOACH  2015 (KTN 6.11 sua)" xfId="8092"/>
    <cellStyle name="T_Book1_2_Tong von ĐTPT" xfId="8093"/>
    <cellStyle name="T_Book1_2_Tong von ĐTPT 2" xfId="8094"/>
    <cellStyle name="T_Book1_2_Tong von ĐTPT 3" xfId="8095"/>
    <cellStyle name="T_Book1_2_Tong von ĐTPT_BIEU KE HOACH  2015 (KTN 6.11 sua)" xfId="8096"/>
    <cellStyle name="T_Book1_2_TU VAN THUY LOI THAM  PHE" xfId="8097"/>
    <cellStyle name="T_Book1_2_TU VAN THUY LOI THAM  PHE 2" xfId="8098"/>
    <cellStyle name="T_Book1_2_TU VAN THUY LOI THAM  PHE 3" xfId="8099"/>
    <cellStyle name="T_Book1_2_TU VAN THUY LOI THAM  PHE_BIEU KE HOACH  2015 (KTN 6.11 sua)" xfId="8100"/>
    <cellStyle name="T_Book1_2_TH danh muc 08-09 den ngay 30-8-09" xfId="8083"/>
    <cellStyle name="T_Book1_2_TH danh muc 08-09 den ngay 30-8-09 2" xfId="8084"/>
    <cellStyle name="T_Book1_2_Viec Huy dang lam" xfId="8101"/>
    <cellStyle name="T_Book1_2_Viec Huy dang lam_CT 134" xfId="8102"/>
    <cellStyle name="T_Book1_3" xfId="8103"/>
    <cellStyle name="T_Book1_3 2" xfId="8104"/>
    <cellStyle name="T_Book1_3 2 2" xfId="8105"/>
    <cellStyle name="T_Book1_3 3" xfId="8106"/>
    <cellStyle name="T_Book1_3_BIEU KE HOACH  2015 (KTN 6.11 sua)" xfId="8107"/>
    <cellStyle name="T_Book1_3_Book1" xfId="8108"/>
    <cellStyle name="T_Book1_3_Book1 2" xfId="8109"/>
    <cellStyle name="T_Book1_3_Book1 3" xfId="8110"/>
    <cellStyle name="T_Book1_3_Book1_BIEU KE HOACH  2015 (KTN 6.11 sua)" xfId="8111"/>
    <cellStyle name="T_Book1_3_Book1_Ke hoach 2010 (theo doi 11-8-2010)" xfId="8112"/>
    <cellStyle name="T_Book1_3_Book1_Ke hoach 2010 (theo doi 11-8-2010) 2" xfId="8113"/>
    <cellStyle name="T_Book1_3_Book1_Ke hoach 2010 (theo doi 11-8-2010) 3" xfId="8114"/>
    <cellStyle name="T_Book1_3_Book1_Ke hoach 2010 (theo doi 11-8-2010)_CT 134" xfId="8115"/>
    <cellStyle name="T_Book1_3_Danh Mục KCM trinh BKH 2011 (BS 30A)" xfId="8116"/>
    <cellStyle name="T_Book1_3_Danh Mục KCM trinh BKH 2011 (BS 30A) 2" xfId="8117"/>
    <cellStyle name="T_Book1_3_DTTD chieng chan Tham lai 29-9-2009" xfId="8118"/>
    <cellStyle name="T_Book1_3_DTTD chieng chan Tham lai 29-9-2009 2" xfId="8119"/>
    <cellStyle name="T_Book1_3_DTTD chieng chan Tham lai 29-9-2009 3" xfId="8120"/>
    <cellStyle name="T_Book1_3_DTTD chieng chan Tham lai 29-9-2009_BIEU KE HOACH  2015 (KTN 6.11 sua)" xfId="8121"/>
    <cellStyle name="T_Book1_3_dự toán 30a 2013" xfId="8122"/>
    <cellStyle name="T_Book1_3_GVL" xfId="8123"/>
    <cellStyle name="T_Book1_3_GVL 2" xfId="8124"/>
    <cellStyle name="T_Book1_3_GVL 3" xfId="8125"/>
    <cellStyle name="T_Book1_3_GVL_BIEU KE HOACH  2015 (KTN 6.11 sua)" xfId="8126"/>
    <cellStyle name="T_Book1_3_Ke hoach 2010 (theo doi 11-8-2010)" xfId="8127"/>
    <cellStyle name="T_Book1_3_Ke hoach 2010 (theo doi 11-8-2010) 2" xfId="8128"/>
    <cellStyle name="T_Book1_3_Ke hoach 2010 (theo doi 11-8-2010) 3" xfId="8129"/>
    <cellStyle name="T_Book1_3_Ke hoach 2010 (theo doi 11-8-2010)_BIEU KE HOACH  2015 (KTN 6.11 sua)" xfId="8130"/>
    <cellStyle name="T_Book1_3_KH Von 2012 gui BKH 1" xfId="8131"/>
    <cellStyle name="T_Book1_3_KH Von 2012 gui BKH 1 2" xfId="8132"/>
    <cellStyle name="T_Book1_3_KH Von 2012 gui BKH 1 3" xfId="8133"/>
    <cellStyle name="T_Book1_3_KH Von 2012 gui BKH 1_BIEU KE HOACH  2015 (KTN 6.11 sua)" xfId="8134"/>
    <cellStyle name="T_Book1_3_KH Von 2012 gui BKH 2" xfId="8135"/>
    <cellStyle name="T_Book1_3_KH Von 2012 gui BKH 2 2" xfId="8136"/>
    <cellStyle name="T_Book1_3_KH Von 2012 gui BKH 2 3" xfId="8137"/>
    <cellStyle name="T_Book1_3_KH Von 2012 gui BKH 2_BIEU KE HOACH  2015 (KTN 6.11 sua)" xfId="8138"/>
    <cellStyle name="T_Book1_3_Ra soat KH von 2011 (Huy-11-11-11)" xfId="8139"/>
    <cellStyle name="T_Book1_3_Ra soat KH von 2011 (Huy-11-11-11) 2" xfId="8140"/>
    <cellStyle name="T_Book1_3_Ra soat KH von 2011 (Huy-11-11-11) 3" xfId="8141"/>
    <cellStyle name="T_Book1_3_Ra soat KH von 2011 (Huy-11-11-11)_BIEU KE HOACH  2015 (KTN 6.11 sua)" xfId="8142"/>
    <cellStyle name="T_Book1_3_tien luong" xfId="8145"/>
    <cellStyle name="T_Book1_3_tien luong 2" xfId="8146"/>
    <cellStyle name="T_Book1_3_Tien luong chuan 01" xfId="8147"/>
    <cellStyle name="T_Book1_3_Tien luong chuan 01 2" xfId="8148"/>
    <cellStyle name="T_Book1_3_Tong hop  " xfId="8149"/>
    <cellStyle name="T_Book1_3_Tong hop   2" xfId="8150"/>
    <cellStyle name="T_Book1_3_TONG HOP HOAN THUE NAM 2011" xfId="8151"/>
    <cellStyle name="T_Book1_3_Theo doi thanh toan" xfId="8143"/>
    <cellStyle name="T_Book1_3_Theo doi thanh toan 2" xfId="8144"/>
    <cellStyle name="T_Book1_3_Viec Huy dang lam" xfId="8152"/>
    <cellStyle name="T_Book1_4" xfId="8153"/>
    <cellStyle name="T_Book1_4 2" xfId="8154"/>
    <cellStyle name="T_Book1_4 3" xfId="8155"/>
    <cellStyle name="T_Book1_4_BIEU KE HOACH  2015 (KTN 6.11 sua)" xfId="8156"/>
    <cellStyle name="T_Book1_4_Book1" xfId="8157"/>
    <cellStyle name="T_Book1_4_Book1 2" xfId="8158"/>
    <cellStyle name="T_Book1_4_Book1 3" xfId="8159"/>
    <cellStyle name="T_Book1_4_Book1_BIEU KE HOACH  2015 (KTN 6.11 sua)" xfId="8160"/>
    <cellStyle name="T_Book1_4_Danh Mục KCM trinh BKH 2011 (BS 30A)" xfId="8161"/>
    <cellStyle name="T_Book1_4_Danh Mục KCM trinh BKH 2011 (BS 30A) 2" xfId="8162"/>
    <cellStyle name="T_Book1_4_dự toán 30a 2013" xfId="8163"/>
    <cellStyle name="T_Book1_4_Ke hoach 2010 (theo doi 11-8-2010)" xfId="8164"/>
    <cellStyle name="T_Book1_4_Ke hoach 2010 (theo doi 11-8-2010) 2" xfId="8165"/>
    <cellStyle name="T_Book1_4_Ke hoach 2010 (theo doi 11-8-2010) 3" xfId="8166"/>
    <cellStyle name="T_Book1_4_Ke hoach 2010 (theo doi 11-8-2010)_CT 134" xfId="8167"/>
    <cellStyle name="T_Book1_4_TONG HOP HOAN THUE NAM 2011" xfId="8170"/>
    <cellStyle name="T_Book1_4_Theo doi thanh toan" xfId="8168"/>
    <cellStyle name="T_Book1_4_Theo doi thanh toan 2" xfId="8169"/>
    <cellStyle name="T_Book1_5" xfId="8171"/>
    <cellStyle name="T_Book1_5 2" xfId="8172"/>
    <cellStyle name="T_Book1_5 3" xfId="8173"/>
    <cellStyle name="T_Book1_5_BIEU KE HOACH  2015 (KTN 6.11 sua)" xfId="8174"/>
    <cellStyle name="T_Book1_5_Ke hoach 2010 (theo doi 11-8-2010)" xfId="8175"/>
    <cellStyle name="T_Book1_5_Ke hoach 2010 (theo doi 11-8-2010) 2" xfId="8176"/>
    <cellStyle name="T_Book1_5_Ke hoach 2010 (theo doi 11-8-2010) 3" xfId="8177"/>
    <cellStyle name="T_Book1_5_Ke hoach 2010 (theo doi 11-8-2010)_BIEU KE HOACH  2015 (KTN 6.11 sua)" xfId="8178"/>
    <cellStyle name="T_Book1_Báo cáo 2005 theo Văn phòng của A. Quang" xfId="8179"/>
    <cellStyle name="T_Book1_Báo cáo 2005 theo Văn phòng của A. Quang 2" xfId="8180"/>
    <cellStyle name="T_Book1_Báo cáo 2005 theo Văn phòng của A. Quang 3" xfId="8181"/>
    <cellStyle name="T_Book1_Báo cáo 2005 theo Văn phòng của A. Quang_CT 134" xfId="8182"/>
    <cellStyle name="T_Book1_Bao cao danh muc cac cong trinh tren dia ban huyen 4-2010" xfId="8183"/>
    <cellStyle name="T_Book1_Bao cao danh muc cac cong trinh tren dia ban huyen 4-2010 2" xfId="8184"/>
    <cellStyle name="T_Book1_Bao cao tinh hinh xay dung" xfId="8185"/>
    <cellStyle name="T_Book1_Bao cao TPCP" xfId="8186"/>
    <cellStyle name="T_Book1_Bao cao TPCP 2" xfId="8187"/>
    <cellStyle name="T_Book1_Bao cao TPCP 3" xfId="8188"/>
    <cellStyle name="T_Book1_Bao cao TPCP_BIEU KE HOACH  2015 (KTN 6.11 sua)" xfId="8189"/>
    <cellStyle name="T_Book1_bao_cao_TH_th_cong_tac_dau_thau_-_ngay251209" xfId="8190"/>
    <cellStyle name="T_Book1_bao_cao_TH_th_cong_tac_dau_thau_-_ngay251209 2" xfId="8191"/>
    <cellStyle name="T_Book1_BC NQ11-CP - chinh sua lai" xfId="8192"/>
    <cellStyle name="T_Book1_BC NQ11-CP-Quynh sau bieu so3" xfId="8193"/>
    <cellStyle name="T_Book1_BC_NQ11-CP_-_Thao_sua_lai" xfId="8194"/>
    <cellStyle name="T_Book1_Bieu chi tieu KH 2014 (Huy-04-11)" xfId="8195"/>
    <cellStyle name="T_Book1_Bieu chi tieu KH 2014 (Huy-04-11) 2" xfId="8196"/>
    <cellStyle name="T_Book1_BIEU KE HOACH  2015 (KTN 6.11 sua)" xfId="8197"/>
    <cellStyle name="T_Book1_bieu ke hoach dau thau" xfId="8198"/>
    <cellStyle name="T_Book1_bieu ke hoach dau thau 2" xfId="8199"/>
    <cellStyle name="T_Book1_bieu ke hoach dau thau 2 2" xfId="8200"/>
    <cellStyle name="T_Book1_bieu ke hoach dau thau 3" xfId="8201"/>
    <cellStyle name="T_Book1_bieu ke hoach dau thau truong mam non SKH" xfId="8202"/>
    <cellStyle name="T_Book1_bieu ke hoach dau thau truong mam non SKH 2" xfId="8203"/>
    <cellStyle name="T_Book1_bieu ke hoach dau thau truong mam non SKH 2 2" xfId="8204"/>
    <cellStyle name="T_Book1_bieu ke hoach dau thau truong mam non SKH 3" xfId="8205"/>
    <cellStyle name="T_Book1_bieu ke hoach dau thau truong mam non SKH_BIEU KE HOACH  2015 (KTN 6.11 sua)" xfId="8206"/>
    <cellStyle name="T_Book1_bieu ke hoach dau thau_BIEU KE HOACH  2015 (KTN 6.11 sua)" xfId="8207"/>
    <cellStyle name="T_Book1_Bieu mau danh muc du an thuoc CTMTQG nam 2008" xfId="8208"/>
    <cellStyle name="T_Book1_Bieu mau danh muc du an thuoc CTMTQG nam 2008 2" xfId="8209"/>
    <cellStyle name="T_Book1_Bieu mau danh muc du an thuoc CTMTQG nam 2008 3" xfId="8210"/>
    <cellStyle name="T_Book1_Bieu mau danh muc du an thuoc CTMTQG nam 2008_CT 134" xfId="8211"/>
    <cellStyle name="T_Book1_Bieu tong hop nhu cau ung 2011 da chon loc -Mien nui" xfId="8213"/>
    <cellStyle name="T_Book1_Bieu tong hop nhu cau ung 2011 da chon loc -Mien nui 2" xfId="8214"/>
    <cellStyle name="T_Book1_Bieu tong hop nhu cau ung 2011 da chon loc -Mien nui 3" xfId="8215"/>
    <cellStyle name="T_Book1_Bieu tong hop nhu cau ung 2011 da chon loc -Mien nui_CT 134" xfId="8216"/>
    <cellStyle name="T_Book1_bieu1" xfId="8217"/>
    <cellStyle name="T_Book1_bieumau 1" xfId="8218"/>
    <cellStyle name="T_Book1_BIỂU TỔNG HỢP LẦN CUỐI SỬA THEO NGHI QUYẾT SỐ 81" xfId="8212"/>
    <cellStyle name="T_Book1_Book1" xfId="8219"/>
    <cellStyle name="T_Book1_Book1 2" xfId="8220"/>
    <cellStyle name="T_Book1_Book1 3" xfId="8221"/>
    <cellStyle name="T_Book1_Book1 4" xfId="8222"/>
    <cellStyle name="T_Book1_Book1_1" xfId="8223"/>
    <cellStyle name="T_Book1_Book1_1 2" xfId="8224"/>
    <cellStyle name="T_Book1_Book1_1 3" xfId="8225"/>
    <cellStyle name="T_Book1_Book1_1_Bao cao 9 thang  XDCB" xfId="8226"/>
    <cellStyle name="T_Book1_Book1_1_Bao cao 9 thang  XDCB 2" xfId="8227"/>
    <cellStyle name="T_Book1_Book1_1_Bao cao phòng lao động phụ lục 3" xfId="8228"/>
    <cellStyle name="T_Book1_Book1_1_Bao cao phòng lao động phụ lục 3 2" xfId="8229"/>
    <cellStyle name="T_Book1_Book1_1_Bao cao TPCP" xfId="8230"/>
    <cellStyle name="T_Book1_Book1_1_Bao cao TPCP 2" xfId="8231"/>
    <cellStyle name="T_Book1_Book1_1_Bao cao TPCP 3" xfId="8232"/>
    <cellStyle name="T_Book1_Book1_1_Bao cao TPCP_BIEU KE HOACH  2015 (KTN 6.11 sua)" xfId="8233"/>
    <cellStyle name="T_Book1_Book1_1_bieumau 1" xfId="8234"/>
    <cellStyle name="T_Book1_Book1_1_Book1" xfId="8235"/>
    <cellStyle name="T_Book1_Book1_1_Book1 2" xfId="8236"/>
    <cellStyle name="T_Book1_Book1_1_Book1 3" xfId="8237"/>
    <cellStyle name="T_Book1_Book1_1_Book1_1" xfId="8238"/>
    <cellStyle name="T_Book1_Book1_1_Book1_1 2" xfId="8239"/>
    <cellStyle name="T_Book1_Book1_1_Book1_1 3" xfId="8240"/>
    <cellStyle name="T_Book1_Book1_1_Book1_1_BIEU KE HOACH  2015 (KTN 6.11 sua)" xfId="8241"/>
    <cellStyle name="T_Book1_Book1_1_Book1_BIEU KE HOACH  2015 (KTN 6.11 sua)" xfId="8242"/>
    <cellStyle name="T_Book1_Book1_1_Danh Mục KCM trinh BKH 2011 (BS 30A)" xfId="8243"/>
    <cellStyle name="T_Book1_Book1_1_Danh Mục KCM trinh BKH 2011 (BS 30A) 2" xfId="8244"/>
    <cellStyle name="T_Book1_Book1_1_dự toán 30a 2013" xfId="8245"/>
    <cellStyle name="T_Book1_Book1_1_Quy 3 nam 2011" xfId="8246"/>
    <cellStyle name="T_Book1_Book1_1_Ra soat KH von 2011 (Huy-11-11-11)" xfId="8247"/>
    <cellStyle name="T_Book1_Book1_1_Ra soat KH von 2011 (Huy-11-11-11) 2" xfId="8248"/>
    <cellStyle name="T_Book1_Book1_1_Ra soat KH von 2011 (Huy-11-11-11) 3" xfId="8249"/>
    <cellStyle name="T_Book1_Book1_1_Ra soat KH von 2011 (Huy-11-11-11)_BIEU KE HOACH  2015 (KTN 6.11 sua)" xfId="8250"/>
    <cellStyle name="T_Book1_Book1_1_TONG HOP HOAN THUE NAM 2011" xfId="8253"/>
    <cellStyle name="T_Book1_Book1_1_Theo doi thanh toan" xfId="8251"/>
    <cellStyle name="T_Book1_Book1_1_Theo doi thanh toan 2" xfId="8252"/>
    <cellStyle name="T_Book1_Book1_1_Viec Huy dang lam" xfId="8254"/>
    <cellStyle name="T_Book1_Book1_1_Viec Huy dang lam_CT 134" xfId="8255"/>
    <cellStyle name="T_Book1_Book1_2" xfId="8256"/>
    <cellStyle name="T_Book1_Book1_2 2" xfId="8257"/>
    <cellStyle name="T_Book1_Book1_2 2 2" xfId="8258"/>
    <cellStyle name="T_Book1_Book1_2 3" xfId="8259"/>
    <cellStyle name="T_Book1_Book1_2_BIEU KE HOACH  2015 (KTN 6.11 sua)" xfId="8260"/>
    <cellStyle name="T_Book1_Book1_2_bieumau 1" xfId="8261"/>
    <cellStyle name="T_Book1_Book1_2_Book1" xfId="8262"/>
    <cellStyle name="T_Book1_Book1_2_dự toán 30a 2013" xfId="8263"/>
    <cellStyle name="T_Book1_Book1_2_Ra soat KH von 2011 (Huy-11-11-11)" xfId="8264"/>
    <cellStyle name="T_Book1_Book1_2_Ra soat KH von 2011 (Huy-11-11-11) 2" xfId="8265"/>
    <cellStyle name="T_Book1_Book1_2_Ra soat KH von 2011 (Huy-11-11-11) 3" xfId="8266"/>
    <cellStyle name="T_Book1_Book1_2_Ra soat KH von 2011 (Huy-11-11-11)_BIEU KE HOACH  2015 (KTN 6.11 sua)" xfId="8267"/>
    <cellStyle name="T_Book1_Book1_2_Viec Huy dang lam" xfId="8268"/>
    <cellStyle name="T_Book1_Book1_3" xfId="8269"/>
    <cellStyle name="T_Book1_Book1_Bao cao danh muc cac cong trinh tren dia ban huyen 4-2010" xfId="8270"/>
    <cellStyle name="T_Book1_Book1_Bao cao danh muc cac cong trinh tren dia ban huyen 4-2010 2" xfId="8271"/>
    <cellStyle name="T_Book1_Book1_Bieu chi tieu KH 2014 (Huy-04-11)" xfId="8272"/>
    <cellStyle name="T_Book1_Book1_Bieu chi tieu KH 2014 (Huy-04-11) 2" xfId="8273"/>
    <cellStyle name="T_Book1_Book1_BIEU KE HOACH  2015 (KTN 6.11 sua)" xfId="8274"/>
    <cellStyle name="T_Book1_Book1_bieu ke hoach dau thau" xfId="8275"/>
    <cellStyle name="T_Book1_Book1_bieu ke hoach dau thau 2" xfId="8276"/>
    <cellStyle name="T_Book1_Book1_bieu ke hoach dau thau 2 2" xfId="8277"/>
    <cellStyle name="T_Book1_Book1_bieu ke hoach dau thau 3" xfId="8278"/>
    <cellStyle name="T_Book1_Book1_bieu ke hoach dau thau truong mam non SKH" xfId="8279"/>
    <cellStyle name="T_Book1_Book1_bieu ke hoach dau thau truong mam non SKH 2" xfId="8280"/>
    <cellStyle name="T_Book1_Book1_bieu ke hoach dau thau truong mam non SKH 2 2" xfId="8281"/>
    <cellStyle name="T_Book1_Book1_bieu ke hoach dau thau truong mam non SKH 3" xfId="8282"/>
    <cellStyle name="T_Book1_Book1_bieu ke hoach dau thau truong mam non SKH_BIEU KE HOACH  2015 (KTN 6.11 sua)" xfId="8283"/>
    <cellStyle name="T_Book1_Book1_bieu ke hoach dau thau_BIEU KE HOACH  2015 (KTN 6.11 sua)" xfId="8284"/>
    <cellStyle name="T_Book1_Book1_bieu tong hop lai kh von 2011 gui phong TH-KTDN" xfId="8285"/>
    <cellStyle name="T_Book1_Book1_bieu tong hop lai kh von 2011 gui phong TH-KTDN 2" xfId="8286"/>
    <cellStyle name="T_Book1_Book1_bieu tong hop lai kh von 2011 gui phong TH-KTDN 3" xfId="8287"/>
    <cellStyle name="T_Book1_Book1_bieu tong hop lai kh von 2011 gui phong TH-KTDN_BIEU KE HOACH  2015 (KTN 6.11 sua)" xfId="8288"/>
    <cellStyle name="T_Book1_Book1_bieumau 1" xfId="8289"/>
    <cellStyle name="T_Book1_Book1_Book1" xfId="8290"/>
    <cellStyle name="T_Book1_Book1_Book1 2" xfId="8291"/>
    <cellStyle name="T_Book1_Book1_Book1 3" xfId="8292"/>
    <cellStyle name="T_Book1_Book1_Book1 4" xfId="8293"/>
    <cellStyle name="T_Book1_Book1_Book1_1" xfId="8294"/>
    <cellStyle name="T_Book1_Book1_Book1_1 2" xfId="8295"/>
    <cellStyle name="T_Book1_Book1_Book1_1 3" xfId="8296"/>
    <cellStyle name="T_Book1_Book1_Book1_1_BIEU KE HOACH  2015 (KTN 6.11 sua)" xfId="8297"/>
    <cellStyle name="T_Book1_Book1_Book1_2" xfId="8298"/>
    <cellStyle name="T_Book1_Book1_Book1_Bao cao 9 thang  XDCB" xfId="8299"/>
    <cellStyle name="T_Book1_Book1_Book1_Bao cao 9 thang  XDCB 2" xfId="8300"/>
    <cellStyle name="T_Book1_Book1_Book1_Bao cáo giai ngân 2012 (SKH thang 9)" xfId="8301"/>
    <cellStyle name="T_Book1_Book1_Book1_Bao cao phòng lao động phụ lục 3" xfId="8302"/>
    <cellStyle name="T_Book1_Book1_Book1_Bao cao phòng lao động phụ lục 3 2" xfId="8303"/>
    <cellStyle name="T_Book1_Book1_Book1_Book1" xfId="8304"/>
    <cellStyle name="T_Book1_Book1_Book1_Book1 2" xfId="8305"/>
    <cellStyle name="T_Book1_Book1_Book1_Book1 2 2" xfId="8306"/>
    <cellStyle name="T_Book1_Book1_Book1_Book1 3" xfId="8307"/>
    <cellStyle name="T_Book1_Book1_Book1_Book1_1" xfId="8308"/>
    <cellStyle name="T_Book1_Book1_Book1_Book1_BIEU KE HOACH  2015 (KTN 6.11 sua)" xfId="8309"/>
    <cellStyle name="T_Book1_Book1_Book1_dự toán 30a 2013" xfId="8310"/>
    <cellStyle name="T_Book1_Book1_Book1_Ke hoach 2010 (theo doi 11-8-2010)" xfId="8311"/>
    <cellStyle name="T_Book1_Book1_Book1_Ke hoach 2010 (theo doi 11-8-2010) 2" xfId="8312"/>
    <cellStyle name="T_Book1_Book1_Book1_Ke hoach 2010 (theo doi 11-8-2010) 3" xfId="8313"/>
    <cellStyle name="T_Book1_Book1_Book1_Ke hoach 2010 (theo doi 11-8-2010)_BIEU KE HOACH  2015 (KTN 6.11 sua)" xfId="8314"/>
    <cellStyle name="T_Book1_Book1_Book1_ke hoach dau thau 30-6-2010" xfId="8315"/>
    <cellStyle name="T_Book1_Book1_Book1_ke hoach dau thau 30-6-2010 2" xfId="8316"/>
    <cellStyle name="T_Book1_Book1_Book1_ke hoach dau thau 30-6-2010 3" xfId="8317"/>
    <cellStyle name="T_Book1_Book1_Book1_ke hoach dau thau 30-6-2010_BIEU KE HOACH  2015 (KTN 6.11 sua)" xfId="8318"/>
    <cellStyle name="T_Book1_Book1_Book1_Ra soat KH von 2011 (Huy-11-11-11)" xfId="8319"/>
    <cellStyle name="T_Book1_Book1_Book1_Ra soat KH von 2011 (Huy-11-11-11) 2" xfId="8320"/>
    <cellStyle name="T_Book1_Book1_Book1_Ra soat KH von 2011 (Huy-11-11-11) 2 2" xfId="8321"/>
    <cellStyle name="T_Book1_Book1_Book1_Ra soat KH von 2011 (Huy-11-11-11) 3" xfId="8322"/>
    <cellStyle name="T_Book1_Book1_Book1_Ra soat KH von 2011 (Huy-11-11-11)_BIEU KE HOACH  2015 (KTN 6.11 sua)" xfId="8323"/>
    <cellStyle name="T_Book1_Book1_Book1_TONG HOP HOAN THUE NAM 2011" xfId="8324"/>
    <cellStyle name="T_Book1_Book1_Book1_Viec Huy dang lam" xfId="8325"/>
    <cellStyle name="T_Book1_Book1_Book1_Viec Huy dang lam_CT 134" xfId="8326"/>
    <cellStyle name="T_Book1_Book1_cong bo gia VLXD thang 4" xfId="8327"/>
    <cellStyle name="T_Book1_Book1_cong bo gia VLXD thang 4 2" xfId="8328"/>
    <cellStyle name="T_Book1_Book1_cong bo gia VLXD thang 4 3" xfId="8329"/>
    <cellStyle name="T_Book1_Book1_cong bo gia VLXD thang 4_BIEU KE HOACH  2015 (KTN 6.11 sua)" xfId="8330"/>
    <cellStyle name="T_Book1_Book1_Copy of KH PHAN BO VON ĐỐI ỨNG NAM 2011 (30 TY phuong án gop WB)" xfId="8331"/>
    <cellStyle name="T_Book1_Book1_Copy of KH PHAN BO VON ĐỐI ỨNG NAM 2011 (30 TY phuong án gop WB) 2" xfId="8332"/>
    <cellStyle name="T_Book1_Book1_Copy of KH PHAN BO VON ĐỐI ỨNG NAM 2011 (30 TY phuong án gop WB) 3" xfId="8333"/>
    <cellStyle name="T_Book1_Book1_Copy of KH PHAN BO VON ĐỐI ỨNG NAM 2011 (30 TY phuong án gop WB)_BIEU KE HOACH  2015 (KTN 6.11 sua)" xfId="8334"/>
    <cellStyle name="T_Book1_Book1_dang vien mói" xfId="8335"/>
    <cellStyle name="T_Book1_Book1_dang vien mói 2" xfId="8336"/>
    <cellStyle name="T_Book1_Book1_Danh Mục KCM trinh BKH 2011 (BS 30A)" xfId="8337"/>
    <cellStyle name="T_Book1_Book1_Danh Mục KCM trinh BKH 2011 (BS 30A) 2" xfId="8338"/>
    <cellStyle name="T_Book1_Book1_DTTD chieng chan Tham lai 29-9-2009" xfId="8339"/>
    <cellStyle name="T_Book1_Book1_DTTD chieng chan Tham lai 29-9-2009 2" xfId="8340"/>
    <cellStyle name="T_Book1_Book1_DTTD chieng chan Tham lai 29-9-2009 3" xfId="8341"/>
    <cellStyle name="T_Book1_Book1_DTTD chieng chan Tham lai 29-9-2009_BIEU KE HOACH  2015 (KTN 6.11 sua)" xfId="8342"/>
    <cellStyle name="T_Book1_Book1_Du toan nuoc San Thang (GD2)" xfId="8344"/>
    <cellStyle name="T_Book1_Book1_Du toan nuoc San Thang (GD2) 2" xfId="8345"/>
    <cellStyle name="T_Book1_Book1_Du toan nuoc San Thang (GD2) 2 2" xfId="8346"/>
    <cellStyle name="T_Book1_Book1_Du toan nuoc San Thang (GD2) 3" xfId="8347"/>
    <cellStyle name="T_Book1_Book1_Du toan nuoc San Thang (GD2)_BIEU KE HOACH  2015 (KTN 6.11 sua)" xfId="8348"/>
    <cellStyle name="T_Book1_Book1_DuToan92009Luong650" xfId="8349"/>
    <cellStyle name="T_Book1_Book1_DuToan92009Luong650 2" xfId="8350"/>
    <cellStyle name="T_Book1_Book1_DuToan92009Luong650 2 2" xfId="8351"/>
    <cellStyle name="T_Book1_Book1_DuToan92009Luong650 3" xfId="8352"/>
    <cellStyle name="T_Book1_Book1_DuToan92009Luong650_BIEU KE HOACH  2015 (KTN 6.11 sua)" xfId="8353"/>
    <cellStyle name="T_Book1_Book1_dự toán 30a 2013" xfId="8343"/>
    <cellStyle name="T_Book1_Book1_HD TT1" xfId="8354"/>
    <cellStyle name="T_Book1_Book1_HD TT1 2" xfId="8355"/>
    <cellStyle name="T_Book1_Book1_HD TT1 2 2" xfId="8356"/>
    <cellStyle name="T_Book1_Book1_HD TT1 3" xfId="8357"/>
    <cellStyle name="T_Book1_Book1_HD TT1_BIEU KE HOACH  2015 (KTN 6.11 sua)" xfId="8358"/>
    <cellStyle name="T_Book1_Book1_Ke hoach 2010 ngay 14.4.10" xfId="8359"/>
    <cellStyle name="T_Book1_Book1_Ke hoach 2010 ngay 14.4.10 2" xfId="8360"/>
    <cellStyle name="T_Book1_Book1_Ke hoach 2010 ngay 14.4.10 2 2" xfId="8361"/>
    <cellStyle name="T_Book1_Book1_Ke hoach 2010 ngay 14.4.10 3" xfId="8362"/>
    <cellStyle name="T_Book1_Book1_Ke hoach 2010 ngay 14.4.10_BIEU KE HOACH  2015 (KTN 6.11 sua)" xfId="8363"/>
    <cellStyle name="T_Book1_Book1_ke hoach dau thau 30-6-2010" xfId="8364"/>
    <cellStyle name="T_Book1_Book1_ke hoach dau thau 30-6-2010 2" xfId="8365"/>
    <cellStyle name="T_Book1_Book1_ke hoach dau thau 30-6-2010 2 2" xfId="8366"/>
    <cellStyle name="T_Book1_Book1_ke hoach dau thau 30-6-2010 3" xfId="8367"/>
    <cellStyle name="T_Book1_Book1_ke hoach dau thau 30-6-2010_BIEU KE HOACH  2015 (KTN 6.11 sua)" xfId="8368"/>
    <cellStyle name="T_Book1_Book1_KH 2014" xfId="8369"/>
    <cellStyle name="T_Book1_Book1_KH Von 2012 gui BKH 1" xfId="8370"/>
    <cellStyle name="T_Book1_Book1_KH Von 2012 gui BKH 1 2" xfId="8371"/>
    <cellStyle name="T_Book1_Book1_KH Von 2012 gui BKH 1 3" xfId="8372"/>
    <cellStyle name="T_Book1_Book1_KH Von 2012 gui BKH 1_BIEU KE HOACH  2015 (KTN 6.11 sua)" xfId="8373"/>
    <cellStyle name="T_Book1_Book1_Nha lop hoc 8 P" xfId="8374"/>
    <cellStyle name="T_Book1_Book1_Nha lop hoc 8 P 2" xfId="8375"/>
    <cellStyle name="T_Book1_Book1_Nha lop hoc 8 P 2 2" xfId="8376"/>
    <cellStyle name="T_Book1_Book1_Nha lop hoc 8 P 3" xfId="8377"/>
    <cellStyle name="T_Book1_Book1_Nha lop hoc 8 P_BIEU KE HOACH  2015 (KTN 6.11 sua)" xfId="8378"/>
    <cellStyle name="T_Book1_Book1_Phan pha do" xfId="8379"/>
    <cellStyle name="T_Book1_Book1_Phan pha do 2" xfId="8380"/>
    <cellStyle name="T_Book1_Book1_QD ke hoach dau thau" xfId="8383"/>
    <cellStyle name="T_Book1_Book1_QD ke hoach dau thau 2" xfId="8384"/>
    <cellStyle name="T_Book1_Book1_QD ke hoach dau thau 2 2" xfId="8385"/>
    <cellStyle name="T_Book1_Book1_QD ke hoach dau thau 3" xfId="8386"/>
    <cellStyle name="T_Book1_Book1_QD ke hoach dau thau_BIEU KE HOACH  2015 (KTN 6.11 sua)" xfId="8387"/>
    <cellStyle name="T_Book1_Book1_QĐ 980" xfId="8381"/>
    <cellStyle name="T_Book1_Book1_QĐ 980 2" xfId="8382"/>
    <cellStyle name="T_Book1_Book1_Ra soat KH von 2011 (Huy-11-11-11)" xfId="8388"/>
    <cellStyle name="T_Book1_Book1_Ra soat KH von 2011 (Huy-11-11-11) 2" xfId="8389"/>
    <cellStyle name="T_Book1_Book1_Ra soat KH von 2011 (Huy-11-11-11) 2 2" xfId="8390"/>
    <cellStyle name="T_Book1_Book1_Ra soat KH von 2011 (Huy-11-11-11) 3" xfId="8391"/>
    <cellStyle name="T_Book1_Book1_Ra soat KH von 2011 (Huy-11-11-11)_BIEU KE HOACH  2015 (KTN 6.11 sua)" xfId="8392"/>
    <cellStyle name="T_Book1_Book1_Sheet2" xfId="8393"/>
    <cellStyle name="T_Book1_Book1_Sheet2 2" xfId="8394"/>
    <cellStyle name="T_Book1_Book1_Sheet2 2 2" xfId="8395"/>
    <cellStyle name="T_Book1_Book1_Sheet2 3" xfId="8396"/>
    <cellStyle name="T_Book1_Book1_Sheet2_BIEU KE HOACH  2015 (KTN 6.11 sua)" xfId="8397"/>
    <cellStyle name="T_Book1_Book1_tinh toan hoang ha" xfId="8400"/>
    <cellStyle name="T_Book1_Book1_tinh toan hoang ha 2" xfId="8401"/>
    <cellStyle name="T_Book1_Book1_tinh toan hoang ha 2 2" xfId="8402"/>
    <cellStyle name="T_Book1_Book1_tinh toan hoang ha 3" xfId="8403"/>
    <cellStyle name="T_Book1_Book1_tinh toan hoang ha_BIEU KE HOACH  2015 (KTN 6.11 sua)" xfId="8404"/>
    <cellStyle name="T_Book1_Book1_Tong von ĐTPT" xfId="8405"/>
    <cellStyle name="T_Book1_Book1_Tong von ĐTPT 2" xfId="8406"/>
    <cellStyle name="T_Book1_Book1_Tong von ĐTPT 2 2" xfId="8407"/>
    <cellStyle name="T_Book1_Book1_Tong von ĐTPT 3" xfId="8408"/>
    <cellStyle name="T_Book1_Book1_Tong von ĐTPT_BIEU KE HOACH  2015 (KTN 6.11 sua)" xfId="8409"/>
    <cellStyle name="T_Book1_Book1_TH danh muc 08-09 den ngay 30-8-09" xfId="8398"/>
    <cellStyle name="T_Book1_Book1_TH danh muc 08-09 den ngay 30-8-09 2" xfId="8399"/>
    <cellStyle name="T_Book1_Book1_Viec Huy dang lam" xfId="8410"/>
    <cellStyle name="T_Book1_Book1_Viec Huy dang lam_CT 134" xfId="8411"/>
    <cellStyle name="T_Book1_Book2" xfId="8412"/>
    <cellStyle name="T_Book1_Can ho 2p phai goc 0.5" xfId="8413"/>
    <cellStyle name="T_Book1_Can ho 2p phai goc 0.5 2" xfId="8414"/>
    <cellStyle name="T_Book1_Can ho 2p phai goc 0.5 2 2" xfId="8415"/>
    <cellStyle name="T_Book1_Can ho 2p phai goc 0.5 3" xfId="8416"/>
    <cellStyle name="T_Book1_Can ho 2p phai goc 0.5_BIEU KE HOACH  2015 (KTN 6.11 sua)" xfId="8417"/>
    <cellStyle name="T_Book1_cong bo gia VLXD thang 4" xfId="8423"/>
    <cellStyle name="T_Book1_cong bo gia VLXD thang 4 2" xfId="8424"/>
    <cellStyle name="T_Book1_cong bo gia VLXD thang 4 3" xfId="8425"/>
    <cellStyle name="T_Book1_cong bo gia VLXD thang 4_BIEU KE HOACH  2015 (KTN 6.11 sua)" xfId="8426"/>
    <cellStyle name="T_Book1_Cong trinh co y kien LD_Dang_NN_2011-Tay nguyen-9-10" xfId="8427"/>
    <cellStyle name="T_Book1_Copy of Biểu BC điều chỉnh chỉ tiêu NN các huyện chia tách 404 ngay 23.5" xfId="8428"/>
    <cellStyle name="T_Book1_CPK" xfId="8429"/>
    <cellStyle name="T_Book1_CPK 2" xfId="8430"/>
    <cellStyle name="T_Book1_CPK 3" xfId="8431"/>
    <cellStyle name="T_Book1_CPK_Bieu chi tieu KH 2014 (Huy-04-11)" xfId="8432"/>
    <cellStyle name="T_Book1_CPK_bieu ke hoach dau thau" xfId="8433"/>
    <cellStyle name="T_Book1_CPK_bieu ke hoach dau thau 2" xfId="8434"/>
    <cellStyle name="T_Book1_CPK_bieu ke hoach dau thau truong mam non SKH" xfId="8435"/>
    <cellStyle name="T_Book1_CPK_bieu ke hoach dau thau truong mam non SKH 2" xfId="8436"/>
    <cellStyle name="T_Book1_CPK_bieu tong hop lai kh von 2011 gui phong TH-KTDN" xfId="8437"/>
    <cellStyle name="T_Book1_CPK_bieu tong hop lai kh von 2011 gui phong TH-KTDN 2" xfId="8438"/>
    <cellStyle name="T_Book1_CPK_Book1" xfId="8439"/>
    <cellStyle name="T_Book1_CPK_Book1 2" xfId="8440"/>
    <cellStyle name="T_Book1_CPK_Book1_Ke hoach 2010 (theo doi 11-8-2010)" xfId="8441"/>
    <cellStyle name="T_Book1_CPK_Book1_Ke hoach 2010 (theo doi 11-8-2010) 2" xfId="8442"/>
    <cellStyle name="T_Book1_CPK_Book1_ke hoach dau thau 30-6-2010" xfId="8443"/>
    <cellStyle name="T_Book1_CPK_Book1_ke hoach dau thau 30-6-2010 2" xfId="8444"/>
    <cellStyle name="T_Book1_CPK_Copy of KH PHAN BO VON ĐỐI ỨNG NAM 2011 (30 TY phuong án gop WB)" xfId="8445"/>
    <cellStyle name="T_Book1_CPK_Copy of KH PHAN BO VON ĐỐI ỨNG NAM 2011 (30 TY phuong án gop WB) 2" xfId="8446"/>
    <cellStyle name="T_Book1_CPK_DTTD chieng chan Tham lai 29-9-2009" xfId="8447"/>
    <cellStyle name="T_Book1_CPK_DTTD chieng chan Tham lai 29-9-2009 2" xfId="8448"/>
    <cellStyle name="T_Book1_CPK_Du toan nuoc San Thang (GD2)" xfId="8450"/>
    <cellStyle name="T_Book1_CPK_Du toan nuoc San Thang (GD2) 2" xfId="8451"/>
    <cellStyle name="T_Book1_CPK_dự toán 30a 2013" xfId="8449"/>
    <cellStyle name="T_Book1_CPK_Ke hoach 2010 (theo doi 11-8-2010)" xfId="8452"/>
    <cellStyle name="T_Book1_CPK_Ke hoach 2010 (theo doi 11-8-2010) 2" xfId="8453"/>
    <cellStyle name="T_Book1_CPK_ke hoach dau thau 30-6-2010" xfId="8454"/>
    <cellStyle name="T_Book1_CPK_ke hoach dau thau 30-6-2010 2" xfId="8455"/>
    <cellStyle name="T_Book1_CPK_KH Von 2012 gui BKH 1" xfId="8456"/>
    <cellStyle name="T_Book1_CPK_KH Von 2012 gui BKH 1 2" xfId="8457"/>
    <cellStyle name="T_Book1_CPK_QD ke hoach dau thau" xfId="8458"/>
    <cellStyle name="T_Book1_CPK_QD ke hoach dau thau 2" xfId="8459"/>
    <cellStyle name="T_Book1_CPK_Ra soat KH von 2011 (Huy-11-11-11)" xfId="8460"/>
    <cellStyle name="T_Book1_CPK_Ra soat KH von 2011 (Huy-11-11-11) 2" xfId="8461"/>
    <cellStyle name="T_Book1_CPK_tinh toan hoang ha" xfId="8462"/>
    <cellStyle name="T_Book1_CPK_tinh toan hoang ha 2" xfId="8463"/>
    <cellStyle name="T_Book1_CPK_Tong von ĐTPT" xfId="8464"/>
    <cellStyle name="T_Book1_CPK_Tong von ĐTPT 2" xfId="8465"/>
    <cellStyle name="T_Book1_CPK_Viec Huy dang lam" xfId="8466"/>
    <cellStyle name="T_Book1_Chi tieu KH nam 2009" xfId="8418"/>
    <cellStyle name="T_Book1_Chi tieu KH nam 2009 2" xfId="8419"/>
    <cellStyle name="T_Book1_Chi tieu KH nam 2009 2 2" xfId="8420"/>
    <cellStyle name="T_Book1_Chi tieu KH nam 2009 3" xfId="8421"/>
    <cellStyle name="T_Book1_Chi tieu KH nam 2009_BIEU KE HOACH  2015 (KTN 6.11 sua)" xfId="8422"/>
    <cellStyle name="T_Book1_dang vien mói" xfId="8467"/>
    <cellStyle name="T_Book1_dang vien mói 2" xfId="8468"/>
    <cellStyle name="T_Book1_Danh Mục KCM trinh BKH 2011 (BS 30A)" xfId="8469"/>
    <cellStyle name="T_Book1_Danh Mục KCM trinh BKH 2011 (BS 30A) 2" xfId="8470"/>
    <cellStyle name="T_Book1_Danh Sach ho ngheo" xfId="8471"/>
    <cellStyle name="T_Book1_DS cac chau thieu nhi. trung tam" xfId="8472"/>
    <cellStyle name="T_Book1_DT 1751 Muong Khoa" xfId="8473"/>
    <cellStyle name="T_Book1_DT 1751 Muong Khoa 2" xfId="8474"/>
    <cellStyle name="T_Book1_DT 1751 Muong Khoa 2 2" xfId="8475"/>
    <cellStyle name="T_Book1_DT 1751 Muong Khoa 3" xfId="8476"/>
    <cellStyle name="T_Book1_DT 1751 Muong Khoa_BIEU KE HOACH  2015 (KTN 6.11 sua)" xfId="8477"/>
    <cellStyle name="T_Book1_DT Nam vai" xfId="8478"/>
    <cellStyle name="T_Book1_DT Nam vai 2" xfId="8479"/>
    <cellStyle name="T_Book1_DT Nam vai 2 2" xfId="8480"/>
    <cellStyle name="T_Book1_DT Nam vai 3" xfId="8481"/>
    <cellStyle name="T_Book1_DT Nam vai_BIEU KE HOACH  2015 (KTN 6.11 sua)" xfId="8482"/>
    <cellStyle name="T_Book1_DT Nam vai_bieu ke hoach dau thau" xfId="8483"/>
    <cellStyle name="T_Book1_DT Nam vai_bieu ke hoach dau thau 2" xfId="8484"/>
    <cellStyle name="T_Book1_DT Nam vai_bieu ke hoach dau thau 2 2" xfId="8485"/>
    <cellStyle name="T_Book1_DT Nam vai_bieu ke hoach dau thau 3" xfId="8486"/>
    <cellStyle name="T_Book1_DT Nam vai_bieu ke hoach dau thau truong mam non SKH" xfId="8487"/>
    <cellStyle name="T_Book1_DT Nam vai_bieu ke hoach dau thau truong mam non SKH 2" xfId="8488"/>
    <cellStyle name="T_Book1_DT Nam vai_bieu ke hoach dau thau truong mam non SKH 2 2" xfId="8489"/>
    <cellStyle name="T_Book1_DT Nam vai_bieu ke hoach dau thau truong mam non SKH 3" xfId="8490"/>
    <cellStyle name="T_Book1_DT Nam vai_bieu ke hoach dau thau truong mam non SKH_BIEU KE HOACH  2015 (KTN 6.11 sua)" xfId="8491"/>
    <cellStyle name="T_Book1_DT Nam vai_bieu ke hoach dau thau_BIEU KE HOACH  2015 (KTN 6.11 sua)" xfId="8492"/>
    <cellStyle name="T_Book1_DT Nam vai_Book1" xfId="8493"/>
    <cellStyle name="T_Book1_DT Nam vai_Book1 2" xfId="8494"/>
    <cellStyle name="T_Book1_DT Nam vai_Book1 2 2" xfId="8495"/>
    <cellStyle name="T_Book1_DT Nam vai_Book1 3" xfId="8496"/>
    <cellStyle name="T_Book1_DT Nam vai_Book1_BIEU KE HOACH  2015 (KTN 6.11 sua)" xfId="8497"/>
    <cellStyle name="T_Book1_DT Nam vai_DTTD chieng chan Tham lai 29-9-2009" xfId="8498"/>
    <cellStyle name="T_Book1_DT Nam vai_DTTD chieng chan Tham lai 29-9-2009 2" xfId="8499"/>
    <cellStyle name="T_Book1_DT Nam vai_DTTD chieng chan Tham lai 29-9-2009 2 2" xfId="8500"/>
    <cellStyle name="T_Book1_DT Nam vai_DTTD chieng chan Tham lai 29-9-2009 3" xfId="8501"/>
    <cellStyle name="T_Book1_DT Nam vai_DTTD chieng chan Tham lai 29-9-2009_BIEU KE HOACH  2015 (KTN 6.11 sua)" xfId="8502"/>
    <cellStyle name="T_Book1_DT Nam vai_Ke hoach 2010 (theo doi 11-8-2010)" xfId="8503"/>
    <cellStyle name="T_Book1_DT Nam vai_Ke hoach 2010 (theo doi 11-8-2010) 2" xfId="8504"/>
    <cellStyle name="T_Book1_DT Nam vai_Ke hoach 2010 (theo doi 11-8-2010) 2 2" xfId="8505"/>
    <cellStyle name="T_Book1_DT Nam vai_Ke hoach 2010 (theo doi 11-8-2010) 3" xfId="8506"/>
    <cellStyle name="T_Book1_DT Nam vai_Ke hoach 2010 (theo doi 11-8-2010)_BIEU KE HOACH  2015 (KTN 6.11 sua)" xfId="8507"/>
    <cellStyle name="T_Book1_DT Nam vai_ke hoach dau thau 30-6-2010" xfId="8508"/>
    <cellStyle name="T_Book1_DT Nam vai_ke hoach dau thau 30-6-2010 2" xfId="8509"/>
    <cellStyle name="T_Book1_DT Nam vai_ke hoach dau thau 30-6-2010 2 2" xfId="8510"/>
    <cellStyle name="T_Book1_DT Nam vai_ke hoach dau thau 30-6-2010 3" xfId="8511"/>
    <cellStyle name="T_Book1_DT Nam vai_ke hoach dau thau 30-6-2010_BIEU KE HOACH  2015 (KTN 6.11 sua)" xfId="8512"/>
    <cellStyle name="T_Book1_DT Nam vai_QD ke hoach dau thau" xfId="8513"/>
    <cellStyle name="T_Book1_DT Nam vai_QD ke hoach dau thau 2" xfId="8514"/>
    <cellStyle name="T_Book1_DT Nam vai_QD ke hoach dau thau 2 2" xfId="8515"/>
    <cellStyle name="T_Book1_DT Nam vai_QD ke hoach dau thau 3" xfId="8516"/>
    <cellStyle name="T_Book1_DT Nam vai_QD ke hoach dau thau_BIEU KE HOACH  2015 (KTN 6.11 sua)" xfId="8517"/>
    <cellStyle name="T_Book1_DT Nam vai_tinh toan hoang ha" xfId="8518"/>
    <cellStyle name="T_Book1_DT Nam vai_tinh toan hoang ha 2" xfId="8519"/>
    <cellStyle name="T_Book1_DT Nam vai_tinh toan hoang ha 2 2" xfId="8520"/>
    <cellStyle name="T_Book1_DT Nam vai_tinh toan hoang ha 3" xfId="8521"/>
    <cellStyle name="T_Book1_DT Nam vai_tinh toan hoang ha_BIEU KE HOACH  2015 (KTN 6.11 sua)" xfId="8522"/>
    <cellStyle name="T_Book1_DT Nha Da nang" xfId="8523"/>
    <cellStyle name="T_Book1_DT Nha Da nang 2" xfId="8524"/>
    <cellStyle name="T_Book1_DT Nha Da nang 2 2" xfId="8525"/>
    <cellStyle name="T_Book1_DT Nha Da nang 3" xfId="8526"/>
    <cellStyle name="T_Book1_DT Nha Da nang_BIEU KE HOACH  2015 (KTN 6.11 sua)" xfId="8527"/>
    <cellStyle name="T_Book1_DT NHA KHACH -12" xfId="8528"/>
    <cellStyle name="T_Book1_DT NHA KHACH -12 2" xfId="8529"/>
    <cellStyle name="T_Book1_DT NHA KHACH -12 3" xfId="8530"/>
    <cellStyle name="T_Book1_DT NHA KHACH -12_BIEU KE HOACH  2015 (KTN 6.11 sua)" xfId="8531"/>
    <cellStyle name="T_Book1_DT tieu hoc diem TDC ban Cho 28-02-09" xfId="8532"/>
    <cellStyle name="T_Book1_DT tieu hoc diem TDC ban Cho 28-02-09 2" xfId="8533"/>
    <cellStyle name="T_Book1_DT tieu hoc diem TDC ban Cho 28-02-09 3" xfId="8534"/>
    <cellStyle name="T_Book1_DT tieu hoc diem TDC ban Cho 28-02-09_BIEU KE HOACH  2015 (KTN 6.11 sua)" xfId="8535"/>
    <cellStyle name="T_Book1_DTTD chieng chan Tham lai 29-9-2009" xfId="8536"/>
    <cellStyle name="T_Book1_DTTD chieng chan Tham lai 29-9-2009 2" xfId="8537"/>
    <cellStyle name="T_Book1_DTTD chieng chan Tham lai 29-9-2009 3" xfId="8538"/>
    <cellStyle name="T_Book1_DTTD chieng chan Tham lai 29-9-2009_BIEU KE HOACH  2015 (KTN 6.11 sua)" xfId="8539"/>
    <cellStyle name="T_Book1_Du an khoi cong moi nam 2010" xfId="8540"/>
    <cellStyle name="T_Book1_Du an khoi cong moi nam 2010 2" xfId="8541"/>
    <cellStyle name="T_Book1_Du an khoi cong moi nam 2010 3" xfId="8542"/>
    <cellStyle name="T_Book1_Du an khoi cong moi nam 2010_CT 134" xfId="8543"/>
    <cellStyle name="T_Book1_Du toan" xfId="8545"/>
    <cellStyle name="T_Book1_Du toan 2" xfId="8546"/>
    <cellStyle name="T_Book1_Du toan 2 2" xfId="8547"/>
    <cellStyle name="T_Book1_Du toan 3" xfId="8548"/>
    <cellStyle name="T_Book1_DU TOAN ban mui" xfId="8550"/>
    <cellStyle name="T_Book1_DU TOAN ban mui 2" xfId="8551"/>
    <cellStyle name="T_Book1_DU TOAN ban mui 3" xfId="8552"/>
    <cellStyle name="T_Book1_DU TOAN ban mui_BIEU KE HOACH  2015 (KTN 6.11 sua)" xfId="8553"/>
    <cellStyle name="T_Book1_Du toan nuoc San Thang (GD2)" xfId="8554"/>
    <cellStyle name="T_Book1_Du toan nuoc San Thang (GD2) 2" xfId="8555"/>
    <cellStyle name="T_Book1_Du toan nuoc San Thang (GD2) 3" xfId="8556"/>
    <cellStyle name="T_Book1_Du toan nuoc San Thang (GD2)_BIEU KE HOACH  2015 (KTN 6.11 sua)" xfId="8557"/>
    <cellStyle name="T_Book1_Du toan_BIEU KE HOACH  2015 (KTN 6.11 sua)" xfId="8558"/>
    <cellStyle name="T_Book1_DU THAO BCKT LChâu" xfId="8544"/>
    <cellStyle name="T_Book1_DuToan92009Luong650" xfId="8559"/>
    <cellStyle name="T_Book1_DuToan92009Luong650 2" xfId="8560"/>
    <cellStyle name="T_Book1_DuToan92009Luong650 3" xfId="8561"/>
    <cellStyle name="T_Book1_DuToan92009Luong650_CT 134" xfId="8562"/>
    <cellStyle name="T_Book1_dutoanthuyloinamha" xfId="8563"/>
    <cellStyle name="T_Book1_dutoanthuyloinamha 2" xfId="8564"/>
    <cellStyle name="T_Book1_dutoanthuyloinamha 3" xfId="8565"/>
    <cellStyle name="T_Book1_dutoanthuyloinamha_BIEU KE HOACH  2015 (KTN 6.11 sua)" xfId="8566"/>
    <cellStyle name="T_Book1_dự toán 30a 2013" xfId="8549"/>
    <cellStyle name="T_Book1_Gui Phai TTra TRUONG PTTH Ka Lang Hieu bo+Phu 17-8-09-" xfId="8567"/>
    <cellStyle name="T_Book1_Gui Phai TTra TRUONG PTTH Ka Lang Hieu bo+Phu 17-8-09- 2" xfId="8568"/>
    <cellStyle name="T_Book1_GVL" xfId="8569"/>
    <cellStyle name="T_Book1_GVL 2" xfId="8570"/>
    <cellStyle name="T_Book1_GVL 3" xfId="8571"/>
    <cellStyle name="T_Book1_GVL_BIEU KE HOACH  2015 (KTN 6.11 sua)" xfId="8572"/>
    <cellStyle name="T_Book1_Hang Tom goi9 9-07(Cau 12 sua)" xfId="8573"/>
    <cellStyle name="T_Book1_Hang Tom goi9 9-07(Cau 12 sua) 2" xfId="8574"/>
    <cellStyle name="T_Book1_HD TT1" xfId="8575"/>
    <cellStyle name="T_Book1_HD TT1 2" xfId="8576"/>
    <cellStyle name="T_Book1_HD TT1 2 2" xfId="8577"/>
    <cellStyle name="T_Book1_HD TT1 3" xfId="8578"/>
    <cellStyle name="T_Book1_HD TT1_BIEU KE HOACH  2015 (KTN 6.11 sua)" xfId="8579"/>
    <cellStyle name="T_Book1_hothamdinh" xfId="8580"/>
    <cellStyle name="T_Book1_hothamdinh 2" xfId="8581"/>
    <cellStyle name="T_Book1_Ke hoach 2010 ngay 14.4.10" xfId="8582"/>
    <cellStyle name="T_Book1_Ke hoach 2010 ngay 14.4.10 2" xfId="8583"/>
    <cellStyle name="T_Book1_Ke hoach 2010 ngay 14.4.10 2 2" xfId="8584"/>
    <cellStyle name="T_Book1_Ke hoach 2010 ngay 14.4.10 3" xfId="8585"/>
    <cellStyle name="T_Book1_Ke hoach 2010 ngay 14.4.10_BIEU KE HOACH  2015 (KTN 6.11 sua)" xfId="8586"/>
    <cellStyle name="T_Book1_ke hoach dau thau 30-6-2010" xfId="8587"/>
    <cellStyle name="T_Book1_ke hoach dau thau 30-6-2010 2" xfId="8588"/>
    <cellStyle name="T_Book1_ke hoach dau thau 30-6-2010 2 2" xfId="8589"/>
    <cellStyle name="T_Book1_ke hoach dau thau 30-6-2010 3" xfId="8590"/>
    <cellStyle name="T_Book1_ke hoach dau thau 30-6-2010_BIEU KE HOACH  2015 (KTN 6.11 sua)" xfId="8591"/>
    <cellStyle name="T_Book1_Ke hoạch thuc hien goi thau" xfId="8592"/>
    <cellStyle name="T_Book1_Ke khai di Thanh Hoa" xfId="8593"/>
    <cellStyle name="T_Book1_Ket du ung NS" xfId="8594"/>
    <cellStyle name="T_Book1_Ket du ung NS 2" xfId="8595"/>
    <cellStyle name="T_Book1_Ket du ung NS 3" xfId="8596"/>
    <cellStyle name="T_Book1_Ket du ung NS_BIEU KE HOACH  2015 (KTN 6.11 sua)" xfId="8597"/>
    <cellStyle name="T_Book1_Ket qua phan bo von nam 2008" xfId="8598"/>
    <cellStyle name="T_Book1_Ket qua phan bo von nam 2008 2" xfId="8599"/>
    <cellStyle name="T_Book1_Ket qua phan bo von nam 2008 3" xfId="8600"/>
    <cellStyle name="T_Book1_Ket qua phan bo von nam 2008_CT 134" xfId="8601"/>
    <cellStyle name="T_Book1_KH XDCB_2008 lan 2 sua ngay 10-11" xfId="8602"/>
    <cellStyle name="T_Book1_KH XDCB_2008 lan 2 sua ngay 10-11 2" xfId="8603"/>
    <cellStyle name="T_Book1_KH XDCB_2008 lan 2 sua ngay 10-11 3" xfId="8604"/>
    <cellStyle name="T_Book1_KH XDCB_2008 lan 2 sua ngay 10-11_CT 134" xfId="8605"/>
    <cellStyle name="T_Book1_Khoi luong chinh Hang Tom" xfId="8606"/>
    <cellStyle name="T_Book1_Khoi luong chinh Hang Tom 2" xfId="8607"/>
    <cellStyle name="T_Book1_Luy ke von ung nam 2011 -Thoa gui ngay 12-8-2012" xfId="8608"/>
    <cellStyle name="T_Book1_Nha lop hoc 8 P" xfId="8609"/>
    <cellStyle name="T_Book1_Nha lop hoc 8 P 2" xfId="8610"/>
    <cellStyle name="T_Book1_Nha lop hoc 8 P 2 2" xfId="8611"/>
    <cellStyle name="T_Book1_Nha lop hoc 8 P 3" xfId="8612"/>
    <cellStyle name="T_Book1_Nha lop hoc 8 P_BIEU KE HOACH  2015 (KTN 6.11 sua)" xfId="8613"/>
    <cellStyle name="T_Book1_nha van hoa25-4" xfId="8614"/>
    <cellStyle name="T_Book1_nha van hoa25-4 2" xfId="8615"/>
    <cellStyle name="T_Book1_nha van hoa25-4 3" xfId="8616"/>
    <cellStyle name="T_Book1_nha van hoa25-4_BIEU KE HOACH  2015 (KTN 6.11 sua)" xfId="8617"/>
    <cellStyle name="T_Book1_Nhu cau von ung truoc 2011 Tha h Hoa + Nge An gui TW" xfId="8618"/>
    <cellStyle name="T_Book1_Nhu cau von ung truoc 2011 Tha h Hoa + Nge An gui TW 2" xfId="8619"/>
    <cellStyle name="T_Book1_Nhu cau von ung truoc 2011 Tha h Hoa + Nge An gui TW 2 2" xfId="8620"/>
    <cellStyle name="T_Book1_Nhu cau von ung truoc 2011 Tha h Hoa + Nge An gui TW 3" xfId="8621"/>
    <cellStyle name="T_Book1_Nhu cau von ung truoc 2011 Tha h Hoa + Nge An gui TW_BIEU KE HOACH  2015 (KTN 6.11 sua)" xfId="8622"/>
    <cellStyle name="T_Book1_Phan pha do" xfId="8623"/>
    <cellStyle name="T_Book1_Phan pha do 2" xfId="8624"/>
    <cellStyle name="T_Book1_phu luc tong ket tinh hinh TH giai doan 03-10 (ngay 30)" xfId="8625"/>
    <cellStyle name="T_Book1_QD ke hoach dau thau" xfId="8628"/>
    <cellStyle name="T_Book1_QD ke hoach dau thau 2" xfId="8629"/>
    <cellStyle name="T_Book1_QD ke hoach dau thau 2 2" xfId="8630"/>
    <cellStyle name="T_Book1_QD ke hoach dau thau 3" xfId="8631"/>
    <cellStyle name="T_Book1_QD ke hoach dau thau_BIEU KE HOACH  2015 (KTN 6.11 sua)" xfId="8632"/>
    <cellStyle name="T_Book1_QĐ 980" xfId="8626"/>
    <cellStyle name="T_Book1_QĐ 980 2" xfId="8627"/>
    <cellStyle name="T_Book1_Ra soat KH von 2011 (Huy-11-11-11)" xfId="8633"/>
    <cellStyle name="T_Book1_Ra soat KH von 2011 (Huy-11-11-11) 2" xfId="8634"/>
    <cellStyle name="T_Book1_Ra soat KH von 2011 (Huy-11-11-11) 3" xfId="8635"/>
    <cellStyle name="T_Book1_Ra soat KH von 2011 (Huy-11-11-11)_BIEU KE HOACH  2015 (KTN 6.11 sua)" xfId="8636"/>
    <cellStyle name="T_Book1_Sheet2" xfId="8637"/>
    <cellStyle name="T_Book1_Sheet2 2" xfId="8638"/>
    <cellStyle name="T_Book1_Sheet2 2 2" xfId="8639"/>
    <cellStyle name="T_Book1_Sheet2 3" xfId="8640"/>
    <cellStyle name="T_Book1_Sheet2_BIEU KE HOACH  2015 (KTN 6.11 sua)" xfId="8641"/>
    <cellStyle name="T_Book1_tien luong" xfId="8697"/>
    <cellStyle name="T_Book1_tien luong 2" xfId="8698"/>
    <cellStyle name="T_Book1_Tien luong chuan 01" xfId="8699"/>
    <cellStyle name="T_Book1_Tien luong chuan 01 2" xfId="8700"/>
    <cellStyle name="T_Book1_Tienluong" xfId="8701"/>
    <cellStyle name="T_Book1_Tienluong 2" xfId="8702"/>
    <cellStyle name="T_Book1_Tienluong 3" xfId="8703"/>
    <cellStyle name="T_Book1_Tienluong_BIEU KE HOACH  2015 (KTN 6.11 sua)" xfId="8704"/>
    <cellStyle name="T_Book1_tinh toan hoang ha" xfId="8705"/>
    <cellStyle name="T_Book1_tinh toan hoang ha 2" xfId="8706"/>
    <cellStyle name="T_Book1_tinh toan hoang ha 2 2" xfId="8707"/>
    <cellStyle name="T_Book1_tinh toan hoang ha 3" xfId="8708"/>
    <cellStyle name="T_Book1_tinh toan hoang ha_BIEU KE HOACH  2015 (KTN 6.11 sua)" xfId="8709"/>
    <cellStyle name="T_Book1_TN - Ho tro khac 2011" xfId="8710"/>
    <cellStyle name="T_Book1_Tong hop  " xfId="8711"/>
    <cellStyle name="T_Book1_Tong hop   2" xfId="8712"/>
    <cellStyle name="T_Book1_Tong hop gia tri" xfId="8713"/>
    <cellStyle name="T_Book1_Tong hop gia tri 2" xfId="8714"/>
    <cellStyle name="T_Book1_Tong hop gia tri 2 2" xfId="8715"/>
    <cellStyle name="T_Book1_Tong hop gia tri 3" xfId="8716"/>
    <cellStyle name="T_Book1_Tong hop gia tri_BIEU KE HOACH  2015 (KTN 6.11 sua)" xfId="8717"/>
    <cellStyle name="T_Book1_TT nhu cau dung nuoc" xfId="8718"/>
    <cellStyle name="T_Book1_TT nhu cau dung nuoc 2" xfId="8719"/>
    <cellStyle name="T_Book1_TT nhu cau dung nuoc 2 2" xfId="8720"/>
    <cellStyle name="T_Book1_TT nhu cau dung nuoc 3" xfId="8721"/>
    <cellStyle name="T_Book1_TT nhu cau dung nuoc_BIEU KE HOACH  2015 (KTN 6.11 sua)" xfId="8722"/>
    <cellStyle name="T_Book1_TT nhu cau dung nuoc_GVL" xfId="8723"/>
    <cellStyle name="T_Book1_TT nhu cau dung nuoc_GVL 2" xfId="8724"/>
    <cellStyle name="T_Book1_TT nhu cau dung nuoc_GVL 2 2" xfId="8725"/>
    <cellStyle name="T_Book1_TT nhu cau dung nuoc_GVL 3" xfId="8726"/>
    <cellStyle name="T_Book1_TT nhu cau dung nuoc_GVL_BIEU KE HOACH  2015 (KTN 6.11 sua)" xfId="8727"/>
    <cellStyle name="T_Book1_TU VAN THUY LOI THAM  PHE" xfId="8728"/>
    <cellStyle name="T_Book1_TU VAN THUY LOI THAM  PHE 2" xfId="8729"/>
    <cellStyle name="T_Book1_TU VAN THUY LOI THAM  PHE 3" xfId="8730"/>
    <cellStyle name="T_Book1_TU VAN THUY LOI THAM  PHE_BIEU KE HOACH  2015 (KTN 6.11 sua)" xfId="8731"/>
    <cellStyle name="T_Book1_TH danh muc 08-09 den ngay 30-8-09" xfId="8642"/>
    <cellStyle name="T_Book1_TH danh muc 08-09 den ngay 30-8-09 2" xfId="8643"/>
    <cellStyle name="T_Book1_TH ung tren 70%-Ra soat phap ly-8-6 (dung de chuyen vao vu TH)" xfId="8644"/>
    <cellStyle name="T_Book1_TH ung tren 70%-Ra soat phap ly-8-6 (dung de chuyen vao vu TH) 2" xfId="8645"/>
    <cellStyle name="T_Book1_TH ung tren 70%-Ra soat phap ly-8-6 (dung de chuyen vao vu TH) 2 2" xfId="8646"/>
    <cellStyle name="T_Book1_TH ung tren 70%-Ra soat phap ly-8-6 (dung de chuyen vao vu TH) 3" xfId="8647"/>
    <cellStyle name="T_Book1_TH ung tren 70%-Ra soat phap ly-8-6 (dung de chuyen vao vu TH)_BIEU KE HOACH  2015 (KTN 6.11 sua)" xfId="8648"/>
    <cellStyle name="T_Book1_TH ung tren 70%-Ra soat phap ly-8-6 (dung de chuyen vao vu TH)_CT 134" xfId="8649"/>
    <cellStyle name="T_Book1_TH y kien LD_KH 2010 Ca Nuoc 22-9-2011-Gui ca Vu" xfId="8650"/>
    <cellStyle name="T_Book1_THAU CAT" xfId="8651"/>
    <cellStyle name="T_Book1_THAU CAT 2" xfId="8652"/>
    <cellStyle name="T_Book1_THAU CAT 3" xfId="8653"/>
    <cellStyle name="T_Book1_THAU CAT_BIEU KE HOACH  2015 (KTN 6.11 sua)" xfId="8654"/>
    <cellStyle name="T_Book1_Thiet bi" xfId="8655"/>
    <cellStyle name="T_Book1_Thiet bi 2" xfId="8656"/>
    <cellStyle name="T_Book1_Thiet bi 3" xfId="8657"/>
    <cellStyle name="T_Book1_Thiet bi_Bieu chi tieu KH 2014 (Huy-04-11)" xfId="8658"/>
    <cellStyle name="T_Book1_Thiet bi_bieu ke hoach dau thau" xfId="8659"/>
    <cellStyle name="T_Book1_Thiet bi_bieu ke hoach dau thau 2" xfId="8660"/>
    <cellStyle name="T_Book1_Thiet bi_bieu ke hoach dau thau truong mam non SKH" xfId="8661"/>
    <cellStyle name="T_Book1_Thiet bi_bieu ke hoach dau thau truong mam non SKH 2" xfId="8662"/>
    <cellStyle name="T_Book1_Thiet bi_bieu tong hop lai kh von 2011 gui phong TH-KTDN" xfId="8663"/>
    <cellStyle name="T_Book1_Thiet bi_bieu tong hop lai kh von 2011 gui phong TH-KTDN 2" xfId="8664"/>
    <cellStyle name="T_Book1_Thiet bi_Book1" xfId="8665"/>
    <cellStyle name="T_Book1_Thiet bi_Book1 2" xfId="8666"/>
    <cellStyle name="T_Book1_Thiet bi_Book1_Ke hoach 2010 (theo doi 11-8-2010)" xfId="8667"/>
    <cellStyle name="T_Book1_Thiet bi_Book1_Ke hoach 2010 (theo doi 11-8-2010) 2" xfId="8668"/>
    <cellStyle name="T_Book1_Thiet bi_Book1_ke hoach dau thau 30-6-2010" xfId="8669"/>
    <cellStyle name="T_Book1_Thiet bi_Book1_ke hoach dau thau 30-6-2010 2" xfId="8670"/>
    <cellStyle name="T_Book1_Thiet bi_Copy of KH PHAN BO VON ĐỐI ỨNG NAM 2011 (30 TY phuong án gop WB)" xfId="8671"/>
    <cellStyle name="T_Book1_Thiet bi_Copy of KH PHAN BO VON ĐỐI ỨNG NAM 2011 (30 TY phuong án gop WB) 2" xfId="8672"/>
    <cellStyle name="T_Book1_Thiet bi_DTTD chieng chan Tham lai 29-9-2009" xfId="8673"/>
    <cellStyle name="T_Book1_Thiet bi_DTTD chieng chan Tham lai 29-9-2009 2" xfId="8674"/>
    <cellStyle name="T_Book1_Thiet bi_Du toan nuoc San Thang (GD2)" xfId="8676"/>
    <cellStyle name="T_Book1_Thiet bi_Du toan nuoc San Thang (GD2) 2" xfId="8677"/>
    <cellStyle name="T_Book1_Thiet bi_dự toán 30a 2013" xfId="8675"/>
    <cellStyle name="T_Book1_Thiet bi_Ke hoach 2010 (theo doi 11-8-2010)" xfId="8678"/>
    <cellStyle name="T_Book1_Thiet bi_Ke hoach 2010 (theo doi 11-8-2010) 2" xfId="8679"/>
    <cellStyle name="T_Book1_Thiet bi_ke hoach dau thau 30-6-2010" xfId="8680"/>
    <cellStyle name="T_Book1_Thiet bi_ke hoach dau thau 30-6-2010 2" xfId="8681"/>
    <cellStyle name="T_Book1_Thiet bi_KH Von 2012 gui BKH 1" xfId="8682"/>
    <cellStyle name="T_Book1_Thiet bi_KH Von 2012 gui BKH 1 2" xfId="8683"/>
    <cellStyle name="T_Book1_Thiet bi_QD ke hoach dau thau" xfId="8684"/>
    <cellStyle name="T_Book1_Thiet bi_QD ke hoach dau thau 2" xfId="8685"/>
    <cellStyle name="T_Book1_Thiet bi_Ra soat KH von 2011 (Huy-11-11-11)" xfId="8686"/>
    <cellStyle name="T_Book1_Thiet bi_Ra soat KH von 2011 (Huy-11-11-11) 2" xfId="8687"/>
    <cellStyle name="T_Book1_Thiet bi_tinh toan hoang ha" xfId="8688"/>
    <cellStyle name="T_Book1_Thiet bi_tinh toan hoang ha 2" xfId="8689"/>
    <cellStyle name="T_Book1_Thiet bi_Tong von ĐTPT" xfId="8690"/>
    <cellStyle name="T_Book1_Thiet bi_Tong von ĐTPT 2" xfId="8691"/>
    <cellStyle name="T_Book1_Thiet bi_Viec Huy dang lam" xfId="8692"/>
    <cellStyle name="T_Book1_Thuc hien du an 06-10 ngay 18_9" xfId="8693"/>
    <cellStyle name="T_Book1_Thuc hien du an 06-10 ngay 18_9 2" xfId="8694"/>
    <cellStyle name="T_Book1_Thuc hien du an 06-10 ngay 18_9 3" xfId="8695"/>
    <cellStyle name="T_Book1_Thuc hien du an 06-10 ngay 18_9_BIEU KE HOACH  2015 (KTN 6.11 sua)" xfId="8696"/>
    <cellStyle name="T_Book1_ung truoc 2011 NSTW Thanh Hoa + Nge An gui Thu 12-5" xfId="8732"/>
    <cellStyle name="T_Book1_ung truoc 2011 NSTW Thanh Hoa + Nge An gui Thu 12-5 2" xfId="8733"/>
    <cellStyle name="T_Book1_ung truoc 2011 NSTW Thanh Hoa + Nge An gui Thu 12-5 2 2" xfId="8734"/>
    <cellStyle name="T_Book1_ung truoc 2011 NSTW Thanh Hoa + Nge An gui Thu 12-5 3" xfId="8735"/>
    <cellStyle name="T_Book1_ung truoc 2011 NSTW Thanh Hoa + Nge An gui Thu 12-5_BIEU KE HOACH  2015 (KTN 6.11 sua)" xfId="8736"/>
    <cellStyle name="T_Book1_VC1" xfId="8737"/>
    <cellStyle name="T_Book1_VC1 2" xfId="8738"/>
    <cellStyle name="T_Book1_VC1 2 2" xfId="8739"/>
    <cellStyle name="T_Book1_VC1 3" xfId="8740"/>
    <cellStyle name="T_Book1_VC1_BIEU KE HOACH  2015 (KTN 6.11 sua)" xfId="8741"/>
    <cellStyle name="T_Book1_VC1_GVL" xfId="8742"/>
    <cellStyle name="T_Book1_VC1_GVL 2" xfId="8743"/>
    <cellStyle name="T_Book1_VC1_GVL 2 2" xfId="8744"/>
    <cellStyle name="T_Book1_VC1_GVL 3" xfId="8745"/>
    <cellStyle name="T_Book1_VC1_GVL_BIEU KE HOACH  2015 (KTN 6.11 sua)" xfId="8746"/>
    <cellStyle name="T_Book1_Viec Huy dang lam" xfId="8747"/>
    <cellStyle name="T_Book1_Viec Huy dang lam_CT 134" xfId="8748"/>
    <cellStyle name="T_Book2" xfId="8749"/>
    <cellStyle name="T_Cac bao cao TB  Milk-Yomilk-co Ke- CK 1-Vinh Thang" xfId="8750"/>
    <cellStyle name="T_Cac bao cao TB  Milk-Yomilk-co Ke- CK 1-Vinh Thang 2" xfId="8751"/>
    <cellStyle name="T_Cac bao cao TB  Milk-Yomilk-co Ke- CK 1-Vinh Thang 3" xfId="8752"/>
    <cellStyle name="T_Cac bao cao TB  Milk-Yomilk-co Ke- CK 1-Vinh Thang_CT 134" xfId="8753"/>
    <cellStyle name="T_CDKT" xfId="8754"/>
    <cellStyle name="T_CDKT 2" xfId="8755"/>
    <cellStyle name="T_CDKT 2 2" xfId="8756"/>
    <cellStyle name="T_CDKT 3" xfId="8757"/>
    <cellStyle name="T_CDKT_BIEU KE HOACH  2015 (KTN 6.11 sua)" xfId="8758"/>
    <cellStyle name="T_CDKT_bieu ke hoach dau thau" xfId="8759"/>
    <cellStyle name="T_CDKT_bieu ke hoach dau thau 2" xfId="8760"/>
    <cellStyle name="T_CDKT_bieu ke hoach dau thau 2 2" xfId="8761"/>
    <cellStyle name="T_CDKT_bieu ke hoach dau thau 3" xfId="8762"/>
    <cellStyle name="T_CDKT_bieu ke hoach dau thau truong mam non SKH" xfId="8763"/>
    <cellStyle name="T_CDKT_bieu ke hoach dau thau truong mam non SKH 2" xfId="8764"/>
    <cellStyle name="T_CDKT_bieu ke hoach dau thau truong mam non SKH 2 2" xfId="8765"/>
    <cellStyle name="T_CDKT_bieu ke hoach dau thau truong mam non SKH 3" xfId="8766"/>
    <cellStyle name="T_CDKT_bieu ke hoach dau thau truong mam non SKH_BIEU KE HOACH  2015 (KTN 6.11 sua)" xfId="8767"/>
    <cellStyle name="T_CDKT_bieu ke hoach dau thau_BIEU KE HOACH  2015 (KTN 6.11 sua)" xfId="8768"/>
    <cellStyle name="T_CDKT_bieu tong hop lai kh von 2011 gui phong TH-KTDN" xfId="8769"/>
    <cellStyle name="T_CDKT_bieu tong hop lai kh von 2011 gui phong TH-KTDN 2" xfId="8770"/>
    <cellStyle name="T_CDKT_bieu tong hop lai kh von 2011 gui phong TH-KTDN 2 2" xfId="8771"/>
    <cellStyle name="T_CDKT_bieu tong hop lai kh von 2011 gui phong TH-KTDN 3" xfId="8772"/>
    <cellStyle name="T_CDKT_bieu tong hop lai kh von 2011 gui phong TH-KTDN_BIEU KE HOACH  2015 (KTN 6.11 sua)" xfId="8773"/>
    <cellStyle name="T_CDKT_Book1" xfId="8774"/>
    <cellStyle name="T_CDKT_Book1 2" xfId="8775"/>
    <cellStyle name="T_CDKT_Book1 2 2" xfId="8776"/>
    <cellStyle name="T_CDKT_Book1 3" xfId="8777"/>
    <cellStyle name="T_CDKT_Book1_BIEU KE HOACH  2015 (KTN 6.11 sua)" xfId="8778"/>
    <cellStyle name="T_CDKT_Book1_Ke hoach 2010 (theo doi 11-8-2010)" xfId="8779"/>
    <cellStyle name="T_CDKT_Book1_Ke hoach 2010 (theo doi 11-8-2010) 2" xfId="8780"/>
    <cellStyle name="T_CDKT_Book1_Ke hoach 2010 (theo doi 11-8-2010) 2 2" xfId="8781"/>
    <cellStyle name="T_CDKT_Book1_Ke hoach 2010 (theo doi 11-8-2010) 3" xfId="8782"/>
    <cellStyle name="T_CDKT_Book1_Ke hoach 2010 (theo doi 11-8-2010)_BIEU KE HOACH  2015 (KTN 6.11 sua)" xfId="8783"/>
    <cellStyle name="T_CDKT_Copy of KH PHAN BO VON ĐỐI ỨNG NAM 2011 (30 TY phuong án gop WB)" xfId="8784"/>
    <cellStyle name="T_CDKT_Copy of KH PHAN BO VON ĐỐI ỨNG NAM 2011 (30 TY phuong án gop WB) 2" xfId="8785"/>
    <cellStyle name="T_CDKT_Copy of KH PHAN BO VON ĐỐI ỨNG NAM 2011 (30 TY phuong án gop WB) 2 2" xfId="8786"/>
    <cellStyle name="T_CDKT_Copy of KH PHAN BO VON ĐỐI ỨNG NAM 2011 (30 TY phuong án gop WB) 3" xfId="8787"/>
    <cellStyle name="T_CDKT_Copy of KH PHAN BO VON ĐỐI ỨNG NAM 2011 (30 TY phuong án gop WB)_BIEU KE HOACH  2015 (KTN 6.11 sua)" xfId="8788"/>
    <cellStyle name="T_CDKT_DT tieu hoc diem TDC ban Cho 28-02-09" xfId="8789"/>
    <cellStyle name="T_CDKT_DT tieu hoc diem TDC ban Cho 28-02-09 2" xfId="8790"/>
    <cellStyle name="T_CDKT_DT tieu hoc diem TDC ban Cho 28-02-09 2 2" xfId="8791"/>
    <cellStyle name="T_CDKT_DT tieu hoc diem TDC ban Cho 28-02-09 3" xfId="8792"/>
    <cellStyle name="T_CDKT_DT tieu hoc diem TDC ban Cho 28-02-09_BIEU KE HOACH  2015 (KTN 6.11 sua)" xfId="8793"/>
    <cellStyle name="T_CDKT_DTTD chieng chan Tham lai 29-9-2009" xfId="8794"/>
    <cellStyle name="T_CDKT_DTTD chieng chan Tham lai 29-9-2009 2" xfId="8795"/>
    <cellStyle name="T_CDKT_DTTD chieng chan Tham lai 29-9-2009 2 2" xfId="8796"/>
    <cellStyle name="T_CDKT_DTTD chieng chan Tham lai 29-9-2009 3" xfId="8797"/>
    <cellStyle name="T_CDKT_DTTD chieng chan Tham lai 29-9-2009_BIEU KE HOACH  2015 (KTN 6.11 sua)" xfId="8798"/>
    <cellStyle name="T_CDKT_GVL" xfId="8799"/>
    <cellStyle name="T_CDKT_GVL 2" xfId="8800"/>
    <cellStyle name="T_CDKT_GVL 2 2" xfId="8801"/>
    <cellStyle name="T_CDKT_GVL 3" xfId="8802"/>
    <cellStyle name="T_CDKT_GVL_BIEU KE HOACH  2015 (KTN 6.11 sua)" xfId="8803"/>
    <cellStyle name="T_CDKT_Ke hoach 2010 (theo doi 11-8-2010)" xfId="8804"/>
    <cellStyle name="T_CDKT_Ke hoach 2010 (theo doi 11-8-2010) 2" xfId="8805"/>
    <cellStyle name="T_CDKT_Ke hoach 2010 (theo doi 11-8-2010) 2 2" xfId="8806"/>
    <cellStyle name="T_CDKT_Ke hoach 2010 (theo doi 11-8-2010) 3" xfId="8807"/>
    <cellStyle name="T_CDKT_Ke hoach 2010 (theo doi 11-8-2010)_BIEU KE HOACH  2015 (KTN 6.11 sua)" xfId="8808"/>
    <cellStyle name="T_CDKT_ke hoach dau thau 30-6-2010" xfId="8809"/>
    <cellStyle name="T_CDKT_ke hoach dau thau 30-6-2010 2" xfId="8810"/>
    <cellStyle name="T_CDKT_ke hoach dau thau 30-6-2010 2 2" xfId="8811"/>
    <cellStyle name="T_CDKT_ke hoach dau thau 30-6-2010 3" xfId="8812"/>
    <cellStyle name="T_CDKT_ke hoach dau thau 30-6-2010_BIEU KE HOACH  2015 (KTN 6.11 sua)" xfId="8813"/>
    <cellStyle name="T_CDKT_KH Von 2012 gui BKH 1" xfId="8814"/>
    <cellStyle name="T_CDKT_KH Von 2012 gui BKH 1 2" xfId="8815"/>
    <cellStyle name="T_CDKT_KH Von 2012 gui BKH 1 2 2" xfId="8816"/>
    <cellStyle name="T_CDKT_KH Von 2012 gui BKH 1 3" xfId="8817"/>
    <cellStyle name="T_CDKT_KH Von 2012 gui BKH 1_BIEU KE HOACH  2015 (KTN 6.11 sua)" xfId="8818"/>
    <cellStyle name="T_CDKT_QD ke hoach dau thau" xfId="8819"/>
    <cellStyle name="T_CDKT_QD ke hoach dau thau 2" xfId="8820"/>
    <cellStyle name="T_CDKT_QD ke hoach dau thau 2 2" xfId="8821"/>
    <cellStyle name="T_CDKT_QD ke hoach dau thau 3" xfId="8822"/>
    <cellStyle name="T_CDKT_QD ke hoach dau thau_BIEU KE HOACH  2015 (KTN 6.11 sua)" xfId="8823"/>
    <cellStyle name="T_CDKT_Tienluong" xfId="8824"/>
    <cellStyle name="T_CDKT_Tienluong 2" xfId="8825"/>
    <cellStyle name="T_CDKT_Tienluong 2 2" xfId="8826"/>
    <cellStyle name="T_CDKT_Tienluong 3" xfId="8827"/>
    <cellStyle name="T_CDKT_Tienluong_BIEU KE HOACH  2015 (KTN 6.11 sua)" xfId="8828"/>
    <cellStyle name="T_CDKT_Tong von ĐTPT" xfId="8829"/>
    <cellStyle name="T_CDKT_Tong von ĐTPT 2" xfId="8830"/>
    <cellStyle name="T_CDKT_Tong von ĐTPT 2 2" xfId="8831"/>
    <cellStyle name="T_CDKT_Tong von ĐTPT 3" xfId="8832"/>
    <cellStyle name="T_CDKT_Tong von ĐTPT_BIEU KE HOACH  2015 (KTN 6.11 sua)" xfId="8833"/>
    <cellStyle name="T_cong bo ĐGCM ĐB nam 2008" xfId="8850"/>
    <cellStyle name="T_cong bo ĐGCM ĐB nam 2008 2" xfId="8851"/>
    <cellStyle name="T_cong bo ĐGCM ĐB nam 2008 2 2" xfId="8852"/>
    <cellStyle name="T_cong bo ĐGCM ĐB nam 2008 3" xfId="8853"/>
    <cellStyle name="T_cong bo ĐGCM ĐB nam 2008_BIEU KE HOACH  2015 (KTN 6.11 sua)" xfId="8854"/>
    <cellStyle name="T_cong bo ĐGCM ĐB nam 2008_GVL" xfId="8855"/>
    <cellStyle name="T_cong bo ĐGCM ĐB nam 2008_GVL 2" xfId="8856"/>
    <cellStyle name="T_cong bo ĐGCM ĐB nam 2008_GVL 2 2" xfId="8857"/>
    <cellStyle name="T_cong bo ĐGCM ĐB nam 2008_GVL 3" xfId="8858"/>
    <cellStyle name="T_cong bo ĐGCM ĐB nam 2008_GVL_BIEU KE HOACH  2015 (KTN 6.11 sua)" xfId="8859"/>
    <cellStyle name="T_Copy of Bao cao  XDCB 7 thang nam 2008_So KH&amp;DT SUA" xfId="8860"/>
    <cellStyle name="T_Copy of Bao cao  XDCB 7 thang nam 2008_So KH&amp;DT SUA 2" xfId="8861"/>
    <cellStyle name="T_Copy of Bao cao  XDCB 7 thang nam 2008_So KH&amp;DT SUA 3" xfId="8862"/>
    <cellStyle name="T_Copy of Bao cao  XDCB 7 thang nam 2008_So KH&amp;DT SUA_CT 134" xfId="8863"/>
    <cellStyle name="T_Copy of Biểu BC điều chỉnh chỉ tiêu NN các huyện chia tách 404 ngay 23.5" xfId="8864"/>
    <cellStyle name="T_Copy of KH PHAN BO VON ĐỐI ỨNG NAM 2011 (30 TY phuong án gop WB)" xfId="8865"/>
    <cellStyle name="T_Copy of KH PHAN BO VON ĐỐI ỨNG NAM 2011 (30 TY phuong án gop WB) 2" xfId="8866"/>
    <cellStyle name="T_Copy of KH PHAN BO VON ĐỐI ỨNG NAM 2011 (30 TY phuong án gop WB) 3" xfId="8867"/>
    <cellStyle name="T_Copy of KH PHAN BO VON ĐỐI ỨNG NAM 2011 (30 TY phuong án gop WB)_BIEU KE HOACH  2015 (KTN 6.11 sua)" xfId="8868"/>
    <cellStyle name="T_Copy of SO THEO DOI SAN LUONG NAM 2007" xfId="8869"/>
    <cellStyle name="T_Copy of SO THEO DOI SAN LUONG NAM 2007 2" xfId="8870"/>
    <cellStyle name="T_Copy of SO THEO DOI SAN LUONG NAM 2007 3" xfId="8871"/>
    <cellStyle name="T_Copy of SO THEO DOI SAN LUONG NAM 2007_BIEU KE HOACH  2015 (KTN 6.11 sua)" xfId="8872"/>
    <cellStyle name="T_CPK" xfId="8873"/>
    <cellStyle name="T_CPK 2" xfId="8874"/>
    <cellStyle name="T_CPK_Bao cao danh muc cac cong trinh tren dia ban huyen 4-2010" xfId="8875"/>
    <cellStyle name="T_CPK_Bao cao danh muc cac cong trinh tren dia ban huyen 4-2010 2" xfId="8876"/>
    <cellStyle name="T_CPK_Bieu chi tieu KH 2014 (Huy-04-11)" xfId="8877"/>
    <cellStyle name="T_CPK_Bieu chi tieu KH 2014 (Huy-04-11) 2" xfId="8878"/>
    <cellStyle name="T_CPK_bieu ke hoach dau thau" xfId="8879"/>
    <cellStyle name="T_CPK_bieu ke hoach dau thau 2" xfId="8880"/>
    <cellStyle name="T_CPK_bieu ke hoach dau thau 2 2" xfId="8881"/>
    <cellStyle name="T_CPK_bieu ke hoach dau thau 3" xfId="8882"/>
    <cellStyle name="T_CPK_bieu ke hoach dau thau truong mam non SKH" xfId="8883"/>
    <cellStyle name="T_CPK_bieu ke hoach dau thau truong mam non SKH 2" xfId="8884"/>
    <cellStyle name="T_CPK_bieu ke hoach dau thau truong mam non SKH 2 2" xfId="8885"/>
    <cellStyle name="T_CPK_bieu ke hoach dau thau truong mam non SKH 3" xfId="8886"/>
    <cellStyle name="T_CPK_bieu ke hoach dau thau truong mam non SKH_BIEU KE HOACH  2015 (KTN 6.11 sua)" xfId="8887"/>
    <cellStyle name="T_CPK_bieu ke hoach dau thau_BIEU KE HOACH  2015 (KTN 6.11 sua)" xfId="8888"/>
    <cellStyle name="T_CPK_bieu tong hop lai kh von 2011 gui phong TH-KTDN" xfId="8889"/>
    <cellStyle name="T_CPK_bieu tong hop lai kh von 2011 gui phong TH-KTDN 2" xfId="8890"/>
    <cellStyle name="T_CPK_bieu tong hop lai kh von 2011 gui phong TH-KTDN 2 2" xfId="8891"/>
    <cellStyle name="T_CPK_bieu tong hop lai kh von 2011 gui phong TH-KTDN 3" xfId="8892"/>
    <cellStyle name="T_CPK_bieu tong hop lai kh von 2011 gui phong TH-KTDN_BIEU KE HOACH  2015 (KTN 6.11 sua)" xfId="8893"/>
    <cellStyle name="T_CPK_Book1" xfId="8894"/>
    <cellStyle name="T_CPK_Book1 2" xfId="8895"/>
    <cellStyle name="T_CPK_Book1 2 2" xfId="8896"/>
    <cellStyle name="T_CPK_Book1 3" xfId="8897"/>
    <cellStyle name="T_CPK_Book1_1" xfId="8898"/>
    <cellStyle name="T_CPK_Book1_1 2" xfId="8899"/>
    <cellStyle name="T_CPK_Book1_1 2 2" xfId="8900"/>
    <cellStyle name="T_CPK_Book1_1 3" xfId="8901"/>
    <cellStyle name="T_CPK_Book1_1_BIEU KE HOACH  2015 (KTN 6.11 sua)" xfId="8902"/>
    <cellStyle name="T_CPK_Book1_BIEU KE HOACH  2015 (KTN 6.11 sua)" xfId="8903"/>
    <cellStyle name="T_CPK_Book1_DTTD chieng chan Tham lai 29-9-2009" xfId="8904"/>
    <cellStyle name="T_CPK_Book1_DTTD chieng chan Tham lai 29-9-2009 2" xfId="8905"/>
    <cellStyle name="T_CPK_Book1_DTTD chieng chan Tham lai 29-9-2009 2 2" xfId="8906"/>
    <cellStyle name="T_CPK_Book1_DTTD chieng chan Tham lai 29-9-2009 3" xfId="8907"/>
    <cellStyle name="T_CPK_Book1_DTTD chieng chan Tham lai 29-9-2009_BIEU KE HOACH  2015 (KTN 6.11 sua)" xfId="8908"/>
    <cellStyle name="T_CPK_Book1_Ke hoach 2010 (theo doi 11-8-2010)" xfId="8909"/>
    <cellStyle name="T_CPK_Book1_Ke hoach 2010 (theo doi 11-8-2010) 2" xfId="8910"/>
    <cellStyle name="T_CPK_Book1_Ke hoach 2010 (theo doi 11-8-2010) 2 2" xfId="8911"/>
    <cellStyle name="T_CPK_Book1_Ke hoach 2010 (theo doi 11-8-2010) 3" xfId="8912"/>
    <cellStyle name="T_CPK_Book1_Ke hoach 2010 (theo doi 11-8-2010)_BIEU KE HOACH  2015 (KTN 6.11 sua)" xfId="8913"/>
    <cellStyle name="T_CPK_Book1_ke hoach dau thau 30-6-2010" xfId="8914"/>
    <cellStyle name="T_CPK_Book1_ke hoach dau thau 30-6-2010 2" xfId="8915"/>
    <cellStyle name="T_CPK_Book1_ke hoach dau thau 30-6-2010 2 2" xfId="8916"/>
    <cellStyle name="T_CPK_Book1_ke hoach dau thau 30-6-2010 3" xfId="8917"/>
    <cellStyle name="T_CPK_Book1_ke hoach dau thau 30-6-2010_BIEU KE HOACH  2015 (KTN 6.11 sua)" xfId="8918"/>
    <cellStyle name="T_CPK_Copy of KH PHAN BO VON ĐỐI ỨNG NAM 2011 (30 TY phuong án gop WB)" xfId="8919"/>
    <cellStyle name="T_CPK_Copy of KH PHAN BO VON ĐỐI ỨNG NAM 2011 (30 TY phuong án gop WB) 2" xfId="8920"/>
    <cellStyle name="T_CPK_Copy of KH PHAN BO VON ĐỐI ỨNG NAM 2011 (30 TY phuong án gop WB) 2 2" xfId="8921"/>
    <cellStyle name="T_CPK_Copy of KH PHAN BO VON ĐỐI ỨNG NAM 2011 (30 TY phuong án gop WB) 3" xfId="8922"/>
    <cellStyle name="T_CPK_Copy of KH PHAN BO VON ĐỐI ỨNG NAM 2011 (30 TY phuong án gop WB)_BIEU KE HOACH  2015 (KTN 6.11 sua)" xfId="8923"/>
    <cellStyle name="T_CPK_DTTD chieng chan Tham lai 29-9-2009" xfId="8924"/>
    <cellStyle name="T_CPK_DTTD chieng chan Tham lai 29-9-2009 2" xfId="8925"/>
    <cellStyle name="T_CPK_DTTD chieng chan Tham lai 29-9-2009 2 2" xfId="8926"/>
    <cellStyle name="T_CPK_DTTD chieng chan Tham lai 29-9-2009 3" xfId="8927"/>
    <cellStyle name="T_CPK_DTTD chieng chan Tham lai 29-9-2009_BIEU KE HOACH  2015 (KTN 6.11 sua)" xfId="8928"/>
    <cellStyle name="T_CPK_Du toan nuoc San Thang (GD2)" xfId="8930"/>
    <cellStyle name="T_CPK_Du toan nuoc San Thang (GD2) 2" xfId="8931"/>
    <cellStyle name="T_CPK_Du toan nuoc San Thang (GD2) 2 2" xfId="8932"/>
    <cellStyle name="T_CPK_Du toan nuoc San Thang (GD2) 3" xfId="8933"/>
    <cellStyle name="T_CPK_Du toan nuoc San Thang (GD2)_BIEU KE HOACH  2015 (KTN 6.11 sua)" xfId="8934"/>
    <cellStyle name="T_CPK_dự toán 30a 2013" xfId="8929"/>
    <cellStyle name="T_CPK_Ke hoach 2010 (theo doi 11-8-2010)" xfId="8935"/>
    <cellStyle name="T_CPK_Ke hoach 2010 (theo doi 11-8-2010) 2" xfId="8936"/>
    <cellStyle name="T_CPK_Ke hoach 2010 (theo doi 11-8-2010) 2 2" xfId="8937"/>
    <cellStyle name="T_CPK_Ke hoach 2010 (theo doi 11-8-2010) 3" xfId="8938"/>
    <cellStyle name="T_CPK_Ke hoach 2010 (theo doi 11-8-2010)_BIEU KE HOACH  2015 (KTN 6.11 sua)" xfId="8939"/>
    <cellStyle name="T_CPK_ke hoach dau thau 30-6-2010" xfId="8940"/>
    <cellStyle name="T_CPK_ke hoach dau thau 30-6-2010 2" xfId="8941"/>
    <cellStyle name="T_CPK_ke hoach dau thau 30-6-2010 2 2" xfId="8942"/>
    <cellStyle name="T_CPK_ke hoach dau thau 30-6-2010 3" xfId="8943"/>
    <cellStyle name="T_CPK_ke hoach dau thau 30-6-2010_BIEU KE HOACH  2015 (KTN 6.11 sua)" xfId="8944"/>
    <cellStyle name="T_CPK_KH Von 2012 gui BKH 1" xfId="8945"/>
    <cellStyle name="T_CPK_KH Von 2012 gui BKH 1 2" xfId="8946"/>
    <cellStyle name="T_CPK_KH Von 2012 gui BKH 1 2 2" xfId="8947"/>
    <cellStyle name="T_CPK_KH Von 2012 gui BKH 1 3" xfId="8948"/>
    <cellStyle name="T_CPK_KH Von 2012 gui BKH 1_BIEU KE HOACH  2015 (KTN 6.11 sua)" xfId="8949"/>
    <cellStyle name="T_CPK_QD ke hoach dau thau" xfId="8950"/>
    <cellStyle name="T_CPK_QD ke hoach dau thau 2" xfId="8951"/>
    <cellStyle name="T_CPK_QD ke hoach dau thau 2 2" xfId="8952"/>
    <cellStyle name="T_CPK_QD ke hoach dau thau 3" xfId="8953"/>
    <cellStyle name="T_CPK_QD ke hoach dau thau_BIEU KE HOACH  2015 (KTN 6.11 sua)" xfId="8954"/>
    <cellStyle name="T_CPK_Ra soat KH von 2011 (Huy-11-11-11)" xfId="8955"/>
    <cellStyle name="T_CPK_Ra soat KH von 2011 (Huy-11-11-11) 2" xfId="8956"/>
    <cellStyle name="T_CPK_Ra soat KH von 2011 (Huy-11-11-11) 2 2" xfId="8957"/>
    <cellStyle name="T_CPK_Ra soat KH von 2011 (Huy-11-11-11) 3" xfId="8958"/>
    <cellStyle name="T_CPK_Ra soat KH von 2011 (Huy-11-11-11)_BIEU KE HOACH  2015 (KTN 6.11 sua)" xfId="8959"/>
    <cellStyle name="T_CPK_tien luong" xfId="8960"/>
    <cellStyle name="T_CPK_tien luong 2" xfId="8961"/>
    <cellStyle name="T_CPK_Tien luong chuan 01" xfId="8962"/>
    <cellStyle name="T_CPK_Tien luong chuan 01 2" xfId="8963"/>
    <cellStyle name="T_CPK_tinh toan hoang ha" xfId="8964"/>
    <cellStyle name="T_CPK_tinh toan hoang ha 2" xfId="8965"/>
    <cellStyle name="T_CPK_tinh toan hoang ha 2 2" xfId="8966"/>
    <cellStyle name="T_CPK_tinh toan hoang ha 3" xfId="8967"/>
    <cellStyle name="T_CPK_tinh toan hoang ha_BIEU KE HOACH  2015 (KTN 6.11 sua)" xfId="8968"/>
    <cellStyle name="T_CPK_Tong von ĐTPT" xfId="8969"/>
    <cellStyle name="T_CPK_Tong von ĐTPT 2" xfId="8970"/>
    <cellStyle name="T_CPK_Tong von ĐTPT 2 2" xfId="8971"/>
    <cellStyle name="T_CPK_Tong von ĐTPT 3" xfId="8972"/>
    <cellStyle name="T_CPK_Tong von ĐTPT_BIEU KE HOACH  2015 (KTN 6.11 sua)" xfId="8973"/>
    <cellStyle name="T_CPK_Viec Huy dang lam" xfId="8974"/>
    <cellStyle name="T_CPK_Viec Huy dang lam_CT 134" xfId="8975"/>
    <cellStyle name="T_CTMTQG 2008" xfId="8976"/>
    <cellStyle name="T_CTMTQG 2008 2" xfId="8977"/>
    <cellStyle name="T_CTMTQG 2008 3" xfId="8978"/>
    <cellStyle name="T_CTMTQG 2008_Bieu mau danh muc du an thuoc CTMTQG nam 2008" xfId="8979"/>
    <cellStyle name="T_CTMTQG 2008_Bieu mau danh muc du an thuoc CTMTQG nam 2008 2" xfId="8980"/>
    <cellStyle name="T_CTMTQG 2008_Bieu mau danh muc du an thuoc CTMTQG nam 2008 3" xfId="8981"/>
    <cellStyle name="T_CTMTQG 2008_Bieu mau danh muc du an thuoc CTMTQG nam 2008_CT 134" xfId="8982"/>
    <cellStyle name="T_CTMTQG 2008_CT 134" xfId="8983"/>
    <cellStyle name="T_CTMTQG 2008_Hi-Tong hop KQ phan bo KH nam 08- LD fong giao 15-11-08" xfId="8984"/>
    <cellStyle name="T_CTMTQG 2008_Hi-Tong hop KQ phan bo KH nam 08- LD fong giao 15-11-08 2" xfId="8985"/>
    <cellStyle name="T_CTMTQG 2008_Hi-Tong hop KQ phan bo KH nam 08- LD fong giao 15-11-08 3" xfId="8986"/>
    <cellStyle name="T_CTMTQG 2008_Hi-Tong hop KQ phan bo KH nam 08- LD fong giao 15-11-08_CT 134" xfId="8987"/>
    <cellStyle name="T_CTMTQG 2008_Ket qua thuc hien nam 2008" xfId="8988"/>
    <cellStyle name="T_CTMTQG 2008_Ket qua thuc hien nam 2008 2" xfId="8989"/>
    <cellStyle name="T_CTMTQG 2008_Ket qua thuc hien nam 2008 3" xfId="8990"/>
    <cellStyle name="T_CTMTQG 2008_Ket qua thuc hien nam 2008_CT 134" xfId="8991"/>
    <cellStyle name="T_CTMTQG 2008_KH XDCB_2008 lan 1" xfId="8992"/>
    <cellStyle name="T_CTMTQG 2008_KH XDCB_2008 lan 1 2" xfId="8993"/>
    <cellStyle name="T_CTMTQG 2008_KH XDCB_2008 lan 1 3" xfId="8994"/>
    <cellStyle name="T_CTMTQG 2008_KH XDCB_2008 lan 1 sua ngay 27-10" xfId="8995"/>
    <cellStyle name="T_CTMTQG 2008_KH XDCB_2008 lan 1 sua ngay 27-10 2" xfId="8996"/>
    <cellStyle name="T_CTMTQG 2008_KH XDCB_2008 lan 1 sua ngay 27-10 3" xfId="8997"/>
    <cellStyle name="T_CTMTQG 2008_KH XDCB_2008 lan 1 sua ngay 27-10_CT 134" xfId="8998"/>
    <cellStyle name="T_CTMTQG 2008_KH XDCB_2008 lan 1_CT 134" xfId="8999"/>
    <cellStyle name="T_CTMTQG 2008_KH XDCB_2008 lan 2 sua ngay 10-11" xfId="9000"/>
    <cellStyle name="T_CTMTQG 2008_KH XDCB_2008 lan 2 sua ngay 10-11 2" xfId="9001"/>
    <cellStyle name="T_CTMTQG 2008_KH XDCB_2008 lan 2 sua ngay 10-11 3" xfId="9002"/>
    <cellStyle name="T_CTMTQG 2008_KH XDCB_2008 lan 2 sua ngay 10-11_CT 134" xfId="9003"/>
    <cellStyle name="T_cham diem Milk chu ky2-ANH MINH" xfId="8834"/>
    <cellStyle name="T_cham diem Milk chu ky2-ANH MINH 2" xfId="8835"/>
    <cellStyle name="T_cham diem Milk chu ky2-ANH MINH 3" xfId="8836"/>
    <cellStyle name="T_cham diem Milk chu ky2-ANH MINH_CT 134" xfId="8837"/>
    <cellStyle name="T_cham trung bay ck 1 m.Bac milk co ke 2" xfId="8838"/>
    <cellStyle name="T_cham trung bay ck 1 m.Bac milk co ke 2 2" xfId="8839"/>
    <cellStyle name="T_cham trung bay ck 1 m.Bac milk co ke 2 3" xfId="8840"/>
    <cellStyle name="T_cham trung bay ck 1 m.Bac milk co ke 2_CT 134" xfId="8841"/>
    <cellStyle name="T_cham trung bay yao smart milk ck 2 mien Bac" xfId="8842"/>
    <cellStyle name="T_cham trung bay yao smart milk ck 2 mien Bac 2" xfId="8843"/>
    <cellStyle name="T_cham trung bay yao smart milk ck 2 mien Bac 3" xfId="8844"/>
    <cellStyle name="T_cham trung bay yao smart milk ck 2 mien Bac_CT 134" xfId="8845"/>
    <cellStyle name="T_Chuan bi dau tu nam 2008" xfId="8846"/>
    <cellStyle name="T_Chuan bi dau tu nam 2008 2" xfId="8847"/>
    <cellStyle name="T_Chuan bi dau tu nam 2008 3" xfId="8848"/>
    <cellStyle name="T_Chuan bi dau tu nam 2008_CT 134" xfId="8849"/>
    <cellStyle name="T_danh sach chua nop bcao trung bay sua chua  tinh den 1-3-06" xfId="9004"/>
    <cellStyle name="T_danh sach chua nop bcao trung bay sua chua  tinh den 1-3-06 2" xfId="9005"/>
    <cellStyle name="T_danh sach chua nop bcao trung bay sua chua  tinh den 1-3-06 3" xfId="9006"/>
    <cellStyle name="T_danh sach chua nop bcao trung bay sua chua  tinh den 1-3-06_CT 134" xfId="9007"/>
    <cellStyle name="T_Danh Sach ho ngheo" xfId="9008"/>
    <cellStyle name="T_Danh sach KH TB MilkYomilk Yao  Smart chu ky 2-Vinh Thang" xfId="9009"/>
    <cellStyle name="T_Danh sach KH TB MilkYomilk Yao  Smart chu ky 2-Vinh Thang 2" xfId="9010"/>
    <cellStyle name="T_Danh sach KH TB MilkYomilk Yao  Smart chu ky 2-Vinh Thang 3" xfId="9011"/>
    <cellStyle name="T_Danh sach KH TB MilkYomilk Yao  Smart chu ky 2-Vinh Thang_CT 134" xfId="9012"/>
    <cellStyle name="T_Danh sach KH trung bay MilkYomilk co ke chu ky 2-Vinh Thang" xfId="9013"/>
    <cellStyle name="T_Danh sach KH trung bay MilkYomilk co ke chu ky 2-Vinh Thang 2" xfId="9014"/>
    <cellStyle name="T_Danh sach KH trung bay MilkYomilk co ke chu ky 2-Vinh Thang 3" xfId="9015"/>
    <cellStyle name="T_Danh sach KH trung bay MilkYomilk co ke chu ky 2-Vinh Thang_CT 134" xfId="9016"/>
    <cellStyle name="T_DON GIA" xfId="9017"/>
    <cellStyle name="T_DON GIA 2" xfId="9018"/>
    <cellStyle name="T_DON GIA 3" xfId="9019"/>
    <cellStyle name="T_Don gia chi tiet" xfId="9020"/>
    <cellStyle name="T_Don gia chi tiet 2" xfId="9021"/>
    <cellStyle name="T_Don gia chi tiet 3" xfId="9022"/>
    <cellStyle name="T_Don gia chi tiet_BIEU KE HOACH  2015 (KTN 6.11 sua)" xfId="9023"/>
    <cellStyle name="T_DON GIA_BIEU KE HOACH  2015 (KTN 6.11 sua)" xfId="9024"/>
    <cellStyle name="T_DONGIA" xfId="9025"/>
    <cellStyle name="T_DONGIA 2" xfId="9026"/>
    <cellStyle name="T_DONGIA 3" xfId="9027"/>
    <cellStyle name="T_DONGIA_BIEU KE HOACH  2015 (KTN 6.11 sua)" xfId="9028"/>
    <cellStyle name="T_DS cac chau thieu nhi. trung tam" xfId="9029"/>
    <cellStyle name="T_DSACH MILK YO MILK CK 2 M.BAC" xfId="9030"/>
    <cellStyle name="T_DSACH MILK YO MILK CK 2 M.BAC 2" xfId="9031"/>
    <cellStyle name="T_DSACH MILK YO MILK CK 2 M.BAC 3" xfId="9032"/>
    <cellStyle name="T_DSACH MILK YO MILK CK 2 M.BAC_CT 134" xfId="9033"/>
    <cellStyle name="T_DSKH Tbay Milk , Yomilk CK 2 Vu Thi Hanh" xfId="9034"/>
    <cellStyle name="T_DSKH Tbay Milk , Yomilk CK 2 Vu Thi Hanh 2" xfId="9035"/>
    <cellStyle name="T_DSKH Tbay Milk , Yomilk CK 2 Vu Thi Hanh 3" xfId="9036"/>
    <cellStyle name="T_DSKH Tbay Milk , Yomilk CK 2 Vu Thi Hanh_CT 134" xfId="9037"/>
    <cellStyle name="T_DT Nha Da nang" xfId="9038"/>
    <cellStyle name="T_DT Nha Da nang 2" xfId="9039"/>
    <cellStyle name="T_DT Nha Da nang 3" xfId="9040"/>
    <cellStyle name="T_DT Nha Da nang_BIEU KE HOACH  2015 (KTN 6.11 sua)" xfId="9041"/>
    <cellStyle name="T_DT NHA KHACH -12" xfId="9042"/>
    <cellStyle name="T_DT NHA KHACH -12 2" xfId="9043"/>
    <cellStyle name="T_DT NHA KHACH -12 3" xfId="9044"/>
    <cellStyle name="T_DT NHA KHACH -12_BIEU KE HOACH  2015 (KTN 6.11 sua)" xfId="9045"/>
    <cellStyle name="T_DT tieu hoc diem TDC ban Cho 28-02-09" xfId="9054"/>
    <cellStyle name="T_DT tieu hoc diem TDC ban Cho 28-02-09 2" xfId="9055"/>
    <cellStyle name="T_DT tieu hoc diem TDC ban Cho 28-02-09 3" xfId="9056"/>
    <cellStyle name="T_DT tieu hoc diem TDC ban Cho 28-02-09_BIEU KE HOACH  2015 (KTN 6.11 sua)" xfId="9057"/>
    <cellStyle name="T_DT Thanh 2008.xls" xfId="9046"/>
    <cellStyle name="T_DT Thanh 2008.xls 2" xfId="9047"/>
    <cellStyle name="T_DT Thanh 2008.xls 3" xfId="9048"/>
    <cellStyle name="T_DT Thanh 2008.xls_CT 134" xfId="9049"/>
    <cellStyle name="T_DT Thanh 2008.xls_GVL" xfId="9050"/>
    <cellStyle name="T_DT Thanh 2008.xls_GVL 2" xfId="9051"/>
    <cellStyle name="T_DT Thanh 2008.xls_GVL 3" xfId="9052"/>
    <cellStyle name="T_DT Thanh 2008.xls_GVL_BIEU KE HOACH  2015 (KTN 6.11 sua)" xfId="9053"/>
    <cellStyle name="T_DT truong THPT  quyet thang tinh 04-3-09" xfId="9058"/>
    <cellStyle name="T_DT truong THPT  quyet thang tinh 04-3-09 2" xfId="9059"/>
    <cellStyle name="T_DT van ho" xfId="9060"/>
    <cellStyle name="T_DT van ho 2" xfId="9061"/>
    <cellStyle name="T_DT van ho 3" xfId="9062"/>
    <cellStyle name="T_DT van ho_CT 134" xfId="9063"/>
    <cellStyle name="T_DT van ho_GVL" xfId="9064"/>
    <cellStyle name="T_DT van ho_GVL 2" xfId="9065"/>
    <cellStyle name="T_DT van ho_GVL 3" xfId="9066"/>
    <cellStyle name="T_DT van ho_GVL_BIEU KE HOACH  2015 (KTN 6.11 sua)" xfId="9067"/>
    <cellStyle name="T_dtTL598G1." xfId="9068"/>
    <cellStyle name="T_dtTL598G1. 2" xfId="9069"/>
    <cellStyle name="T_dtTL598G1. 3" xfId="9070"/>
    <cellStyle name="T_dtTL598G1._BIEU KE HOACH  2015 (KTN 6.11 sua)" xfId="9071"/>
    <cellStyle name="T_dtTL598G1._bieu ke hoach dau thau" xfId="9072"/>
    <cellStyle name="T_dtTL598G1._bieu ke hoach dau thau 2" xfId="9073"/>
    <cellStyle name="T_dtTL598G1._bieu ke hoach dau thau 3" xfId="9074"/>
    <cellStyle name="T_dtTL598G1._bieu ke hoach dau thau truong mam non SKH" xfId="9075"/>
    <cellStyle name="T_dtTL598G1._bieu ke hoach dau thau truong mam non SKH 2" xfId="9076"/>
    <cellStyle name="T_dtTL598G1._bieu ke hoach dau thau truong mam non SKH 3" xfId="9077"/>
    <cellStyle name="T_dtTL598G1._bieu ke hoach dau thau truong mam non SKH_BIEU KE HOACH  2015 (KTN 6.11 sua)" xfId="9078"/>
    <cellStyle name="T_dtTL598G1._bieu ke hoach dau thau_BIEU KE HOACH  2015 (KTN 6.11 sua)" xfId="9079"/>
    <cellStyle name="T_dtTL598G1._bieu tong hop lai kh von 2011 gui phong TH-KTDN" xfId="9080"/>
    <cellStyle name="T_dtTL598G1._bieu tong hop lai kh von 2011 gui phong TH-KTDN 2" xfId="9081"/>
    <cellStyle name="T_dtTL598G1._bieu tong hop lai kh von 2011 gui phong TH-KTDN 3" xfId="9082"/>
    <cellStyle name="T_dtTL598G1._bieu tong hop lai kh von 2011 gui phong TH-KTDN_BIEU KE HOACH  2015 (KTN 6.11 sua)" xfId="9083"/>
    <cellStyle name="T_dtTL598G1._Book1" xfId="9084"/>
    <cellStyle name="T_dtTL598G1._Book1 2" xfId="9085"/>
    <cellStyle name="T_dtTL598G1._Book1 3" xfId="9086"/>
    <cellStyle name="T_dtTL598G1._Book1_BIEU KE HOACH  2015 (KTN 6.11 sua)" xfId="9087"/>
    <cellStyle name="T_dtTL598G1._Book1_Ke hoach 2010 (theo doi 11-8-2010)" xfId="9088"/>
    <cellStyle name="T_dtTL598G1._Book1_Ke hoach 2010 (theo doi 11-8-2010) 2" xfId="9089"/>
    <cellStyle name="T_dtTL598G1._Book1_Ke hoach 2010 (theo doi 11-8-2010) 3" xfId="9090"/>
    <cellStyle name="T_dtTL598G1._Book1_Ke hoach 2010 (theo doi 11-8-2010)_CT 134" xfId="9091"/>
    <cellStyle name="T_dtTL598G1._Copy of KH PHAN BO VON ĐỐI ỨNG NAM 2011 (30 TY phuong án gop WB)" xfId="9092"/>
    <cellStyle name="T_dtTL598G1._Copy of KH PHAN BO VON ĐỐI ỨNG NAM 2011 (30 TY phuong án gop WB) 2" xfId="9093"/>
    <cellStyle name="T_dtTL598G1._Copy of KH PHAN BO VON ĐỐI ỨNG NAM 2011 (30 TY phuong án gop WB) 3" xfId="9094"/>
    <cellStyle name="T_dtTL598G1._Copy of KH PHAN BO VON ĐỐI ỨNG NAM 2011 (30 TY phuong án gop WB)_BIEU KE HOACH  2015 (KTN 6.11 sua)" xfId="9095"/>
    <cellStyle name="T_dtTL598G1._DT tieu hoc diem TDC ban Cho 28-02-09" xfId="9096"/>
    <cellStyle name="T_dtTL598G1._DT tieu hoc diem TDC ban Cho 28-02-09 2" xfId="9097"/>
    <cellStyle name="T_dtTL598G1._DT tieu hoc diem TDC ban Cho 28-02-09 3" xfId="9098"/>
    <cellStyle name="T_dtTL598G1._DT tieu hoc diem TDC ban Cho 28-02-09_BIEU KE HOACH  2015 (KTN 6.11 sua)" xfId="9099"/>
    <cellStyle name="T_dtTL598G1._DTTD chieng chan Tham lai 29-9-2009" xfId="9100"/>
    <cellStyle name="T_dtTL598G1._DTTD chieng chan Tham lai 29-9-2009 2" xfId="9101"/>
    <cellStyle name="T_dtTL598G1._DTTD chieng chan Tham lai 29-9-2009 3" xfId="9102"/>
    <cellStyle name="T_dtTL598G1._DTTD chieng chan Tham lai 29-9-2009_BIEU KE HOACH  2015 (KTN 6.11 sua)" xfId="9103"/>
    <cellStyle name="T_dtTL598G1._GVL" xfId="9104"/>
    <cellStyle name="T_dtTL598G1._GVL 2" xfId="9105"/>
    <cellStyle name="T_dtTL598G1._GVL 3" xfId="9106"/>
    <cellStyle name="T_dtTL598G1._GVL_BIEU KE HOACH  2015 (KTN 6.11 sua)" xfId="9107"/>
    <cellStyle name="T_dtTL598G1._Ke hoach 2010 (theo doi 11-8-2010)" xfId="9108"/>
    <cellStyle name="T_dtTL598G1._Ke hoach 2010 (theo doi 11-8-2010) 2" xfId="9109"/>
    <cellStyle name="T_dtTL598G1._Ke hoach 2010 (theo doi 11-8-2010) 3" xfId="9110"/>
    <cellStyle name="T_dtTL598G1._Ke hoach 2010 (theo doi 11-8-2010)_BIEU KE HOACH  2015 (KTN 6.11 sua)" xfId="9111"/>
    <cellStyle name="T_dtTL598G1._ke hoach dau thau 30-6-2010" xfId="9112"/>
    <cellStyle name="T_dtTL598G1._ke hoach dau thau 30-6-2010 2" xfId="9113"/>
    <cellStyle name="T_dtTL598G1._ke hoach dau thau 30-6-2010 3" xfId="9114"/>
    <cellStyle name="T_dtTL598G1._ke hoach dau thau 30-6-2010_BIEU KE HOACH  2015 (KTN 6.11 sua)" xfId="9115"/>
    <cellStyle name="T_dtTL598G1._KH Von 2012 gui BKH 1" xfId="9116"/>
    <cellStyle name="T_dtTL598G1._KH Von 2012 gui BKH 1 2" xfId="9117"/>
    <cellStyle name="T_dtTL598G1._KH Von 2012 gui BKH 1 3" xfId="9118"/>
    <cellStyle name="T_dtTL598G1._KH Von 2012 gui BKH 1_BIEU KE HOACH  2015 (KTN 6.11 sua)" xfId="9119"/>
    <cellStyle name="T_dtTL598G1._QD ke hoach dau thau" xfId="9120"/>
    <cellStyle name="T_dtTL598G1._QD ke hoach dau thau 2" xfId="9121"/>
    <cellStyle name="T_dtTL598G1._QD ke hoach dau thau 3" xfId="9122"/>
    <cellStyle name="T_dtTL598G1._QD ke hoach dau thau_BIEU KE HOACH  2015 (KTN 6.11 sua)" xfId="9123"/>
    <cellStyle name="T_dtTL598G1._Tienluong" xfId="9124"/>
    <cellStyle name="T_dtTL598G1._Tienluong 2" xfId="9125"/>
    <cellStyle name="T_dtTL598G1._Tienluong 3" xfId="9126"/>
    <cellStyle name="T_dtTL598G1._Tienluong_BIEU KE HOACH  2015 (KTN 6.11 sua)" xfId="9127"/>
    <cellStyle name="T_dtTL598G1._tinh toan hoang ha" xfId="9128"/>
    <cellStyle name="T_dtTL598G1._tinh toan hoang ha 2" xfId="9129"/>
    <cellStyle name="T_dtTL598G1._tinh toan hoang ha 3" xfId="9130"/>
    <cellStyle name="T_dtTL598G1._tinh toan hoang ha_BIEU KE HOACH  2015 (KTN 6.11 sua)" xfId="9131"/>
    <cellStyle name="T_dtTL598G1._Tong von ĐTPT" xfId="9132"/>
    <cellStyle name="T_dtTL598G1._Tong von ĐTPT 2" xfId="9133"/>
    <cellStyle name="T_dtTL598G1._Tong von ĐTPT 3" xfId="9134"/>
    <cellStyle name="T_dtTL598G1._Tong von ĐTPT_BIEU KE HOACH  2015 (KTN 6.11 sua)" xfId="9135"/>
    <cellStyle name="T_Du an khoi cong moi nam 2010" xfId="9136"/>
    <cellStyle name="T_Du an khoi cong moi nam 2010 2" xfId="9137"/>
    <cellStyle name="T_Du an khoi cong moi nam 2010 3" xfId="9138"/>
    <cellStyle name="T_Du an khoi cong moi nam 2010_CT 134" xfId="9139"/>
    <cellStyle name="T_DU AN TKQH VA CHUAN BI DAU TU NAM 2007 sua ngay 9-11" xfId="9140"/>
    <cellStyle name="T_DU AN TKQH VA CHUAN BI DAU TU NAM 2007 sua ngay 9-11 2" xfId="9141"/>
    <cellStyle name="T_DU AN TKQH VA CHUAN BI DAU TU NAM 2007 sua ngay 9-11 3" xfId="9142"/>
    <cellStyle name="T_DU AN TKQH VA CHUAN BI DAU TU NAM 2007 sua ngay 9-11_Bieu mau danh muc du an thuoc CTMTQG nam 2008" xfId="9143"/>
    <cellStyle name="T_DU AN TKQH VA CHUAN BI DAU TU NAM 2007 sua ngay 9-11_Bieu mau danh muc du an thuoc CTMTQG nam 2008 2" xfId="9144"/>
    <cellStyle name="T_DU AN TKQH VA CHUAN BI DAU TU NAM 2007 sua ngay 9-11_Bieu mau danh muc du an thuoc CTMTQG nam 2008 3" xfId="9145"/>
    <cellStyle name="T_DU AN TKQH VA CHUAN BI DAU TU NAM 2007 sua ngay 9-11_Bieu mau danh muc du an thuoc CTMTQG nam 2008_CT 134" xfId="9146"/>
    <cellStyle name="T_DU AN TKQH VA CHUAN BI DAU TU NAM 2007 sua ngay 9-11_CT 134" xfId="9147"/>
    <cellStyle name="T_DU AN TKQH VA CHUAN BI DAU TU NAM 2007 sua ngay 9-11_Du an khoi cong moi nam 2010" xfId="9148"/>
    <cellStyle name="T_DU AN TKQH VA CHUAN BI DAU TU NAM 2007 sua ngay 9-11_Du an khoi cong moi nam 2010 2" xfId="9149"/>
    <cellStyle name="T_DU AN TKQH VA CHUAN BI DAU TU NAM 2007 sua ngay 9-11_Du an khoi cong moi nam 2010 3" xfId="9150"/>
    <cellStyle name="T_DU AN TKQH VA CHUAN BI DAU TU NAM 2007 sua ngay 9-11_Du an khoi cong moi nam 2010_CT 134" xfId="9151"/>
    <cellStyle name="T_DU AN TKQH VA CHUAN BI DAU TU NAM 2007 sua ngay 9-11_Ket qua phan bo von nam 2008" xfId="9152"/>
    <cellStyle name="T_DU AN TKQH VA CHUAN BI DAU TU NAM 2007 sua ngay 9-11_Ket qua phan bo von nam 2008 2" xfId="9153"/>
    <cellStyle name="T_DU AN TKQH VA CHUAN BI DAU TU NAM 2007 sua ngay 9-11_Ket qua phan bo von nam 2008 3" xfId="9154"/>
    <cellStyle name="T_DU AN TKQH VA CHUAN BI DAU TU NAM 2007 sua ngay 9-11_Ket qua phan bo von nam 2008_CT 134" xfId="9155"/>
    <cellStyle name="T_DU AN TKQH VA CHUAN BI DAU TU NAM 2007 sua ngay 9-11_KH XDCB_2008 lan 2 sua ngay 10-11" xfId="9156"/>
    <cellStyle name="T_DU AN TKQH VA CHUAN BI DAU TU NAM 2007 sua ngay 9-11_KH XDCB_2008 lan 2 sua ngay 10-11 2" xfId="9157"/>
    <cellStyle name="T_DU AN TKQH VA CHUAN BI DAU TU NAM 2007 sua ngay 9-11_KH XDCB_2008 lan 2 sua ngay 10-11 3" xfId="9158"/>
    <cellStyle name="T_DU AN TKQH VA CHUAN BI DAU TU NAM 2007 sua ngay 9-11_KH XDCB_2008 lan 2 sua ngay 10-11_CT 134" xfId="9159"/>
    <cellStyle name="T_Du toan" xfId="9162"/>
    <cellStyle name="T_Du toan 2" xfId="9163"/>
    <cellStyle name="T_Du toan 3" xfId="9164"/>
    <cellStyle name="T_du toan dieu chinh  20-8-2006" xfId="9166"/>
    <cellStyle name="T_du toan dieu chinh  20-8-2006 2" xfId="9167"/>
    <cellStyle name="T_du toan dieu chinh  20-8-2006 3" xfId="9168"/>
    <cellStyle name="T_du toan dieu chinh  20-8-2006_BIEU KE HOACH  2015 (KTN 6.11 sua)" xfId="9169"/>
    <cellStyle name="T_du toan kho bac - Than Uyen" xfId="9170"/>
    <cellStyle name="T_du toan kho bac - Than Uyen 2" xfId="9171"/>
    <cellStyle name="T_du toan kho bac - Than Uyen_Bieu chi tieu KH 2014 (Huy-04-11)" xfId="9172"/>
    <cellStyle name="T_du toan kho bac - Than Uyen_Bieu chi tieu KH 2014 (Huy-04-11) 2" xfId="9173"/>
    <cellStyle name="T_du toan kho bac - Than Uyen_bieu ke hoach dau thau" xfId="9174"/>
    <cellStyle name="T_du toan kho bac - Than Uyen_bieu ke hoach dau thau 2" xfId="9175"/>
    <cellStyle name="T_du toan kho bac - Than Uyen_bieu ke hoach dau thau 3" xfId="9176"/>
    <cellStyle name="T_du toan kho bac - Than Uyen_bieu ke hoach dau thau truong mam non SKH" xfId="9177"/>
    <cellStyle name="T_du toan kho bac - Than Uyen_bieu ke hoach dau thau truong mam non SKH 2" xfId="9178"/>
    <cellStyle name="T_du toan kho bac - Than Uyen_bieu ke hoach dau thau truong mam non SKH 3" xfId="9179"/>
    <cellStyle name="T_du toan kho bac - Than Uyen_bieu ke hoach dau thau truong mam non SKH_BIEU KE HOACH  2015 (KTN 6.11 sua)" xfId="9180"/>
    <cellStyle name="T_du toan kho bac - Than Uyen_bieu ke hoach dau thau_BIEU KE HOACH  2015 (KTN 6.11 sua)" xfId="9181"/>
    <cellStyle name="T_du toan kho bac - Than Uyen_bieu tong hop lai kh von 2011 gui phong TH-KTDN" xfId="9182"/>
    <cellStyle name="T_du toan kho bac - Than Uyen_bieu tong hop lai kh von 2011 gui phong TH-KTDN 2" xfId="9183"/>
    <cellStyle name="T_du toan kho bac - Than Uyen_bieu tong hop lai kh von 2011 gui phong TH-KTDN 3" xfId="9184"/>
    <cellStyle name="T_du toan kho bac - Than Uyen_bieu tong hop lai kh von 2011 gui phong TH-KTDN_BIEU KE HOACH  2015 (KTN 6.11 sua)" xfId="9185"/>
    <cellStyle name="T_du toan kho bac - Than Uyen_Book1" xfId="9186"/>
    <cellStyle name="T_du toan kho bac - Than Uyen_Book1 2" xfId="9187"/>
    <cellStyle name="T_du toan kho bac - Than Uyen_Book1 3" xfId="9188"/>
    <cellStyle name="T_du toan kho bac - Than Uyen_Book1_BIEU KE HOACH  2015 (KTN 6.11 sua)" xfId="9189"/>
    <cellStyle name="T_du toan kho bac - Than Uyen_Book1_Ke hoach 2010 (theo doi 11-8-2010)" xfId="9190"/>
    <cellStyle name="T_du toan kho bac - Than Uyen_Book1_Ke hoach 2010 (theo doi 11-8-2010) 2" xfId="9191"/>
    <cellStyle name="T_du toan kho bac - Than Uyen_Book1_Ke hoach 2010 (theo doi 11-8-2010) 3" xfId="9192"/>
    <cellStyle name="T_du toan kho bac - Than Uyen_Book1_Ke hoach 2010 (theo doi 11-8-2010)_BIEU KE HOACH  2015 (KTN 6.11 sua)" xfId="9193"/>
    <cellStyle name="T_du toan kho bac - Than Uyen_Book1_ke hoach dau thau 30-6-2010" xfId="9194"/>
    <cellStyle name="T_du toan kho bac - Than Uyen_Book1_ke hoach dau thau 30-6-2010 2" xfId="9195"/>
    <cellStyle name="T_du toan kho bac - Than Uyen_Book1_ke hoach dau thau 30-6-2010 3" xfId="9196"/>
    <cellStyle name="T_du toan kho bac - Than Uyen_Book1_ke hoach dau thau 30-6-2010_BIEU KE HOACH  2015 (KTN 6.11 sua)" xfId="9197"/>
    <cellStyle name="T_du toan kho bac - Than Uyen_Copy of KH PHAN BO VON ĐỐI ỨNG NAM 2011 (30 TY phuong án gop WB)" xfId="9198"/>
    <cellStyle name="T_du toan kho bac - Than Uyen_Copy of KH PHAN BO VON ĐỐI ỨNG NAM 2011 (30 TY phuong án gop WB) 2" xfId="9199"/>
    <cellStyle name="T_du toan kho bac - Than Uyen_Copy of KH PHAN BO VON ĐỐI ỨNG NAM 2011 (30 TY phuong án gop WB) 3" xfId="9200"/>
    <cellStyle name="T_du toan kho bac - Than Uyen_Copy of KH PHAN BO VON ĐỐI ỨNG NAM 2011 (30 TY phuong án gop WB)_BIEU KE HOACH  2015 (KTN 6.11 sua)" xfId="9201"/>
    <cellStyle name="T_du toan kho bac - Than Uyen_DTTD chieng chan Tham lai 29-9-2009" xfId="9202"/>
    <cellStyle name="T_du toan kho bac - Than Uyen_DTTD chieng chan Tham lai 29-9-2009 2" xfId="9203"/>
    <cellStyle name="T_du toan kho bac - Than Uyen_DTTD chieng chan Tham lai 29-9-2009 3" xfId="9204"/>
    <cellStyle name="T_du toan kho bac - Than Uyen_DTTD chieng chan Tham lai 29-9-2009_BIEU KE HOACH  2015 (KTN 6.11 sua)" xfId="9205"/>
    <cellStyle name="T_du toan kho bac - Than Uyen_Du toan nuoc San Thang (GD2)" xfId="9207"/>
    <cellStyle name="T_du toan kho bac - Than Uyen_Du toan nuoc San Thang (GD2) 2" xfId="9208"/>
    <cellStyle name="T_du toan kho bac - Than Uyen_Du toan nuoc San Thang (GD2) 3" xfId="9209"/>
    <cellStyle name="T_du toan kho bac - Than Uyen_Du toan nuoc San Thang (GD2)_BIEU KE HOACH  2015 (KTN 6.11 sua)" xfId="9210"/>
    <cellStyle name="T_du toan kho bac - Than Uyen_dự toán 30a 2013" xfId="9206"/>
    <cellStyle name="T_du toan kho bac - Than Uyen_Ke hoach 2010 (theo doi 11-8-2010)" xfId="9211"/>
    <cellStyle name="T_du toan kho bac - Than Uyen_Ke hoach 2010 (theo doi 11-8-2010) 2" xfId="9212"/>
    <cellStyle name="T_du toan kho bac - Than Uyen_Ke hoach 2010 (theo doi 11-8-2010) 3" xfId="9213"/>
    <cellStyle name="T_du toan kho bac - Than Uyen_Ke hoach 2010 (theo doi 11-8-2010)_BIEU KE HOACH  2015 (KTN 6.11 sua)" xfId="9214"/>
    <cellStyle name="T_du toan kho bac - Than Uyen_ke hoach dau thau 30-6-2010" xfId="9215"/>
    <cellStyle name="T_du toan kho bac - Than Uyen_ke hoach dau thau 30-6-2010 2" xfId="9216"/>
    <cellStyle name="T_du toan kho bac - Than Uyen_ke hoach dau thau 30-6-2010 3" xfId="9217"/>
    <cellStyle name="T_du toan kho bac - Than Uyen_ke hoach dau thau 30-6-2010_BIEU KE HOACH  2015 (KTN 6.11 sua)" xfId="9218"/>
    <cellStyle name="T_du toan kho bac - Than Uyen_KH Von 2012 gui BKH 1" xfId="9219"/>
    <cellStyle name="T_du toan kho bac - Than Uyen_KH Von 2012 gui BKH 1 2" xfId="9220"/>
    <cellStyle name="T_du toan kho bac - Than Uyen_KH Von 2012 gui BKH 1 3" xfId="9221"/>
    <cellStyle name="T_du toan kho bac - Than Uyen_KH Von 2012 gui BKH 1_BIEU KE HOACH  2015 (KTN 6.11 sua)" xfId="9222"/>
    <cellStyle name="T_du toan kho bac - Than Uyen_QD ke hoach dau thau" xfId="9223"/>
    <cellStyle name="T_du toan kho bac - Than Uyen_QD ke hoach dau thau 2" xfId="9224"/>
    <cellStyle name="T_du toan kho bac - Than Uyen_QD ke hoach dau thau 3" xfId="9225"/>
    <cellStyle name="T_du toan kho bac - Than Uyen_QD ke hoach dau thau_BIEU KE HOACH  2015 (KTN 6.11 sua)" xfId="9226"/>
    <cellStyle name="T_du toan kho bac - Than Uyen_Ra soat KH von 2011 (Huy-11-11-11)" xfId="9227"/>
    <cellStyle name="T_du toan kho bac - Than Uyen_Ra soat KH von 2011 (Huy-11-11-11) 2" xfId="9228"/>
    <cellStyle name="T_du toan kho bac - Than Uyen_Ra soat KH von 2011 (Huy-11-11-11) 3" xfId="9229"/>
    <cellStyle name="T_du toan kho bac - Than Uyen_Ra soat KH von 2011 (Huy-11-11-11)_BIEU KE HOACH  2015 (KTN 6.11 sua)" xfId="9230"/>
    <cellStyle name="T_du toan kho bac - Than Uyen_tinh toan hoang ha" xfId="9231"/>
    <cellStyle name="T_du toan kho bac - Than Uyen_tinh toan hoang ha 2" xfId="9232"/>
    <cellStyle name="T_du toan kho bac - Than Uyen_tinh toan hoang ha 3" xfId="9233"/>
    <cellStyle name="T_du toan kho bac - Than Uyen_tinh toan hoang ha_BIEU KE HOACH  2015 (KTN 6.11 sua)" xfId="9234"/>
    <cellStyle name="T_du toan kho bac - Than Uyen_Tong von ĐTPT" xfId="9235"/>
    <cellStyle name="T_du toan kho bac - Than Uyen_Tong von ĐTPT 2" xfId="9236"/>
    <cellStyle name="T_du toan kho bac - Than Uyen_Tong von ĐTPT 3" xfId="9237"/>
    <cellStyle name="T_du toan kho bac - Than Uyen_Tong von ĐTPT_BIEU KE HOACH  2015 (KTN 6.11 sua)" xfId="9238"/>
    <cellStyle name="T_du toan kho bac - Than Uyen_Viec Huy dang lam" xfId="9239"/>
    <cellStyle name="T_du toan kho bac - Than Uyen_Viec Huy dang lam_CT 134" xfId="9240"/>
    <cellStyle name="T_Du toan nuoc San Thang (GD2)" xfId="9241"/>
    <cellStyle name="T_Du toan nuoc San Thang (GD2) 2" xfId="9242"/>
    <cellStyle name="T_Du toan nuoc San Thang (GD2) 3" xfId="9243"/>
    <cellStyle name="T_Du toan nuoc San Thang (GD2)_BIEU KE HOACH  2015 (KTN 6.11 sua)" xfId="9244"/>
    <cellStyle name="T_Du toan tham dinh (NSH Ban Moi)" xfId="9245"/>
    <cellStyle name="T_Du toan tham dinh (NSH Ban Moi) 2" xfId="9246"/>
    <cellStyle name="T_Du toan tham dinh (NSH Ban Moi) 3" xfId="9247"/>
    <cellStyle name="T_Du toan tham dinh (NSH Ban Moi)_CT 134" xfId="9248"/>
    <cellStyle name="T_Du toan tham dinh (NSH Ban Moi)_GVL" xfId="9249"/>
    <cellStyle name="T_Du toan tham dinh (NSH Ban Moi)_GVL 2" xfId="9250"/>
    <cellStyle name="T_Du toan tham dinh (NSH Ban Moi)_GVL 3" xfId="9251"/>
    <cellStyle name="T_Du toan tham dinh (NSH Ban Moi)_GVL_BIEU KE HOACH  2015 (KTN 6.11 sua)" xfId="9252"/>
    <cellStyle name="T_Du toan_BIEU KE HOACH  2015 (KTN 6.11 sua)" xfId="9253"/>
    <cellStyle name="T_DU THAO BCKT LChâu" xfId="9161"/>
    <cellStyle name="T_DuToan92009Luong650" xfId="9254"/>
    <cellStyle name="T_DuToan92009Luong650 2" xfId="9255"/>
    <cellStyle name="T_DuToan92009Luong650 3" xfId="9256"/>
    <cellStyle name="T_DuToan92009Luong650_CT 134" xfId="9257"/>
    <cellStyle name="T_dutoanthuyloinamha" xfId="9258"/>
    <cellStyle name="T_dutoanthuyloinamha 2" xfId="9259"/>
    <cellStyle name="T_dutoanthuyloinamha 3" xfId="9260"/>
    <cellStyle name="T_dutoanthuyloinamha_BIEU KE HOACH  2015 (KTN 6.11 sua)" xfId="9261"/>
    <cellStyle name="T_Dự kiến danh mục đầu tư NTM năm 2015" xfId="9160"/>
    <cellStyle name="T_dự toán 30a 2013" xfId="9165"/>
    <cellStyle name="T_form ton kho CK 2 tuan 8" xfId="9262"/>
    <cellStyle name="T_form ton kho CK 2 tuan 8 2" xfId="9263"/>
    <cellStyle name="T_form ton kho CK 2 tuan 8 3" xfId="9264"/>
    <cellStyle name="T_form ton kho CK 2 tuan 8_CT 134" xfId="9265"/>
    <cellStyle name="T_Gui Phai TTra TRUONG PTTH Ka Lang Hieu bo+Phu 17-8-09-" xfId="9266"/>
    <cellStyle name="T_Gui Phai TTra TRUONG PTTH Ka Lang Hieu bo+Phu 17-8-09- 2" xfId="9267"/>
    <cellStyle name="T_GVL" xfId="9268"/>
    <cellStyle name="T_GVL 2" xfId="9269"/>
    <cellStyle name="T_GVL 3" xfId="9270"/>
    <cellStyle name="T_GVL_BIEU KE HOACH  2015 (KTN 6.11 sua)" xfId="9271"/>
    <cellStyle name="T_HD TT1" xfId="9272"/>
    <cellStyle name="T_HD TT1 2" xfId="9273"/>
    <cellStyle name="T_HD TT1 3" xfId="9274"/>
    <cellStyle name="T_HD TT1_BIEU KE HOACH  2015 (KTN 6.11 sua)" xfId="9275"/>
    <cellStyle name="T_Ho van xa khi" xfId="9276"/>
    <cellStyle name="T_Ho van xa khi 2" xfId="9277"/>
    <cellStyle name="T_Ho van xa khi 3" xfId="9278"/>
    <cellStyle name="T_Ho van xa khi_BIEU KE HOACH  2015 (KTN 6.11 sua)" xfId="9279"/>
    <cellStyle name="T_Ho van xa khi_bieu ke hoach dau thau" xfId="9280"/>
    <cellStyle name="T_Ho van xa khi_bieu ke hoach dau thau 2" xfId="9281"/>
    <cellStyle name="T_Ho van xa khi_bieu ke hoach dau thau 3" xfId="9282"/>
    <cellStyle name="T_Ho van xa khi_bieu ke hoach dau thau truong mam non SKH" xfId="9283"/>
    <cellStyle name="T_Ho van xa khi_bieu ke hoach dau thau truong mam non SKH 2" xfId="9284"/>
    <cellStyle name="T_Ho van xa khi_bieu ke hoach dau thau truong mam non SKH 3" xfId="9285"/>
    <cellStyle name="T_Ho van xa khi_bieu ke hoach dau thau truong mam non SKH_BIEU KE HOACH  2015 (KTN 6.11 sua)" xfId="9286"/>
    <cellStyle name="T_Ho van xa khi_bieu ke hoach dau thau_BIEU KE HOACH  2015 (KTN 6.11 sua)" xfId="9287"/>
    <cellStyle name="T_Ho van xa khi_Book1" xfId="9288"/>
    <cellStyle name="T_Ho van xa khi_Book1 2" xfId="9289"/>
    <cellStyle name="T_Ho van xa khi_Book1 3" xfId="9290"/>
    <cellStyle name="T_Ho van xa khi_Book1_BIEU KE HOACH  2015 (KTN 6.11 sua)" xfId="9291"/>
    <cellStyle name="T_Ho van xa khi_DTTD chieng chan Tham lai 29-9-2009" xfId="9292"/>
    <cellStyle name="T_Ho van xa khi_DTTD chieng chan Tham lai 29-9-2009 2" xfId="9293"/>
    <cellStyle name="T_Ho van xa khi_DTTD chieng chan Tham lai 29-9-2009 3" xfId="9294"/>
    <cellStyle name="T_Ho van xa khi_DTTD chieng chan Tham lai 29-9-2009_BIEU KE HOACH  2015 (KTN 6.11 sua)" xfId="9295"/>
    <cellStyle name="T_Ho van xa khi_Ke hoach 2010 (theo doi 11-8-2010)" xfId="9296"/>
    <cellStyle name="T_Ho van xa khi_Ke hoach 2010 (theo doi 11-8-2010) 2" xfId="9297"/>
    <cellStyle name="T_Ho van xa khi_Ke hoach 2010 (theo doi 11-8-2010) 3" xfId="9298"/>
    <cellStyle name="T_Ho van xa khi_Ke hoach 2010 (theo doi 11-8-2010)_BIEU KE HOACH  2015 (KTN 6.11 sua)" xfId="9299"/>
    <cellStyle name="T_Ho van xa khi_ke hoach dau thau 30-6-2010" xfId="9300"/>
    <cellStyle name="T_Ho van xa khi_ke hoach dau thau 30-6-2010 2" xfId="9301"/>
    <cellStyle name="T_Ho van xa khi_ke hoach dau thau 30-6-2010 3" xfId="9302"/>
    <cellStyle name="T_Ho van xa khi_ke hoach dau thau 30-6-2010_BIEU KE HOACH  2015 (KTN 6.11 sua)" xfId="9303"/>
    <cellStyle name="T_Ho van xa khi_QD ke hoach dau thau" xfId="9304"/>
    <cellStyle name="T_Ho van xa khi_QD ke hoach dau thau 2" xfId="9305"/>
    <cellStyle name="T_Ho van xa khi_QD ke hoach dau thau 3" xfId="9306"/>
    <cellStyle name="T_Ho van xa khi_QD ke hoach dau thau_BIEU KE HOACH  2015 (KTN 6.11 sua)" xfId="9307"/>
    <cellStyle name="T_Ho van xa khi_tinh toan hoang ha" xfId="9308"/>
    <cellStyle name="T_Ho van xa khi_tinh toan hoang ha 2" xfId="9309"/>
    <cellStyle name="T_Ho van xa khi_tinh toan hoang ha 3" xfId="9310"/>
    <cellStyle name="T_Ho van xa khi_tinh toan hoang ha_BIEU KE HOACH  2015 (KTN 6.11 sua)" xfId="9311"/>
    <cellStyle name="T_HoSo_THCS_T91.xlsDTNT" xfId="9312"/>
    <cellStyle name="T_HoSo_THCS_T91.xlsDTNT 2" xfId="9313"/>
    <cellStyle name="T_HoSo_THCS_T91.xlsDTNT 3" xfId="9314"/>
    <cellStyle name="T_HoSo_THCS_T91.xlsDTNT_BIEU KE HOACH  2015 (KTN 6.11 sua)" xfId="9315"/>
    <cellStyle name="T_hothamdinh" xfId="9316"/>
    <cellStyle name="T_hothamdinh 2" xfId="9317"/>
    <cellStyle name="T_Ht-PTq1-03" xfId="9318"/>
    <cellStyle name="T_Ke hoach KTXH  nam 2009_PKT thang 11 nam 2008" xfId="9319"/>
    <cellStyle name="T_Ke hoach KTXH  nam 2009_PKT thang 11 nam 2008 2" xfId="9320"/>
    <cellStyle name="T_Ke hoach KTXH  nam 2009_PKT thang 11 nam 2008 3" xfId="9321"/>
    <cellStyle name="T_Ke hoach KTXH  nam 2009_PKT thang 11 nam 2008_CT 134" xfId="9322"/>
    <cellStyle name="T_Ke khai di Thanh Hoa" xfId="9323"/>
    <cellStyle name="T_Ket qua dau thau" xfId="9324"/>
    <cellStyle name="T_Ket qua dau thau 2" xfId="9325"/>
    <cellStyle name="T_Ket qua dau thau 3" xfId="9326"/>
    <cellStyle name="T_Ket qua dau thau_CT 134" xfId="9327"/>
    <cellStyle name="T_Ket qua phan bo von nam 2008" xfId="9328"/>
    <cellStyle name="T_Ket qua phan bo von nam 2008 2" xfId="9329"/>
    <cellStyle name="T_Ket qua phan bo von nam 2008 3" xfId="9330"/>
    <cellStyle name="T_Ket qua phan bo von nam 2008_CT 134" xfId="9331"/>
    <cellStyle name="T_KL san nen Phieng Ot" xfId="9444"/>
    <cellStyle name="T_KL san nen Phieng Ot 2" xfId="9445"/>
    <cellStyle name="T_KL san nen Phieng Ot 3" xfId="9446"/>
    <cellStyle name="T_KL san nen Phieng Ot_BIEU KE HOACH  2015 (KTN 6.11 sua)" xfId="9447"/>
    <cellStyle name="T_Kldao dap" xfId="9448"/>
    <cellStyle name="T_Kldao dap 2" xfId="9449"/>
    <cellStyle name="T_Kldao dap 3" xfId="9450"/>
    <cellStyle name="T_Kldao dap_Bao cao TPCP" xfId="9451"/>
    <cellStyle name="T_Kldao dap_Bao cao TPCP 2" xfId="9452"/>
    <cellStyle name="T_Kldao dap_Bao cao TPCP 3" xfId="9453"/>
    <cellStyle name="T_Kldao dap_Bao cao TPCP_BIEU KE HOACH  2015 (KTN 6.11 sua)" xfId="9454"/>
    <cellStyle name="T_Kldao dap_BIEU KE HOACH  2015 (KTN 6.11 sua)" xfId="9455"/>
    <cellStyle name="T_Kldao dap_Book1" xfId="9456"/>
    <cellStyle name="T_Kldao dap_Book1 2" xfId="9457"/>
    <cellStyle name="T_Kldao dap_Book1 3" xfId="9458"/>
    <cellStyle name="T_Kldao dap_Book1_Bao cao TPCP" xfId="9459"/>
    <cellStyle name="T_Kldao dap_Book1_Bao cao TPCP 2" xfId="9460"/>
    <cellStyle name="T_Kldao dap_Book1_Bao cao TPCP 3" xfId="9461"/>
    <cellStyle name="T_Kldao dap_Book1_Bao cao TPCP_CT 134" xfId="9462"/>
    <cellStyle name="T_Kldao dap_Book1_BIEU KE HOACH  2015 (KTN 6.11 sua)" xfId="9463"/>
    <cellStyle name="T_Kldao dap_GVL" xfId="9464"/>
    <cellStyle name="T_Kldao dap_GVL 2" xfId="9465"/>
    <cellStyle name="T_Kldao dap_GVL 3" xfId="9466"/>
    <cellStyle name="T_Kldao dap_GVL_BIEU KE HOACH  2015 (KTN 6.11 sua)" xfId="9467"/>
    <cellStyle name="T_Kldao dap_Ke hoach 2010 (theo doi 11-8-2010)" xfId="9468"/>
    <cellStyle name="T_Kldao dap_Ke hoach 2010 (theo doi 11-8-2010) 2" xfId="9469"/>
    <cellStyle name="T_Kldao dap_Ke hoach 2010 (theo doi 11-8-2010) 3" xfId="9470"/>
    <cellStyle name="T_Kldao dap_Ke hoach 2010 (theo doi 11-8-2010)_CT 134" xfId="9471"/>
    <cellStyle name="T_KTOANKSAT" xfId="9472"/>
    <cellStyle name="T_KTOANKSAT 2" xfId="9473"/>
    <cellStyle name="T_KTOANKSAT 3" xfId="9474"/>
    <cellStyle name="T_KTOANKSAT_BIEU KE HOACH  2015 (KTN 6.11 sua)" xfId="9475"/>
    <cellStyle name="T_KH Von 2012 gui BKH 2" xfId="9332"/>
    <cellStyle name="T_KH Von 2012 gui BKH 2 2" xfId="9333"/>
    <cellStyle name="T_KH Von 2012 gui BKH 2 3" xfId="9334"/>
    <cellStyle name="T_KH Von 2012 gui BKH 2_BIEU KE HOACH  2015 (KTN 6.11 sua)" xfId="9335"/>
    <cellStyle name="T_KH XDCB_2008 lan 2 sua ngay 10-11" xfId="9336"/>
    <cellStyle name="T_KH XDCB_2008 lan 2 sua ngay 10-11 2" xfId="9337"/>
    <cellStyle name="T_KH XDCB_2008 lan 2 sua ngay 10-11 3" xfId="9338"/>
    <cellStyle name="T_KH XDCB_2008 lan 2 sua ngay 10-11_CT 134" xfId="9339"/>
    <cellStyle name="T_Khao satD1" xfId="9340"/>
    <cellStyle name="T_Khao satD1 2" xfId="9341"/>
    <cellStyle name="T_Khao satD1 3" xfId="9342"/>
    <cellStyle name="T_Khao satD1_BIEU KE HOACH  2015 (KTN 6.11 sua)" xfId="9343"/>
    <cellStyle name="T_Khao satD1_bieu ke hoach dau thau" xfId="9344"/>
    <cellStyle name="T_Khao satD1_bieu ke hoach dau thau 2" xfId="9345"/>
    <cellStyle name="T_Khao satD1_bieu ke hoach dau thau 3" xfId="9346"/>
    <cellStyle name="T_Khao satD1_bieu ke hoach dau thau truong mam non SKH" xfId="9347"/>
    <cellStyle name="T_Khao satD1_bieu ke hoach dau thau truong mam non SKH 2" xfId="9348"/>
    <cellStyle name="T_Khao satD1_bieu ke hoach dau thau truong mam non SKH 3" xfId="9349"/>
    <cellStyle name="T_Khao satD1_bieu ke hoach dau thau truong mam non SKH_BIEU KE HOACH  2015 (KTN 6.11 sua)" xfId="9350"/>
    <cellStyle name="T_Khao satD1_bieu ke hoach dau thau_BIEU KE HOACH  2015 (KTN 6.11 sua)" xfId="9351"/>
    <cellStyle name="T_Khao satD1_bieu tong hop lai kh von 2011 gui phong TH-KTDN" xfId="9352"/>
    <cellStyle name="T_Khao satD1_bieu tong hop lai kh von 2011 gui phong TH-KTDN 2" xfId="9353"/>
    <cellStyle name="T_Khao satD1_bieu tong hop lai kh von 2011 gui phong TH-KTDN 3" xfId="9354"/>
    <cellStyle name="T_Khao satD1_bieu tong hop lai kh von 2011 gui phong TH-KTDN_BIEU KE HOACH  2015 (KTN 6.11 sua)" xfId="9355"/>
    <cellStyle name="T_Khao satD1_Book1" xfId="9356"/>
    <cellStyle name="T_Khao satD1_Book1 2" xfId="9357"/>
    <cellStyle name="T_Khao satD1_Book1 3" xfId="9358"/>
    <cellStyle name="T_Khao satD1_Book1_BIEU KE HOACH  2015 (KTN 6.11 sua)" xfId="9359"/>
    <cellStyle name="T_Khao satD1_Book1_Ke hoach 2010 (theo doi 11-8-2010)" xfId="9360"/>
    <cellStyle name="T_Khao satD1_Book1_Ke hoach 2010 (theo doi 11-8-2010) 2" xfId="9361"/>
    <cellStyle name="T_Khao satD1_Book1_Ke hoach 2010 (theo doi 11-8-2010) 3" xfId="9362"/>
    <cellStyle name="T_Khao satD1_Book1_Ke hoach 2010 (theo doi 11-8-2010)_CT 134" xfId="9363"/>
    <cellStyle name="T_Khao satD1_Copy of KH PHAN BO VON ĐỐI ỨNG NAM 2011 (30 TY phuong án gop WB)" xfId="9364"/>
    <cellStyle name="T_Khao satD1_Copy of KH PHAN BO VON ĐỐI ỨNG NAM 2011 (30 TY phuong án gop WB) 2" xfId="9365"/>
    <cellStyle name="T_Khao satD1_Copy of KH PHAN BO VON ĐỐI ỨNG NAM 2011 (30 TY phuong án gop WB) 3" xfId="9366"/>
    <cellStyle name="T_Khao satD1_Copy of KH PHAN BO VON ĐỐI ỨNG NAM 2011 (30 TY phuong án gop WB)_BIEU KE HOACH  2015 (KTN 6.11 sua)" xfId="9367"/>
    <cellStyle name="T_Khao satD1_DT tieu hoc diem TDC ban Cho 28-02-09" xfId="9368"/>
    <cellStyle name="T_Khao satD1_DT tieu hoc diem TDC ban Cho 28-02-09 2" xfId="9369"/>
    <cellStyle name="T_Khao satD1_DT tieu hoc diem TDC ban Cho 28-02-09 3" xfId="9370"/>
    <cellStyle name="T_Khao satD1_DT tieu hoc diem TDC ban Cho 28-02-09_BIEU KE HOACH  2015 (KTN 6.11 sua)" xfId="9371"/>
    <cellStyle name="T_Khao satD1_DTTD chieng chan Tham lai 29-9-2009" xfId="9372"/>
    <cellStyle name="T_Khao satD1_DTTD chieng chan Tham lai 29-9-2009 2" xfId="9373"/>
    <cellStyle name="T_Khao satD1_DTTD chieng chan Tham lai 29-9-2009 3" xfId="9374"/>
    <cellStyle name="T_Khao satD1_DTTD chieng chan Tham lai 29-9-2009_BIEU KE HOACH  2015 (KTN 6.11 sua)" xfId="9375"/>
    <cellStyle name="T_Khao satD1_GVL" xfId="9376"/>
    <cellStyle name="T_Khao satD1_GVL 2" xfId="9377"/>
    <cellStyle name="T_Khao satD1_GVL 3" xfId="9378"/>
    <cellStyle name="T_Khao satD1_GVL_BIEU KE HOACH  2015 (KTN 6.11 sua)" xfId="9379"/>
    <cellStyle name="T_Khao satD1_Ke hoach 2010 (theo doi 11-8-2010)" xfId="9380"/>
    <cellStyle name="T_Khao satD1_Ke hoach 2010 (theo doi 11-8-2010) 2" xfId="9381"/>
    <cellStyle name="T_Khao satD1_Ke hoach 2010 (theo doi 11-8-2010) 3" xfId="9382"/>
    <cellStyle name="T_Khao satD1_Ke hoach 2010 (theo doi 11-8-2010)_BIEU KE HOACH  2015 (KTN 6.11 sua)" xfId="9383"/>
    <cellStyle name="T_Khao satD1_ke hoach dau thau 30-6-2010" xfId="9384"/>
    <cellStyle name="T_Khao satD1_ke hoach dau thau 30-6-2010 2" xfId="9385"/>
    <cellStyle name="T_Khao satD1_ke hoach dau thau 30-6-2010 3" xfId="9386"/>
    <cellStyle name="T_Khao satD1_ke hoach dau thau 30-6-2010_BIEU KE HOACH  2015 (KTN 6.11 sua)" xfId="9387"/>
    <cellStyle name="T_Khao satD1_KH Von 2012 gui BKH 1" xfId="9388"/>
    <cellStyle name="T_Khao satD1_KH Von 2012 gui BKH 1 2" xfId="9389"/>
    <cellStyle name="T_Khao satD1_KH Von 2012 gui BKH 1 3" xfId="9390"/>
    <cellStyle name="T_Khao satD1_KH Von 2012 gui BKH 1_BIEU KE HOACH  2015 (KTN 6.11 sua)" xfId="9391"/>
    <cellStyle name="T_Khao satD1_QD ke hoach dau thau" xfId="9392"/>
    <cellStyle name="T_Khao satD1_QD ke hoach dau thau 2" xfId="9393"/>
    <cellStyle name="T_Khao satD1_QD ke hoach dau thau 3" xfId="9394"/>
    <cellStyle name="T_Khao satD1_QD ke hoach dau thau_BIEU KE HOACH  2015 (KTN 6.11 sua)" xfId="9395"/>
    <cellStyle name="T_Khao satD1_Tienluong" xfId="9396"/>
    <cellStyle name="T_Khao satD1_Tienluong 2" xfId="9397"/>
    <cellStyle name="T_Khao satD1_Tienluong 3" xfId="9398"/>
    <cellStyle name="T_Khao satD1_Tienluong_BIEU KE HOACH  2015 (KTN 6.11 sua)" xfId="9399"/>
    <cellStyle name="T_Khao satD1_tinh toan hoang ha" xfId="9400"/>
    <cellStyle name="T_Khao satD1_tinh toan hoang ha 2" xfId="9401"/>
    <cellStyle name="T_Khao satD1_tinh toan hoang ha 3" xfId="9402"/>
    <cellStyle name="T_Khao satD1_tinh toan hoang ha_BIEU KE HOACH  2015 (KTN 6.11 sua)" xfId="9403"/>
    <cellStyle name="T_Khao satD1_Tong von ĐTPT" xfId="9404"/>
    <cellStyle name="T_Khao satD1_Tong von ĐTPT 2" xfId="9405"/>
    <cellStyle name="T_Khao satD1_Tong von ĐTPT 3" xfId="9406"/>
    <cellStyle name="T_Khao satD1_Tong von ĐTPT_BIEU KE HOACH  2015 (KTN 6.11 sua)" xfId="9407"/>
    <cellStyle name="T_Khoi luong §­êng èng" xfId="9408"/>
    <cellStyle name="T_Khoi luong §­êng èng 2" xfId="9409"/>
    <cellStyle name="T_Khoi luong §­êng èng 3" xfId="9410"/>
    <cellStyle name="T_Khoi luong §­êng èng_BIEU KE HOACH  2015 (KTN 6.11 sua)" xfId="9411"/>
    <cellStyle name="T_Khoi luong §­êng èng_bieu ke hoach dau thau" xfId="9412"/>
    <cellStyle name="T_Khoi luong §­êng èng_bieu ke hoach dau thau 2" xfId="9413"/>
    <cellStyle name="T_Khoi luong §­êng èng_bieu ke hoach dau thau 3" xfId="9414"/>
    <cellStyle name="T_Khoi luong §­êng èng_bieu ke hoach dau thau truong mam non SKH" xfId="9415"/>
    <cellStyle name="T_Khoi luong §­êng èng_bieu ke hoach dau thau truong mam non SKH 2" xfId="9416"/>
    <cellStyle name="T_Khoi luong §­êng èng_bieu ke hoach dau thau truong mam non SKH 3" xfId="9417"/>
    <cellStyle name="T_Khoi luong §­êng èng_bieu ke hoach dau thau truong mam non SKH_BIEU KE HOACH  2015 (KTN 6.11 sua)" xfId="9418"/>
    <cellStyle name="T_Khoi luong §­êng èng_bieu ke hoach dau thau_BIEU KE HOACH  2015 (KTN 6.11 sua)" xfId="9419"/>
    <cellStyle name="T_Khoi luong §­êng èng_Book1" xfId="9420"/>
    <cellStyle name="T_Khoi luong §­êng èng_Book1 2" xfId="9421"/>
    <cellStyle name="T_Khoi luong §­êng èng_Book1 3" xfId="9422"/>
    <cellStyle name="T_Khoi luong §­êng èng_Book1_BIEU KE HOACH  2015 (KTN 6.11 sua)" xfId="9423"/>
    <cellStyle name="T_Khoi luong §­êng èng_DTTD chieng chan Tham lai 29-9-2009" xfId="9424"/>
    <cellStyle name="T_Khoi luong §­êng èng_DTTD chieng chan Tham lai 29-9-2009 2" xfId="9425"/>
    <cellStyle name="T_Khoi luong §­êng èng_DTTD chieng chan Tham lai 29-9-2009 3" xfId="9426"/>
    <cellStyle name="T_Khoi luong §­êng èng_DTTD chieng chan Tham lai 29-9-2009_BIEU KE HOACH  2015 (KTN 6.11 sua)" xfId="9427"/>
    <cellStyle name="T_Khoi luong §­êng èng_Ke hoach 2010 (theo doi 11-8-2010)" xfId="9428"/>
    <cellStyle name="T_Khoi luong §­êng èng_Ke hoach 2010 (theo doi 11-8-2010) 2" xfId="9429"/>
    <cellStyle name="T_Khoi luong §­êng èng_Ke hoach 2010 (theo doi 11-8-2010) 3" xfId="9430"/>
    <cellStyle name="T_Khoi luong §­êng èng_Ke hoach 2010 (theo doi 11-8-2010)_BIEU KE HOACH  2015 (KTN 6.11 sua)" xfId="9431"/>
    <cellStyle name="T_Khoi luong §­êng èng_ke hoach dau thau 30-6-2010" xfId="9432"/>
    <cellStyle name="T_Khoi luong §­êng èng_ke hoach dau thau 30-6-2010 2" xfId="9433"/>
    <cellStyle name="T_Khoi luong §­êng èng_ke hoach dau thau 30-6-2010 3" xfId="9434"/>
    <cellStyle name="T_Khoi luong §­êng èng_ke hoach dau thau 30-6-2010_BIEU KE HOACH  2015 (KTN 6.11 sua)" xfId="9435"/>
    <cellStyle name="T_Khoi luong §­êng èng_QD ke hoach dau thau" xfId="9436"/>
    <cellStyle name="T_Khoi luong §­êng èng_QD ke hoach dau thau 2" xfId="9437"/>
    <cellStyle name="T_Khoi luong §­êng èng_QD ke hoach dau thau 3" xfId="9438"/>
    <cellStyle name="T_Khoi luong §­êng èng_QD ke hoach dau thau_BIEU KE HOACH  2015 (KTN 6.11 sua)" xfId="9439"/>
    <cellStyle name="T_Khoi luong §­êng èng_tinh toan hoang ha" xfId="9440"/>
    <cellStyle name="T_Khoi luong §­êng èng_tinh toan hoang ha 2" xfId="9441"/>
    <cellStyle name="T_Khoi luong §­êng èng_tinh toan hoang ha 3" xfId="9442"/>
    <cellStyle name="T_Khoi luong §­êng èng_tinh toan hoang ha_BIEU KE HOACH  2015 (KTN 6.11 sua)" xfId="9443"/>
    <cellStyle name="T_Luy ke thang 1.2016 lai chau" xfId="9476"/>
    <cellStyle name="T_MACRO DIR-PTVT-07" xfId="9477"/>
    <cellStyle name="T_MACRO DIR-PTVT-07 2" xfId="9478"/>
    <cellStyle name="T_MACRO DIR-PTVT-07 3" xfId="9479"/>
    <cellStyle name="T_MACRO DIR-PTVT-07_BIEU KE HOACH  2015 (KTN 6.11 sua)" xfId="9480"/>
    <cellStyle name="T_MACRO DIR-PTVT-07_GVL" xfId="9481"/>
    <cellStyle name="T_MACRO DIR-PTVT-07_GVL 2" xfId="9482"/>
    <cellStyle name="T_MACRO DIR-PTVT-07_GVL 3" xfId="9483"/>
    <cellStyle name="T_MACRO DIR-PTVT-07_GVL_BIEU KE HOACH  2015 (KTN 6.11 sua)" xfId="9484"/>
    <cellStyle name="T_MACRO DIR-PTVT-07_Ke hoach 2010 (theo doi 11-8-2010)" xfId="9485"/>
    <cellStyle name="T_MACRO DIR-PTVT-07_Ke hoach 2010 (theo doi 11-8-2010) 2" xfId="9486"/>
    <cellStyle name="T_MACRO DIR-PTVT-07_Ke hoach 2010 (theo doi 11-8-2010) 3" xfId="9487"/>
    <cellStyle name="T_MACRO DIR-PTVT-07_Ke hoach 2010 (theo doi 11-8-2010)_CT 134" xfId="9488"/>
    <cellStyle name="T_Me_Tri_6_07" xfId="9489"/>
    <cellStyle name="T_Me_Tri_6_07 2" xfId="9490"/>
    <cellStyle name="T_Me_Tri_6_07 3" xfId="9491"/>
    <cellStyle name="T_Me_Tri_6_07_BIEU KE HOACH  2015 (KTN 6.11 sua)" xfId="9492"/>
    <cellStyle name="T_N2 thay dat (N1-1)" xfId="9493"/>
    <cellStyle name="T_N2 thay dat (N1-1) 2" xfId="9494"/>
    <cellStyle name="T_N2 thay dat (N1-1) 3" xfId="9495"/>
    <cellStyle name="T_N2 thay dat (N1-1)_BIEU KE HOACH  2015 (KTN 6.11 sua)" xfId="9496"/>
    <cellStyle name="T_NPP Khanh Vinh Thai Nguyen - BC KTTB_CTrinh_TB__20_loc__Milk_Yomilk_CK1" xfId="9501"/>
    <cellStyle name="T_NPP Khanh Vinh Thai Nguyen - BC KTTB_CTrinh_TB__20_loc__Milk_Yomilk_CK1 2" xfId="9502"/>
    <cellStyle name="T_NPP Khanh Vinh Thai Nguyen - BC KTTB_CTrinh_TB__20_loc__Milk_Yomilk_CK1 3" xfId="9503"/>
    <cellStyle name="T_NPP Khanh Vinh Thai Nguyen - BC KTTB_CTrinh_TB__20_loc__Milk_Yomilk_CK1_CT 134" xfId="9504"/>
    <cellStyle name="T_Nha lop hoc 8 P" xfId="9497"/>
    <cellStyle name="T_Nha lop hoc 8 P 2" xfId="9498"/>
    <cellStyle name="T_Nha lop hoc 8 P 3" xfId="9499"/>
    <cellStyle name="T_Nha lop hoc 8 P_BIEU KE HOACH  2015 (KTN 6.11 sua)" xfId="9500"/>
    <cellStyle name="T_Phan tich vat tu" xfId="9505"/>
    <cellStyle name="T_Phan tich vat tu 2" xfId="9506"/>
    <cellStyle name="T_Phan tich vat tu 3" xfId="9507"/>
    <cellStyle name="T_Phan tich vat tu_BIEU KE HOACH  2015 (KTN 6.11 sua)" xfId="9508"/>
    <cellStyle name="T_Phuong an can doi nam 2008" xfId="9509"/>
    <cellStyle name="T_Phuong an can doi nam 2008 2" xfId="9510"/>
    <cellStyle name="T_Phuong an can doi nam 2008 3" xfId="9511"/>
    <cellStyle name="T_Phuong an can doi nam 2008_CT 134" xfId="9512"/>
    <cellStyle name="T_QT di chuyen ca phe" xfId="9513"/>
    <cellStyle name="T_QT di chuyen ca phe 2" xfId="9514"/>
    <cellStyle name="T_QT di chuyen ca phe 3" xfId="9515"/>
    <cellStyle name="T_QT di chuyen ca phe_dự toán 30a 2013" xfId="9516"/>
    <cellStyle name="T_QT di chuyen ca phe_KH 2014" xfId="9517"/>
    <cellStyle name="T_QT di chuyen ca phe_Ra soat KH von 2011 (Huy-11-11-11)" xfId="9518"/>
    <cellStyle name="T_QT di chuyen ca phe_Ra soat KH von 2011 (Huy-11-11-11) 2" xfId="9519"/>
    <cellStyle name="T_QT di chuyen ca phe_Ra soat KH von 2011 (Huy-11-11-11) 3" xfId="9520"/>
    <cellStyle name="T_QT di chuyen ca phe_Ra soat KH von 2011 (Huy-11-11-11)_BIEU KE HOACH  2015 (KTN 6.11 sua)" xfId="9521"/>
    <cellStyle name="T_QT di chuyen ca phe_Viec Huy dang lam" xfId="9522"/>
    <cellStyle name="T_QT di chuyen ca phe_Viec Huy dang lam_CT 134" xfId="9523"/>
    <cellStyle name="T_Ra soat KH von 2011 (Huy-11-11-11)" xfId="9524"/>
    <cellStyle name="T_Ra soat KH von 2011 (Huy-11-11-11) 2" xfId="9525"/>
    <cellStyle name="T_Ra soat KH von 2011 (Huy-11-11-11) 3" xfId="9526"/>
    <cellStyle name="T_Ra soat KH von 2011 (Huy-11-11-11)_BIEU KE HOACH  2015 (KTN 6.11 sua)" xfId="9527"/>
    <cellStyle name="T_San Nen TDC P.Ot.suaxls" xfId="9528"/>
    <cellStyle name="T_San Nen TDC P.Ot.suaxls 2" xfId="9529"/>
    <cellStyle name="T_San Nen TDC P.Ot.suaxls 3" xfId="9530"/>
    <cellStyle name="T_San Nen TDC P.Ot.suaxls_BIEU KE HOACH  2015 (KTN 6.11 sua)" xfId="9531"/>
    <cellStyle name="T_Seagame(BTL)" xfId="9532"/>
    <cellStyle name="T_Seagame(BTL) 2" xfId="9533"/>
    <cellStyle name="T_Sheet1" xfId="9534"/>
    <cellStyle name="T_Sheet1 2" xfId="9535"/>
    <cellStyle name="T_Sheet1 2 2" xfId="9536"/>
    <cellStyle name="T_Sheet1 3" xfId="9537"/>
    <cellStyle name="T_Sheet1_1" xfId="9538"/>
    <cellStyle name="T_Sheet1_1 2" xfId="9539"/>
    <cellStyle name="T_Sheet1_CT 134" xfId="9540"/>
    <cellStyle name="T_Sheet1_StartUp" xfId="9541"/>
    <cellStyle name="T_Sheet1_StartUp 2" xfId="9542"/>
    <cellStyle name="T_Sheet2" xfId="9543"/>
    <cellStyle name="T_Sheet2 2" xfId="9544"/>
    <cellStyle name="T_Sheet2 3" xfId="9545"/>
    <cellStyle name="T_Sheet2_BIEU KE HOACH  2015 (KTN 6.11 sua)" xfId="9546"/>
    <cellStyle name="T_Sheet2_bieu tong hop lai kh von 2011 gui phong TH-KTDN" xfId="9547"/>
    <cellStyle name="T_Sheet2_bieu tong hop lai kh von 2011 gui phong TH-KTDN 2" xfId="9548"/>
    <cellStyle name="T_Sheet2_bieu tong hop lai kh von 2011 gui phong TH-KTDN 3" xfId="9549"/>
    <cellStyle name="T_Sheet2_bieu tong hop lai kh von 2011 gui phong TH-KTDN_CT 134" xfId="9550"/>
    <cellStyle name="T_Sheet2_Copy of KH PHAN BO VON ĐỐI ỨNG NAM 2011 (30 TY phuong án gop WB)" xfId="9551"/>
    <cellStyle name="T_Sheet2_Copy of KH PHAN BO VON ĐỐI ỨNG NAM 2011 (30 TY phuong án gop WB) 2" xfId="9552"/>
    <cellStyle name="T_Sheet2_Copy of KH PHAN BO VON ĐỐI ỨNG NAM 2011 (30 TY phuong án gop WB) 3" xfId="9553"/>
    <cellStyle name="T_Sheet2_Copy of KH PHAN BO VON ĐỐI ỨNG NAM 2011 (30 TY phuong án gop WB)_CT 134" xfId="9554"/>
    <cellStyle name="T_Sheet2_GVL" xfId="9555"/>
    <cellStyle name="T_Sheet2_GVL 2" xfId="9556"/>
    <cellStyle name="T_Sheet2_GVL 3" xfId="9557"/>
    <cellStyle name="T_Sheet2_GVL_BIEU KE HOACH  2015 (KTN 6.11 sua)" xfId="9558"/>
    <cellStyle name="T_Sheet2_KH Von 2012 gui BKH 1" xfId="9559"/>
    <cellStyle name="T_Sheet2_KH Von 2012 gui BKH 1 2" xfId="9560"/>
    <cellStyle name="T_Sheet2_KH Von 2012 gui BKH 1 3" xfId="9561"/>
    <cellStyle name="T_Sheet2_KH Von 2012 gui BKH 1_CT 134" xfId="9562"/>
    <cellStyle name="T_Sheet2_Tong von ĐTPT" xfId="9563"/>
    <cellStyle name="T_Sheet2_Tong von ĐTPT 2" xfId="9564"/>
    <cellStyle name="T_Sheet2_Tong von ĐTPT 3" xfId="9565"/>
    <cellStyle name="T_Sheet2_Tong von ĐTPT_BIEU KE HOACH  2015 (KTN 6.11 sua)" xfId="9566"/>
    <cellStyle name="T_Sin Chai" xfId="9567"/>
    <cellStyle name="T_Sin Chai 2" xfId="9568"/>
    <cellStyle name="T_Sin Chai 3" xfId="9569"/>
    <cellStyle name="T_Sin Chai_BIEU KE HOACH  2015 (KTN 6.11 sua)" xfId="9570"/>
    <cellStyle name="T_Sin Chai_GVL" xfId="9571"/>
    <cellStyle name="T_Sin Chai_GVL 2" xfId="9572"/>
    <cellStyle name="T_Sin Chai_GVL 3" xfId="9573"/>
    <cellStyle name="T_Sin Chai_GVL_BIEU KE HOACH  2015 (KTN 6.11 sua)" xfId="9574"/>
    <cellStyle name="T_Sin Chai_Ke hoach 2010 (theo doi 11-8-2010)" xfId="9575"/>
    <cellStyle name="T_Sin Chai_Ke hoach 2010 (theo doi 11-8-2010) 2" xfId="9576"/>
    <cellStyle name="T_Sin Chai_Ke hoach 2010 (theo doi 11-8-2010) 3" xfId="9577"/>
    <cellStyle name="T_Sin Chai_Ke hoach 2010 (theo doi 11-8-2010)_CT 134" xfId="9578"/>
    <cellStyle name="T_So GTVT" xfId="9579"/>
    <cellStyle name="T_So GTVT 2" xfId="9580"/>
    <cellStyle name="T_So GTVT 3" xfId="9581"/>
    <cellStyle name="T_So GTVT_CT 134" xfId="9582"/>
    <cellStyle name="T_StartUp" xfId="9583"/>
    <cellStyle name="T_sua chua cham trung bay  mien Bac" xfId="9584"/>
    <cellStyle name="T_sua chua cham trung bay  mien Bac 2" xfId="9585"/>
    <cellStyle name="T_sua chua cham trung bay  mien Bac 3" xfId="9586"/>
    <cellStyle name="T_sua chua cham trung bay  mien Bac_CT 134" xfId="9587"/>
    <cellStyle name="T_SUA NGAY 17_7 IN" xfId="9588"/>
    <cellStyle name="T_SUA NGAY 17_7 IN 2" xfId="9589"/>
    <cellStyle name="T_TDT + duong(8-5-07)" xfId="9590"/>
    <cellStyle name="T_TDT + duong(8-5-07) 2" xfId="9591"/>
    <cellStyle name="T_TDT + duong(8-5-07) 3" xfId="9592"/>
    <cellStyle name="T_TDT + duong(8-5-07)_BIEU KE HOACH  2015 (KTN 6.11 sua)" xfId="9593"/>
    <cellStyle name="T_tien luong" xfId="9719"/>
    <cellStyle name="T_tien luong 2" xfId="9720"/>
    <cellStyle name="T_Tien luong chuan 01" xfId="9721"/>
    <cellStyle name="T_Tien luong chuan 01 2" xfId="9722"/>
    <cellStyle name="T_tien2004" xfId="9723"/>
    <cellStyle name="T_tien2004 2" xfId="9724"/>
    <cellStyle name="T_tien2004 3" xfId="9725"/>
    <cellStyle name="T_tien2004_BIEU KE HOACH  2015 (KTN 6.11 sua)" xfId="9726"/>
    <cellStyle name="T_tien2004_bieu ke hoach dau thau" xfId="9727"/>
    <cellStyle name="T_tien2004_bieu ke hoach dau thau 2" xfId="9728"/>
    <cellStyle name="T_tien2004_bieu ke hoach dau thau 3" xfId="9729"/>
    <cellStyle name="T_tien2004_bieu ke hoach dau thau truong mam non SKH" xfId="9730"/>
    <cellStyle name="T_tien2004_bieu ke hoach dau thau truong mam non SKH 2" xfId="9731"/>
    <cellStyle name="T_tien2004_bieu ke hoach dau thau truong mam non SKH 3" xfId="9732"/>
    <cellStyle name="T_tien2004_bieu ke hoach dau thau truong mam non SKH_BIEU KE HOACH  2015 (KTN 6.11 sua)" xfId="9733"/>
    <cellStyle name="T_tien2004_bieu ke hoach dau thau_BIEU KE HOACH  2015 (KTN 6.11 sua)" xfId="9734"/>
    <cellStyle name="T_tien2004_bieu tong hop lai kh von 2011 gui phong TH-KTDN" xfId="9735"/>
    <cellStyle name="T_tien2004_bieu tong hop lai kh von 2011 gui phong TH-KTDN 2" xfId="9736"/>
    <cellStyle name="T_tien2004_bieu tong hop lai kh von 2011 gui phong TH-KTDN 3" xfId="9737"/>
    <cellStyle name="T_tien2004_bieu tong hop lai kh von 2011 gui phong TH-KTDN_BIEU KE HOACH  2015 (KTN 6.11 sua)" xfId="9738"/>
    <cellStyle name="T_tien2004_Book1" xfId="9739"/>
    <cellStyle name="T_tien2004_Book1 2" xfId="9740"/>
    <cellStyle name="T_tien2004_Book1 3" xfId="9741"/>
    <cellStyle name="T_tien2004_Book1_BIEU KE HOACH  2015 (KTN 6.11 sua)" xfId="9742"/>
    <cellStyle name="T_tien2004_Book1_Ke hoach 2010 (theo doi 11-8-2010)" xfId="9743"/>
    <cellStyle name="T_tien2004_Book1_Ke hoach 2010 (theo doi 11-8-2010) 2" xfId="9744"/>
    <cellStyle name="T_tien2004_Book1_Ke hoach 2010 (theo doi 11-8-2010)_CT 134" xfId="9745"/>
    <cellStyle name="T_tien2004_Copy of KH PHAN BO VON ĐỐI ỨNG NAM 2011 (30 TY phuong án gop WB)" xfId="9746"/>
    <cellStyle name="T_tien2004_Copy of KH PHAN BO VON ĐỐI ỨNG NAM 2011 (30 TY phuong án gop WB) 2" xfId="9747"/>
    <cellStyle name="T_tien2004_Copy of KH PHAN BO VON ĐỐI ỨNG NAM 2011 (30 TY phuong án gop WB) 3" xfId="9748"/>
    <cellStyle name="T_tien2004_Copy of KH PHAN BO VON ĐỐI ỨNG NAM 2011 (30 TY phuong án gop WB)_BIEU KE HOACH  2015 (KTN 6.11 sua)" xfId="9749"/>
    <cellStyle name="T_tien2004_DT tieu hoc diem TDC ban Cho 28-02-09" xfId="9750"/>
    <cellStyle name="T_tien2004_DT tieu hoc diem TDC ban Cho 28-02-09 2" xfId="9751"/>
    <cellStyle name="T_tien2004_DT tieu hoc diem TDC ban Cho 28-02-09 3" xfId="9752"/>
    <cellStyle name="T_tien2004_DT tieu hoc diem TDC ban Cho 28-02-09_BIEU KE HOACH  2015 (KTN 6.11 sua)" xfId="9753"/>
    <cellStyle name="T_tien2004_DTTD chieng chan Tham lai 29-9-2009" xfId="9754"/>
    <cellStyle name="T_tien2004_DTTD chieng chan Tham lai 29-9-2009 2" xfId="9755"/>
    <cellStyle name="T_tien2004_DTTD chieng chan Tham lai 29-9-2009 3" xfId="9756"/>
    <cellStyle name="T_tien2004_DTTD chieng chan Tham lai 29-9-2009_BIEU KE HOACH  2015 (KTN 6.11 sua)" xfId="9757"/>
    <cellStyle name="T_tien2004_GVL" xfId="9758"/>
    <cellStyle name="T_tien2004_GVL 2" xfId="9759"/>
    <cellStyle name="T_tien2004_GVL 3" xfId="9760"/>
    <cellStyle name="T_tien2004_GVL_BIEU KE HOACH  2015 (KTN 6.11 sua)" xfId="9761"/>
    <cellStyle name="T_tien2004_Ke hoach 2010 (theo doi 11-8-2010)" xfId="9762"/>
    <cellStyle name="T_tien2004_Ke hoach 2010 (theo doi 11-8-2010) 2" xfId="9763"/>
    <cellStyle name="T_tien2004_Ke hoach 2010 (theo doi 11-8-2010) 3" xfId="9764"/>
    <cellStyle name="T_tien2004_Ke hoach 2010 (theo doi 11-8-2010)_BIEU KE HOACH  2015 (KTN 6.11 sua)" xfId="9765"/>
    <cellStyle name="T_tien2004_ke hoach dau thau 30-6-2010" xfId="9766"/>
    <cellStyle name="T_tien2004_ke hoach dau thau 30-6-2010 2" xfId="9767"/>
    <cellStyle name="T_tien2004_ke hoach dau thau 30-6-2010 3" xfId="9768"/>
    <cellStyle name="T_tien2004_ke hoach dau thau 30-6-2010_BIEU KE HOACH  2015 (KTN 6.11 sua)" xfId="9769"/>
    <cellStyle name="T_tien2004_KH Von 2012 gui BKH 1" xfId="9770"/>
    <cellStyle name="T_tien2004_KH Von 2012 gui BKH 1 2" xfId="9771"/>
    <cellStyle name="T_tien2004_KH Von 2012 gui BKH 1 3" xfId="9772"/>
    <cellStyle name="T_tien2004_KH Von 2012 gui BKH 1_BIEU KE HOACH  2015 (KTN 6.11 sua)" xfId="9773"/>
    <cellStyle name="T_tien2004_QD ke hoach dau thau" xfId="9774"/>
    <cellStyle name="T_tien2004_QD ke hoach dau thau 2" xfId="9775"/>
    <cellStyle name="T_tien2004_QD ke hoach dau thau 3" xfId="9776"/>
    <cellStyle name="T_tien2004_QD ke hoach dau thau_BIEU KE HOACH  2015 (KTN 6.11 sua)" xfId="9777"/>
    <cellStyle name="T_tien2004_Tienluong" xfId="9778"/>
    <cellStyle name="T_tien2004_Tienluong 2" xfId="9779"/>
    <cellStyle name="T_tien2004_Tienluong 3" xfId="9780"/>
    <cellStyle name="T_tien2004_Tienluong_BIEU KE HOACH  2015 (KTN 6.11 sua)" xfId="9781"/>
    <cellStyle name="T_tien2004_tinh toan hoang ha" xfId="9782"/>
    <cellStyle name="T_tien2004_tinh toan hoang ha 2" xfId="9783"/>
    <cellStyle name="T_tien2004_tinh toan hoang ha 3" xfId="9784"/>
    <cellStyle name="T_tien2004_tinh toan hoang ha_BIEU KE HOACH  2015 (KTN 6.11 sua)" xfId="9785"/>
    <cellStyle name="T_tien2004_Tong von ĐTPT" xfId="9786"/>
    <cellStyle name="T_tien2004_Tong von ĐTPT 2" xfId="9787"/>
    <cellStyle name="T_tien2004_Tong von ĐTPT 3" xfId="9788"/>
    <cellStyle name="T_tien2004_Tong von ĐTPT_BIEU KE HOACH  2015 (KTN 6.11 sua)" xfId="9789"/>
    <cellStyle name="T_Tienluong" xfId="9790"/>
    <cellStyle name="T_Tienluong 2" xfId="9791"/>
    <cellStyle name="T_Tienluong 3" xfId="9792"/>
    <cellStyle name="T_Tienluong_BIEU KE HOACH  2015 (KTN 6.11 sua)" xfId="9793"/>
    <cellStyle name="T_tinh toan hoang ha" xfId="9794"/>
    <cellStyle name="T_tinh toan hoang ha 2" xfId="9795"/>
    <cellStyle name="T_tinh toan hoang ha 3" xfId="9796"/>
    <cellStyle name="T_tinh toan hoang ha_BIEU KE HOACH  2015 (KTN 6.11 sua)" xfId="9797"/>
    <cellStyle name="T_TINH TOAN THUY LUC" xfId="9798"/>
    <cellStyle name="T_TINH TOAN THUY LUC 2" xfId="9799"/>
    <cellStyle name="T_TINH TOAN THUY LUC 3" xfId="9800"/>
    <cellStyle name="T_TINH TOAN THUY LUC_BIEU KE HOACH  2015 (KTN 6.11 sua)" xfId="9801"/>
    <cellStyle name="T_TINH TOAN THUY LUC_GVL" xfId="9802"/>
    <cellStyle name="T_TINH TOAN THUY LUC_GVL 2" xfId="9803"/>
    <cellStyle name="T_TINH TOAN THUY LUC_GVL 3" xfId="9804"/>
    <cellStyle name="T_TINH TOAN THUY LUC_GVL_BIEU KE HOACH  2015 (KTN 6.11 sua)" xfId="9805"/>
    <cellStyle name="T_TINH TOAN THUY LUC_Ke hoach 2010 (theo doi 11-8-2010)" xfId="9806"/>
    <cellStyle name="T_TINH TOAN THUY LUC_Ke hoach 2010 (theo doi 11-8-2010) 2" xfId="9807"/>
    <cellStyle name="T_TINH TOAN THUY LUC_Ke hoach 2010 (theo doi 11-8-2010)_CT 134" xfId="9808"/>
    <cellStyle name="T_TK_HT" xfId="9809"/>
    <cellStyle name="T_Tong DT_Then Thau26-09" xfId="9810"/>
    <cellStyle name="T_Tong DT_Then Thau26-09 2" xfId="9811"/>
    <cellStyle name="T_Tong DT_Then Thau26-09 3" xfId="9812"/>
    <cellStyle name="T_Tong DT_Then Thau26-09_BIEU KE HOACH  2015 (KTN 6.11 sua)" xfId="9813"/>
    <cellStyle name="T_Tong hop  " xfId="9814"/>
    <cellStyle name="T_Tong hop   2" xfId="9815"/>
    <cellStyle name="T_Tong hop gia tri" xfId="9816"/>
    <cellStyle name="T_Tong hop gia tri 2" xfId="9817"/>
    <cellStyle name="T_Tong hop gia tri 3" xfId="9818"/>
    <cellStyle name="T_Tong hop gia tri_BIEU KE HOACH  2015 (KTN 6.11 sua)" xfId="9819"/>
    <cellStyle name="T_Tong von ĐTPT" xfId="9820"/>
    <cellStyle name="T_Tong von ĐTPT 2" xfId="9821"/>
    <cellStyle name="T_Tong von ĐTPT 3" xfId="9822"/>
    <cellStyle name="T_Tong von ĐTPT_BIEU KE HOACH  2015 (KTN 6.11 sua)" xfId="9823"/>
    <cellStyle name="T_TT THUY LUC HUOI DAO DANG" xfId="9824"/>
    <cellStyle name="T_TT THUY LUC HUOI DAO DANG 2" xfId="9825"/>
    <cellStyle name="T_TT THUY LUC HUOI DAO DANG 2 2" xfId="9826"/>
    <cellStyle name="T_TT THUY LUC HUOI DAO DANG 2 3" xfId="9827"/>
    <cellStyle name="T_TT THUY LUC HUOI DAO DANG 3" xfId="9828"/>
    <cellStyle name="T_TT THUY LUC HUOI DAO DANG 4" xfId="9829"/>
    <cellStyle name="T_TT THUY LUC HUOI DAO DANG 5" xfId="9830"/>
    <cellStyle name="T_TT THUY LUC HUOI DAO DANG_BIEU KE HOACH  2015 (KTN 6.11 sua)" xfId="9831"/>
    <cellStyle name="T_TT THUY LUC HUOI DAO DANG_GVL" xfId="9832"/>
    <cellStyle name="T_TT THUY LUC HUOI DAO DANG_GVL 2" xfId="9833"/>
    <cellStyle name="T_TT THUY LUC HUOI DAO DANG_GVL 2 2" xfId="9834"/>
    <cellStyle name="T_TT THUY LUC HUOI DAO DANG_GVL 2 3" xfId="9835"/>
    <cellStyle name="T_TT THUY LUC HUOI DAO DANG_GVL 3" xfId="9836"/>
    <cellStyle name="T_TT THUY LUC HUOI DAO DANG_GVL 4" xfId="9837"/>
    <cellStyle name="T_TT THUY LUC HUOI DAO DANG_GVL 5" xfId="9838"/>
    <cellStyle name="T_TT THUY LUC HUOI DAO DANG_GVL_BIEU KE HOACH  2015 (KTN 6.11 sua)" xfId="9839"/>
    <cellStyle name="T_TT THUY LUC HUOI DAO DANG_Ke hoach 2010 (theo doi 11-8-2010)" xfId="9840"/>
    <cellStyle name="T_TT THUY LUC HUOI DAO DANG_Ke hoach 2010 (theo doi 11-8-2010) 2" xfId="9841"/>
    <cellStyle name="T_TT THUY LUC HUOI DAO DANG_Ke hoach 2010 (theo doi 11-8-2010) 3" xfId="9842"/>
    <cellStyle name="T_TT THUY LUC HUOI DAO DANG_Ke hoach 2010 (theo doi 11-8-2010) 4" xfId="9843"/>
    <cellStyle name="T_TT THUY LUC HUOI DAO DANG_Ke hoach 2010 (theo doi 11-8-2010)_CT 134" xfId="9844"/>
    <cellStyle name="T_TT.Nam Tam" xfId="9845"/>
    <cellStyle name="T_TT.Nam Tam 2" xfId="9846"/>
    <cellStyle name="T_TT.Nam Tam 2 2" xfId="9847"/>
    <cellStyle name="T_TT.Nam Tam 3" xfId="9848"/>
    <cellStyle name="T_TT.Nam Tam 4" xfId="9849"/>
    <cellStyle name="T_TT.Nam Tam 5" xfId="9850"/>
    <cellStyle name="T_TT.Nam Tam_BIEU KE HOACH  2015 (KTN 6.11 sua)" xfId="9851"/>
    <cellStyle name="T_TH danh muc 08-09 den ngay 30-8-09" xfId="9594"/>
    <cellStyle name="T_TH danh muc 08-09 den ngay 30-8-09 2" xfId="9595"/>
    <cellStyle name="T_Tham dinh du toan mat doong - Ban cho moi21-5" xfId="9596"/>
    <cellStyle name="T_Tham dinh du toan mat doong - Ban cho moi21-5 2" xfId="9597"/>
    <cellStyle name="T_tham_tra_du_toan" xfId="9598"/>
    <cellStyle name="T_tham_tra_du_toan 2" xfId="9599"/>
    <cellStyle name="T_tham_tra_du_toan 3" xfId="9600"/>
    <cellStyle name="T_tham_tra_du_toan_BIEU KE HOACH  2015 (KTN 6.11 sua)" xfId="9601"/>
    <cellStyle name="T_Thang 11" xfId="9602"/>
    <cellStyle name="T_Thang 11 2" xfId="9603"/>
    <cellStyle name="T_Thang 11 3" xfId="9604"/>
    <cellStyle name="T_Thang 11_CT 134" xfId="9605"/>
    <cellStyle name="T_THAU CAT" xfId="9606"/>
    <cellStyle name="T_THAU CAT 2" xfId="9607"/>
    <cellStyle name="T_THAU CAT 3" xfId="9608"/>
    <cellStyle name="T_THAU CAT_BIEU KE HOACH  2015 (KTN 6.11 sua)" xfId="9609"/>
    <cellStyle name="T_Theo doi CT 135 giai doan 2" xfId="9610"/>
    <cellStyle name="T_Theo doi CT 135 giai doan 2 2" xfId="9611"/>
    <cellStyle name="T_Theo doi CT 135 giai doan 2 3" xfId="9612"/>
    <cellStyle name="T_Theo doi CT 135 giai doan 2_BIEU KE HOACH  2015 (KTN 6.11 sua)" xfId="9613"/>
    <cellStyle name="T_Theo doi tien do cong viec Nam 2009" xfId="9614"/>
    <cellStyle name="T_Theo doi tien do cong viec Nam 2009 2" xfId="9615"/>
    <cellStyle name="T_Thiet bi" xfId="9616"/>
    <cellStyle name="T_Thiet bi 2" xfId="9617"/>
    <cellStyle name="T_Thiet bi_Bao cao danh muc cac cong trinh tren dia ban huyen 4-2010" xfId="9618"/>
    <cellStyle name="T_Thiet bi_Bao cao danh muc cac cong trinh tren dia ban huyen 4-2010 2" xfId="9619"/>
    <cellStyle name="T_Thiet bi_Bieu chi tieu KH 2014 (Huy-04-11)" xfId="9620"/>
    <cellStyle name="T_Thiet bi_Bieu chi tieu KH 2014 (Huy-04-11) 2" xfId="9621"/>
    <cellStyle name="T_Thiet bi_bieu ke hoach dau thau" xfId="9622"/>
    <cellStyle name="T_Thiet bi_bieu ke hoach dau thau 2" xfId="9623"/>
    <cellStyle name="T_Thiet bi_bieu ke hoach dau thau 2 2" xfId="9624"/>
    <cellStyle name="T_Thiet bi_bieu ke hoach dau thau 3" xfId="9625"/>
    <cellStyle name="T_Thiet bi_bieu ke hoach dau thau truong mam non SKH" xfId="9626"/>
    <cellStyle name="T_Thiet bi_bieu ke hoach dau thau truong mam non SKH 2" xfId="9627"/>
    <cellStyle name="T_Thiet bi_bieu ke hoach dau thau truong mam non SKH 2 2" xfId="9628"/>
    <cellStyle name="T_Thiet bi_bieu ke hoach dau thau truong mam non SKH 3" xfId="9629"/>
    <cellStyle name="T_Thiet bi_bieu ke hoach dau thau truong mam non SKH_BIEU KE HOACH  2015 (KTN 6.11 sua)" xfId="9630"/>
    <cellStyle name="T_Thiet bi_bieu ke hoach dau thau_BIEU KE HOACH  2015 (KTN 6.11 sua)" xfId="9631"/>
    <cellStyle name="T_Thiet bi_bieu tong hop lai kh von 2011 gui phong TH-KTDN" xfId="9632"/>
    <cellStyle name="T_Thiet bi_bieu tong hop lai kh von 2011 gui phong TH-KTDN 2" xfId="9633"/>
    <cellStyle name="T_Thiet bi_bieu tong hop lai kh von 2011 gui phong TH-KTDN 2 2" xfId="9634"/>
    <cellStyle name="T_Thiet bi_bieu tong hop lai kh von 2011 gui phong TH-KTDN 3" xfId="9635"/>
    <cellStyle name="T_Thiet bi_bieu tong hop lai kh von 2011 gui phong TH-KTDN_BIEU KE HOACH  2015 (KTN 6.11 sua)" xfId="9636"/>
    <cellStyle name="T_Thiet bi_Book1" xfId="9637"/>
    <cellStyle name="T_Thiet bi_Book1 2" xfId="9638"/>
    <cellStyle name="T_Thiet bi_Book1 2 2" xfId="9639"/>
    <cellStyle name="T_Thiet bi_Book1 3" xfId="9640"/>
    <cellStyle name="T_Thiet bi_Book1_1" xfId="9641"/>
    <cellStyle name="T_Thiet bi_Book1_1 2" xfId="9642"/>
    <cellStyle name="T_Thiet bi_Book1_1 2 2" xfId="9643"/>
    <cellStyle name="T_Thiet bi_Book1_1 3" xfId="9644"/>
    <cellStyle name="T_Thiet bi_Book1_1_BIEU KE HOACH  2015 (KTN 6.11 sua)" xfId="9645"/>
    <cellStyle name="T_Thiet bi_Book1_BIEU KE HOACH  2015 (KTN 6.11 sua)" xfId="9646"/>
    <cellStyle name="T_Thiet bi_Book1_DTTD chieng chan Tham lai 29-9-2009" xfId="9647"/>
    <cellStyle name="T_Thiet bi_Book1_DTTD chieng chan Tham lai 29-9-2009 2" xfId="9648"/>
    <cellStyle name="T_Thiet bi_Book1_DTTD chieng chan Tham lai 29-9-2009 2 2" xfId="9649"/>
    <cellStyle name="T_Thiet bi_Book1_DTTD chieng chan Tham lai 29-9-2009 3" xfId="9650"/>
    <cellStyle name="T_Thiet bi_Book1_DTTD chieng chan Tham lai 29-9-2009_BIEU KE HOACH  2015 (KTN 6.11 sua)" xfId="9651"/>
    <cellStyle name="T_Thiet bi_Book1_Ke hoach 2010 (theo doi 11-8-2010)" xfId="9652"/>
    <cellStyle name="T_Thiet bi_Book1_Ke hoach 2010 (theo doi 11-8-2010) 2" xfId="9653"/>
    <cellStyle name="T_Thiet bi_Book1_Ke hoach 2010 (theo doi 11-8-2010) 2 2" xfId="9654"/>
    <cellStyle name="T_Thiet bi_Book1_Ke hoach 2010 (theo doi 11-8-2010) 3" xfId="9655"/>
    <cellStyle name="T_Thiet bi_Book1_Ke hoach 2010 (theo doi 11-8-2010)_BIEU KE HOACH  2015 (KTN 6.11 sua)" xfId="9656"/>
    <cellStyle name="T_Thiet bi_Book1_ke hoach dau thau 30-6-2010" xfId="9657"/>
    <cellStyle name="T_Thiet bi_Book1_ke hoach dau thau 30-6-2010 2" xfId="9658"/>
    <cellStyle name="T_Thiet bi_Book1_ke hoach dau thau 30-6-2010 2 2" xfId="9659"/>
    <cellStyle name="T_Thiet bi_Book1_ke hoach dau thau 30-6-2010 3" xfId="9660"/>
    <cellStyle name="T_Thiet bi_Book1_ke hoach dau thau 30-6-2010_BIEU KE HOACH  2015 (KTN 6.11 sua)" xfId="9661"/>
    <cellStyle name="T_Thiet bi_Copy of KH PHAN BO VON ĐỐI ỨNG NAM 2011 (30 TY phuong án gop WB)" xfId="9662"/>
    <cellStyle name="T_Thiet bi_Copy of KH PHAN BO VON ĐỐI ỨNG NAM 2011 (30 TY phuong án gop WB) 2" xfId="9663"/>
    <cellStyle name="T_Thiet bi_Copy of KH PHAN BO VON ĐỐI ỨNG NAM 2011 (30 TY phuong án gop WB) 2 2" xfId="9664"/>
    <cellStyle name="T_Thiet bi_Copy of KH PHAN BO VON ĐỐI ỨNG NAM 2011 (30 TY phuong án gop WB) 3" xfId="9665"/>
    <cellStyle name="T_Thiet bi_Copy of KH PHAN BO VON ĐỐI ỨNG NAM 2011 (30 TY phuong án gop WB)_BIEU KE HOACH  2015 (KTN 6.11 sua)" xfId="9666"/>
    <cellStyle name="T_Thiet bi_DTTD chieng chan Tham lai 29-9-2009" xfId="9667"/>
    <cellStyle name="T_Thiet bi_DTTD chieng chan Tham lai 29-9-2009 2" xfId="9668"/>
    <cellStyle name="T_Thiet bi_DTTD chieng chan Tham lai 29-9-2009 2 2" xfId="9669"/>
    <cellStyle name="T_Thiet bi_DTTD chieng chan Tham lai 29-9-2009 3" xfId="9670"/>
    <cellStyle name="T_Thiet bi_DTTD chieng chan Tham lai 29-9-2009_BIEU KE HOACH  2015 (KTN 6.11 sua)" xfId="9671"/>
    <cellStyle name="T_Thiet bi_Du toan nuoc San Thang (GD2)" xfId="9673"/>
    <cellStyle name="T_Thiet bi_Du toan nuoc San Thang (GD2) 2" xfId="9674"/>
    <cellStyle name="T_Thiet bi_Du toan nuoc San Thang (GD2) 2 2" xfId="9675"/>
    <cellStyle name="T_Thiet bi_Du toan nuoc San Thang (GD2) 3" xfId="9676"/>
    <cellStyle name="T_Thiet bi_Du toan nuoc San Thang (GD2)_BIEU KE HOACH  2015 (KTN 6.11 sua)" xfId="9677"/>
    <cellStyle name="T_Thiet bi_dự toán 30a 2013" xfId="9672"/>
    <cellStyle name="T_Thiet bi_Ke hoach 2010 (theo doi 11-8-2010)" xfId="9678"/>
    <cellStyle name="T_Thiet bi_Ke hoach 2010 (theo doi 11-8-2010) 2" xfId="9679"/>
    <cellStyle name="T_Thiet bi_Ke hoach 2010 (theo doi 11-8-2010) 2 2" xfId="9680"/>
    <cellStyle name="T_Thiet bi_Ke hoach 2010 (theo doi 11-8-2010) 3" xfId="9681"/>
    <cellStyle name="T_Thiet bi_Ke hoach 2010 (theo doi 11-8-2010)_BIEU KE HOACH  2015 (KTN 6.11 sua)" xfId="9682"/>
    <cellStyle name="T_Thiet bi_ke hoach dau thau 30-6-2010" xfId="9683"/>
    <cellStyle name="T_Thiet bi_ke hoach dau thau 30-6-2010 2" xfId="9684"/>
    <cellStyle name="T_Thiet bi_ke hoach dau thau 30-6-2010 2 2" xfId="9685"/>
    <cellStyle name="T_Thiet bi_ke hoach dau thau 30-6-2010 3" xfId="9686"/>
    <cellStyle name="T_Thiet bi_ke hoach dau thau 30-6-2010_BIEU KE HOACH  2015 (KTN 6.11 sua)" xfId="9687"/>
    <cellStyle name="T_Thiet bi_KH Von 2012 gui BKH 1" xfId="9688"/>
    <cellStyle name="T_Thiet bi_KH Von 2012 gui BKH 1 2" xfId="9689"/>
    <cellStyle name="T_Thiet bi_KH Von 2012 gui BKH 1 2 2" xfId="9690"/>
    <cellStyle name="T_Thiet bi_KH Von 2012 gui BKH 1 3" xfId="9691"/>
    <cellStyle name="T_Thiet bi_KH Von 2012 gui BKH 1_BIEU KE HOACH  2015 (KTN 6.11 sua)" xfId="9692"/>
    <cellStyle name="T_Thiet bi_QD ke hoach dau thau" xfId="9693"/>
    <cellStyle name="T_Thiet bi_QD ke hoach dau thau 2" xfId="9694"/>
    <cellStyle name="T_Thiet bi_QD ke hoach dau thau 2 2" xfId="9695"/>
    <cellStyle name="T_Thiet bi_QD ke hoach dau thau 3" xfId="9696"/>
    <cellStyle name="T_Thiet bi_QD ke hoach dau thau_BIEU KE HOACH  2015 (KTN 6.11 sua)" xfId="9697"/>
    <cellStyle name="T_Thiet bi_Ra soat KH von 2011 (Huy-11-11-11)" xfId="9698"/>
    <cellStyle name="T_Thiet bi_Ra soat KH von 2011 (Huy-11-11-11) 2" xfId="9699"/>
    <cellStyle name="T_Thiet bi_Ra soat KH von 2011 (Huy-11-11-11) 2 2" xfId="9700"/>
    <cellStyle name="T_Thiet bi_Ra soat KH von 2011 (Huy-11-11-11) 3" xfId="9701"/>
    <cellStyle name="T_Thiet bi_Ra soat KH von 2011 (Huy-11-11-11)_BIEU KE HOACH  2015 (KTN 6.11 sua)" xfId="9702"/>
    <cellStyle name="T_Thiet bi_tien luong" xfId="9703"/>
    <cellStyle name="T_Thiet bi_tien luong 2" xfId="9704"/>
    <cellStyle name="T_Thiet bi_Tien luong chuan 01" xfId="9705"/>
    <cellStyle name="T_Thiet bi_Tien luong chuan 01 2" xfId="9706"/>
    <cellStyle name="T_Thiet bi_tinh toan hoang ha" xfId="9707"/>
    <cellStyle name="T_Thiet bi_tinh toan hoang ha 2" xfId="9708"/>
    <cellStyle name="T_Thiet bi_tinh toan hoang ha 2 2" xfId="9709"/>
    <cellStyle name="T_Thiet bi_tinh toan hoang ha 3" xfId="9710"/>
    <cellStyle name="T_Thiet bi_tinh toan hoang ha_BIEU KE HOACH  2015 (KTN 6.11 sua)" xfId="9711"/>
    <cellStyle name="T_Thiet bi_Tong von ĐTPT" xfId="9712"/>
    <cellStyle name="T_Thiet bi_Tong von ĐTPT 2" xfId="9713"/>
    <cellStyle name="T_Thiet bi_Tong von ĐTPT 2 2" xfId="9714"/>
    <cellStyle name="T_Thiet bi_Tong von ĐTPT 3" xfId="9715"/>
    <cellStyle name="T_Thiet bi_Tong von ĐTPT_BIEU KE HOACH  2015 (KTN 6.11 sua)" xfId="9716"/>
    <cellStyle name="T_Thiet bi_Viec Huy dang lam" xfId="9717"/>
    <cellStyle name="T_Thiet bi_Viec Huy dang lam_CT 134" xfId="9718"/>
    <cellStyle name="T_Viec Huy dang lam" xfId="9852"/>
    <cellStyle name="T_Viec Huy dang lam_CT 134" xfId="9853"/>
    <cellStyle name="T_ÿÿÿÿÿ" xfId="9854"/>
    <cellStyle name="T_ÿÿÿÿÿ 2" xfId="9855"/>
    <cellStyle name="T_ÿÿÿÿÿ 2 2" xfId="9856"/>
    <cellStyle name="T_ÿÿÿÿÿ 3" xfId="9857"/>
    <cellStyle name="T_ÿÿÿÿÿ 4" xfId="9858"/>
    <cellStyle name="T_ÿÿÿÿÿ 5" xfId="9859"/>
    <cellStyle name="T_ÿÿÿÿÿ_BIEU KE HOACH  2015 (KTN 6.11 sua)" xfId="9860"/>
    <cellStyle name="TD1" xfId="9861"/>
    <cellStyle name="TD1 2" xfId="9862"/>
    <cellStyle name="TD1 2 2" xfId="9863"/>
    <cellStyle name="TD1 3" xfId="9864"/>
    <cellStyle name="TD1 4" xfId="9865"/>
    <cellStyle name="tde" xfId="9866"/>
    <cellStyle name="tde 2" xfId="9867"/>
    <cellStyle name="tde 3" xfId="9868"/>
    <cellStyle name="tde 4" xfId="9869"/>
    <cellStyle name="Text Indent A" xfId="9870"/>
    <cellStyle name="Text Indent A 2" xfId="9871"/>
    <cellStyle name="Text Indent A 3" xfId="9872"/>
    <cellStyle name="Text Indent A 4" xfId="9873"/>
    <cellStyle name="Text Indent B" xfId="9874"/>
    <cellStyle name="Text Indent B 2" xfId="9875"/>
    <cellStyle name="Text Indent B 2 2" xfId="9876"/>
    <cellStyle name="Text Indent B 2 3" xfId="9877"/>
    <cellStyle name="Text Indent B 3" xfId="9878"/>
    <cellStyle name="Text Indent B 4" xfId="9879"/>
    <cellStyle name="Text Indent B 5" xfId="9880"/>
    <cellStyle name="Text Indent C" xfId="9881"/>
    <cellStyle name="Text Indent C 2" xfId="9882"/>
    <cellStyle name="Text Indent C 2 2" xfId="9883"/>
    <cellStyle name="Text Indent C 2 3" xfId="9884"/>
    <cellStyle name="Text Indent C 3" xfId="9885"/>
    <cellStyle name="Text Indent C 4" xfId="9886"/>
    <cellStyle name="Text Indent C 5" xfId="9887"/>
    <cellStyle name="Tiªu ®Ì" xfId="10522"/>
    <cellStyle name="Tiªu ®Ì 2" xfId="10523"/>
    <cellStyle name="Tiªu ®Ì 3" xfId="10524"/>
    <cellStyle name="Tiªu ®Ì 4" xfId="10525"/>
    <cellStyle name="Tien1" xfId="10526"/>
    <cellStyle name="Tien1 2" xfId="10527"/>
    <cellStyle name="Tien1 3" xfId="10528"/>
    <cellStyle name="Tien1 4" xfId="10529"/>
    <cellStyle name="Tieu_de_2" xfId="10530"/>
    <cellStyle name="Times New Roman" xfId="10531"/>
    <cellStyle name="Times New Roman 2" xfId="10532"/>
    <cellStyle name="Times New Roman 3" xfId="10533"/>
    <cellStyle name="Times New Roman 4" xfId="10534"/>
    <cellStyle name="TiÓu môc" xfId="10535"/>
    <cellStyle name="TiÓu môc 2" xfId="10536"/>
    <cellStyle name="TiÓu môc 3" xfId="10537"/>
    <cellStyle name="TiÓu môc 4" xfId="10538"/>
    <cellStyle name="tit1" xfId="10539"/>
    <cellStyle name="tit1 2" xfId="10540"/>
    <cellStyle name="tit1 3" xfId="10541"/>
    <cellStyle name="tit1 4" xfId="10542"/>
    <cellStyle name="tit2" xfId="10543"/>
    <cellStyle name="tit2 2" xfId="10544"/>
    <cellStyle name="tit2 3" xfId="10545"/>
    <cellStyle name="tit2 4" xfId="10546"/>
    <cellStyle name="tit3" xfId="10547"/>
    <cellStyle name="tit3 2" xfId="10548"/>
    <cellStyle name="tit3 3" xfId="10549"/>
    <cellStyle name="tit3 4" xfId="10550"/>
    <cellStyle name="tit4" xfId="10551"/>
    <cellStyle name="tit4 2" xfId="10552"/>
    <cellStyle name="tit4 3" xfId="10553"/>
    <cellStyle name="tit4 4" xfId="10554"/>
    <cellStyle name="Title 2" xfId="10555"/>
    <cellStyle name="Title 2 2" xfId="10556"/>
    <cellStyle name="Title 2 3" xfId="10557"/>
    <cellStyle name="Title 2 4" xfId="10558"/>
    <cellStyle name="Title 3" xfId="10559"/>
    <cellStyle name="Title 4" xfId="10560"/>
    <cellStyle name="TNN" xfId="10561"/>
    <cellStyle name="TNN 2" xfId="10562"/>
    <cellStyle name="TNN 3" xfId="10563"/>
    <cellStyle name="TNN 4" xfId="10564"/>
    <cellStyle name="Tong so" xfId="10565"/>
    <cellStyle name="tong so 1" xfId="10566"/>
    <cellStyle name="Tongcong" xfId="10567"/>
    <cellStyle name="Tongcong 2" xfId="10568"/>
    <cellStyle name="Tongcong 3" xfId="10569"/>
    <cellStyle name="Tongcong 4" xfId="10570"/>
    <cellStyle name="Total 2" xfId="10571"/>
    <cellStyle name="Total 2 2" xfId="10572"/>
    <cellStyle name="Total 2 3" xfId="10573"/>
    <cellStyle name="Total 2 4" xfId="10574"/>
    <cellStyle name="Total 2 5" xfId="10575"/>
    <cellStyle name="Total 3" xfId="10576"/>
    <cellStyle name="Total 4" xfId="10577"/>
    <cellStyle name="Total 5" xfId="10578"/>
    <cellStyle name="Total 6" xfId="10579"/>
    <cellStyle name="ts" xfId="10584"/>
    <cellStyle name="ts 2" xfId="10585"/>
    <cellStyle name="ts 2 2" xfId="10586"/>
    <cellStyle name="ts 2 3" xfId="10587"/>
    <cellStyle name="ts 3" xfId="10588"/>
    <cellStyle name="ts 4" xfId="10589"/>
    <cellStyle name="ts 5" xfId="10590"/>
    <cellStyle name="tt1" xfId="10591"/>
    <cellStyle name="tt1 2" xfId="10592"/>
    <cellStyle name="tt1 3" xfId="10593"/>
    <cellStyle name="tt1 4" xfId="10594"/>
    <cellStyle name="Tusental (0)_pldt" xfId="10595"/>
    <cellStyle name="Tusental_pldt" xfId="10596"/>
    <cellStyle name="th" xfId="9888"/>
    <cellStyle name="th 10" xfId="9889"/>
    <cellStyle name="þ_x001d_ 10" xfId="9890"/>
    <cellStyle name="th 11" xfId="9891"/>
    <cellStyle name="þ_x001d_ 11" xfId="9892"/>
    <cellStyle name="th 12" xfId="9893"/>
    <cellStyle name="þ_x001d_ 12" xfId="9894"/>
    <cellStyle name="th 13" xfId="9895"/>
    <cellStyle name="þ_x001d_ 13" xfId="9896"/>
    <cellStyle name="th 14" xfId="9897"/>
    <cellStyle name="þ_x001d_ 14" xfId="9898"/>
    <cellStyle name="th 15" xfId="9899"/>
    <cellStyle name="þ_x001d_ 15" xfId="9900"/>
    <cellStyle name="th 16" xfId="9901"/>
    <cellStyle name="þ_x001d_ 16" xfId="9902"/>
    <cellStyle name="th 17" xfId="9903"/>
    <cellStyle name="þ_x001d_ 17" xfId="9904"/>
    <cellStyle name="th 18" xfId="9905"/>
    <cellStyle name="þ_x001d_ 18" xfId="9906"/>
    <cellStyle name="th 19" xfId="9907"/>
    <cellStyle name="þ_x001d_ 19" xfId="9908"/>
    <cellStyle name="þ 2" xfId="9909"/>
    <cellStyle name="þ_x001d_ 2" xfId="9910"/>
    <cellStyle name="þ 2 2" xfId="9911"/>
    <cellStyle name="þ_x001d_ 2 2" xfId="9912"/>
    <cellStyle name="th 20" xfId="9913"/>
    <cellStyle name="þ_x001d_ 20" xfId="9914"/>
    <cellStyle name="th 21" xfId="9915"/>
    <cellStyle name="þ_x001d_ 21" xfId="9916"/>
    <cellStyle name="th 22" xfId="9917"/>
    <cellStyle name="þ_x001d_ 22" xfId="9918"/>
    <cellStyle name="th 23" xfId="9919"/>
    <cellStyle name="þ_x001d_ 23" xfId="9920"/>
    <cellStyle name="th 24" xfId="9921"/>
    <cellStyle name="þ_x001d_ 24" xfId="9922"/>
    <cellStyle name="th 25" xfId="9923"/>
    <cellStyle name="þ_x001d_ 25" xfId="9924"/>
    <cellStyle name="th 26" xfId="9925"/>
    <cellStyle name="þ_x001d_ 26" xfId="9926"/>
    <cellStyle name="th 27" xfId="9927"/>
    <cellStyle name="þ_x001d_ 27" xfId="9928"/>
    <cellStyle name="th 28" xfId="9929"/>
    <cellStyle name="þ_x001d_ 28" xfId="9930"/>
    <cellStyle name="th 29" xfId="9931"/>
    <cellStyle name="þ_x001d_ 29" xfId="9932"/>
    <cellStyle name="th 3" xfId="9933"/>
    <cellStyle name="þ_x001d_ 3" xfId="9934"/>
    <cellStyle name="þ_x001d_ 3 2" xfId="9935"/>
    <cellStyle name="th 30" xfId="9936"/>
    <cellStyle name="þ_x001d_ 30" xfId="9937"/>
    <cellStyle name="th 31" xfId="9938"/>
    <cellStyle name="þ_x001d_ 31" xfId="9939"/>
    <cellStyle name="th 32" xfId="9940"/>
    <cellStyle name="þ_x001d_ 32" xfId="9941"/>
    <cellStyle name="th 33" xfId="9942"/>
    <cellStyle name="þ_x001d_ 33" xfId="9943"/>
    <cellStyle name="th 34" xfId="9944"/>
    <cellStyle name="þ_x001d_ 34" xfId="9945"/>
    <cellStyle name="th 35" xfId="9946"/>
    <cellStyle name="þ_x001d_ 35" xfId="9947"/>
    <cellStyle name="th 36" xfId="9948"/>
    <cellStyle name="þ_x001d_ 36" xfId="9949"/>
    <cellStyle name="th 37" xfId="9950"/>
    <cellStyle name="þ_x001d_ 37" xfId="9951"/>
    <cellStyle name="th 38" xfId="9952"/>
    <cellStyle name="þ_x001d_ 38" xfId="9953"/>
    <cellStyle name="th 39" xfId="9954"/>
    <cellStyle name="þ_x001d_ 39" xfId="9955"/>
    <cellStyle name="th 4" xfId="9956"/>
    <cellStyle name="þ_x001d_ 4" xfId="9957"/>
    <cellStyle name="th 40" xfId="9958"/>
    <cellStyle name="þ_x001d_ 40" xfId="9959"/>
    <cellStyle name="th 41" xfId="9960"/>
    <cellStyle name="þ_x001d_ 41" xfId="9961"/>
    <cellStyle name="th 42" xfId="9962"/>
    <cellStyle name="þ_x001d_ 42" xfId="9963"/>
    <cellStyle name="th 43" xfId="9964"/>
    <cellStyle name="þ_x001d_ 43" xfId="9965"/>
    <cellStyle name="th 44" xfId="9966"/>
    <cellStyle name="þ_x001d_ 44" xfId="9967"/>
    <cellStyle name="th 45" xfId="9968"/>
    <cellStyle name="þ_x001d_ 45" xfId="9969"/>
    <cellStyle name="th 46" xfId="9970"/>
    <cellStyle name="þ_x001d_ 46" xfId="9971"/>
    <cellStyle name="th 47" xfId="9972"/>
    <cellStyle name="þ_x001d_ 47" xfId="9973"/>
    <cellStyle name="th 48" xfId="9974"/>
    <cellStyle name="þ_x001d_ 48" xfId="9975"/>
    <cellStyle name="th 49" xfId="9976"/>
    <cellStyle name="þ_x001d_ 49" xfId="9977"/>
    <cellStyle name="th 5" xfId="9978"/>
    <cellStyle name="þ_x001d_ 5" xfId="9979"/>
    <cellStyle name="th 50" xfId="9980"/>
    <cellStyle name="þ_x001d_ 50" xfId="9981"/>
    <cellStyle name="th 51" xfId="9982"/>
    <cellStyle name="þ_x001d_ 51" xfId="9983"/>
    <cellStyle name="th 52" xfId="9984"/>
    <cellStyle name="þ_x001d_ 52" xfId="9985"/>
    <cellStyle name="th 53" xfId="9986"/>
    <cellStyle name="þ_x001d_ 53" xfId="9987"/>
    <cellStyle name="th 54" xfId="9988"/>
    <cellStyle name="þ_x001d_ 54" xfId="9989"/>
    <cellStyle name="th 55" xfId="9990"/>
    <cellStyle name="þ_x001d_ 55" xfId="9991"/>
    <cellStyle name="th 56" xfId="9992"/>
    <cellStyle name="þ_x001d_ 56" xfId="9993"/>
    <cellStyle name="th 57" xfId="9994"/>
    <cellStyle name="þ_x001d_ 57" xfId="9995"/>
    <cellStyle name="th 58" xfId="9996"/>
    <cellStyle name="þ_x001d_ 58" xfId="9997"/>
    <cellStyle name="th 59" xfId="9998"/>
    <cellStyle name="þ_x001d_ 59" xfId="9999"/>
    <cellStyle name="th 6" xfId="10000"/>
    <cellStyle name="þ_x001d_ 6" xfId="10001"/>
    <cellStyle name="th 60" xfId="10002"/>
    <cellStyle name="þ_x001d_ 60" xfId="10003"/>
    <cellStyle name="th 61" xfId="10004"/>
    <cellStyle name="þ_x001d_ 61" xfId="10005"/>
    <cellStyle name="th 7" xfId="10006"/>
    <cellStyle name="þ_x001d_ 7" xfId="10007"/>
    <cellStyle name="th 8" xfId="10008"/>
    <cellStyle name="þ_x001d_ 8" xfId="10009"/>
    <cellStyle name="th 9" xfId="10010"/>
    <cellStyle name="þ_x001d_ 9" xfId="10011"/>
    <cellStyle name="þ_Bieu chi tieu KH 2014 (Huy-04-11)" xfId="10012"/>
    <cellStyle name="th_BIEU KE HOACH  2015 (KTN 6.11 sua)" xfId="10013"/>
    <cellStyle name="þ_x001d__BIEU KE HOACH  2015 (KTN 6.11 sua)" xfId="10014"/>
    <cellStyle name="þ_Copy of Biểu BC điều chỉnh chỉ tiêu NN các huyện chia tách 404 ngay 23.5" xfId="10015"/>
    <cellStyle name="þ_Copy of Biểu BC điều chỉnh chỉ tiêu NN các huyện chia tách 404 ngay 23.5 2" xfId="10016"/>
    <cellStyle name="þ_Copy of Biểu BC điều chỉnh chỉ tiêu NN các huyện chia tách 404 ngay 23.5 3" xfId="10017"/>
    <cellStyle name="þ_DS cac chau thieu nhi. trung tam" xfId="10018"/>
    <cellStyle name="þ_DU THAO BCKT LChâu" xfId="10020"/>
    <cellStyle name="þ_DU THAO BCKT LChâu 2" xfId="10021"/>
    <cellStyle name="þ_Dự kiến danh mục đầu tư NTM năm 2015" xfId="10019"/>
    <cellStyle name="þ_Viec Huy dang lam" xfId="10022"/>
    <cellStyle name="than" xfId="10023"/>
    <cellStyle name="than 2" xfId="10024"/>
    <cellStyle name="than 3" xfId="10025"/>
    <cellStyle name="than 4" xfId="10026"/>
    <cellStyle name="Thanh" xfId="10027"/>
    <cellStyle name="Thanh 2" xfId="10028"/>
    <cellStyle name="Thanh 2 2" xfId="10029"/>
    <cellStyle name="Thanh 2 3" xfId="10030"/>
    <cellStyle name="Thanh 3" xfId="10031"/>
    <cellStyle name="Thanh 4" xfId="10032"/>
    <cellStyle name="Thanh 5" xfId="10033"/>
    <cellStyle name="þ_x001d_ð" xfId="10034"/>
    <cellStyle name="þ_x001d_ð 2" xfId="10035"/>
    <cellStyle name="þ_x001d_ð 2 2" xfId="10036"/>
    <cellStyle name="þ_x001d_ð 3" xfId="10037"/>
    <cellStyle name="þ_x001d_ð 4" xfId="10038"/>
    <cellStyle name="þ_x001d_ð¤_x000c_¯" xfId="10039"/>
    <cellStyle name="þ_x001d_ð¤_x000c_¯ 2" xfId="10040"/>
    <cellStyle name="þ_x001d_ð¤_x000c_¯ 3" xfId="10041"/>
    <cellStyle name="þ_x001d_ð¤_x000c_¯ 4" xfId="10042"/>
    <cellStyle name="þ_x001d_ð¤_x000c_¯þ_x0014__x000d_" xfId="10043"/>
    <cellStyle name="þ_x001d_ð¤_x000c_¯þ_x0014__x000d_ 2" xfId="10044"/>
    <cellStyle name="þ_x001d_ð¤_x000c_¯þ_x0014__x000d_ 3" xfId="10045"/>
    <cellStyle name="þ_x001d_ð¤_x000c_¯þ_x0014__x000d_ 4" xfId="10046"/>
    <cellStyle name="þ_x001d_ð¤_x000c_¯þ_x0014__x000d_¨þU" xfId="10047"/>
    <cellStyle name="þ_x001d_ð¤_x000c_¯þ_x0014__x000d_¨þU_x0001_" xfId="10048"/>
    <cellStyle name="þ_x001d_ð¤_x000c_¯þ_x0014__x000d_¨þU 10" xfId="10049"/>
    <cellStyle name="þ_x001d_ð¤_x000c_¯þ_x0014__x000d_¨þU_x0001_ 10" xfId="10050"/>
    <cellStyle name="þ_x001d_ð¤_x000c_¯þ_x0014__x000d_¨þU 11" xfId="10051"/>
    <cellStyle name="þ_x001d_ð¤_x000c_¯þ_x0014__x000d_¨þU_x0001_ 11" xfId="10052"/>
    <cellStyle name="þ_x001d_ð¤_x000c_¯þ_x0014__x000d_¨þU 12" xfId="10053"/>
    <cellStyle name="þ_x001d_ð¤_x000c_¯þ_x0014__x000d_¨þU_x0001_ 12" xfId="10054"/>
    <cellStyle name="þ_x001d_ð¤_x000c_¯þ_x0014__x000d_¨þU 13" xfId="10055"/>
    <cellStyle name="þ_x001d_ð¤_x000c_¯þ_x0014__x000d_¨þU_x0001_ 13" xfId="10056"/>
    <cellStyle name="þ_x001d_ð¤_x000c_¯þ_x0014__x000d_¨þU 14" xfId="10057"/>
    <cellStyle name="þ_x001d_ð¤_x000c_¯þ_x0014__x000d_¨þU_x0001_ 14" xfId="10058"/>
    <cellStyle name="þ_x001d_ð¤_x000c_¯þ_x0014__x000d_¨þU 15" xfId="10059"/>
    <cellStyle name="þ_x001d_ð¤_x000c_¯þ_x0014__x000d_¨þU_x0001_ 15" xfId="10060"/>
    <cellStyle name="þ_x001d_ð¤_x000c_¯þ_x0014__x000d_¨þU 16" xfId="10061"/>
    <cellStyle name="þ_x001d_ð¤_x000c_¯þ_x0014__x000d_¨þU_x0001_ 16" xfId="10062"/>
    <cellStyle name="þ_x001d_ð¤_x000c_¯þ_x0014__x000d_¨þU 17" xfId="10063"/>
    <cellStyle name="þ_x001d_ð¤_x000c_¯þ_x0014__x000d_¨þU_x0001_ 17" xfId="10064"/>
    <cellStyle name="þ_x001d_ð¤_x000c_¯þ_x0014__x000d_¨þU 18" xfId="10065"/>
    <cellStyle name="þ_x001d_ð¤_x000c_¯þ_x0014__x000d_¨þU_x0001_ 18" xfId="10066"/>
    <cellStyle name="þ_x001d_ð¤_x000c_¯þ_x0014__x000d_¨þU 19" xfId="10067"/>
    <cellStyle name="þ_x001d_ð¤_x000c_¯þ_x0014__x000d_¨þU_x0001_ 19" xfId="10068"/>
    <cellStyle name="þ_x001d_ð¤_x000c_¯þ_x0014__x000d_¨þU 2" xfId="10069"/>
    <cellStyle name="þ_x001d_ð¤_x000c_¯þ_x0014__x000d_¨þU_x0001_ 2" xfId="10070"/>
    <cellStyle name="þ_x001d_ð¤_x000c_¯þ_x0014__x000d_¨þU 20" xfId="10071"/>
    <cellStyle name="þ_x001d_ð¤_x000c_¯þ_x0014__x000d_¨þU_x0001_ 20" xfId="10072"/>
    <cellStyle name="þ_x001d_ð¤_x000c_¯þ_x0014__x000d_¨þU 21" xfId="10073"/>
    <cellStyle name="þ_x001d_ð¤_x000c_¯þ_x0014__x000d_¨þU_x0001_ 21" xfId="10074"/>
    <cellStyle name="þ_x001d_ð¤_x000c_¯þ_x0014__x000d_¨þU 22" xfId="10075"/>
    <cellStyle name="þ_x001d_ð¤_x000c_¯þ_x0014__x000d_¨þU_x0001_ 22" xfId="10076"/>
    <cellStyle name="þ_x001d_ð¤_x000c_¯þ_x0014__x000d_¨þU 23" xfId="10077"/>
    <cellStyle name="þ_x001d_ð¤_x000c_¯þ_x0014__x000d_¨þU_x0001_ 23" xfId="10078"/>
    <cellStyle name="þ_x001d_ð¤_x000c_¯þ_x0014__x000d_¨þU 24" xfId="10079"/>
    <cellStyle name="þ_x001d_ð¤_x000c_¯þ_x0014__x000d_¨þU_x0001_ 24" xfId="10080"/>
    <cellStyle name="þ_x001d_ð¤_x000c_¯þ_x0014__x000d_¨þU 25" xfId="10081"/>
    <cellStyle name="þ_x001d_ð¤_x000c_¯þ_x0014__x000d_¨þU_x0001_ 25" xfId="10082"/>
    <cellStyle name="þ_x001d_ð¤_x000c_¯þ_x0014__x000d_¨þU 26" xfId="10083"/>
    <cellStyle name="þ_x001d_ð¤_x000c_¯þ_x0014__x000d_¨þU_x0001_ 26" xfId="10084"/>
    <cellStyle name="þ_x001d_ð¤_x000c_¯þ_x0014__x000d_¨þU 27" xfId="10085"/>
    <cellStyle name="þ_x001d_ð¤_x000c_¯þ_x0014__x000d_¨þU_x0001_ 27" xfId="10086"/>
    <cellStyle name="þ_x001d_ð¤_x000c_¯þ_x0014__x000d_¨þU 28" xfId="10087"/>
    <cellStyle name="þ_x001d_ð¤_x000c_¯þ_x0014__x000d_¨þU_x0001_ 28" xfId="10088"/>
    <cellStyle name="þ_x001d_ð¤_x000c_¯þ_x0014__x000d_¨þU 29" xfId="10089"/>
    <cellStyle name="þ_x001d_ð¤_x000c_¯þ_x0014__x000d_¨þU_x0001_ 29" xfId="10090"/>
    <cellStyle name="þ_x001d_ð¤_x000c_¯þ_x0014__x000d_¨þU 3" xfId="10091"/>
    <cellStyle name="þ_x001d_ð¤_x000c_¯þ_x0014__x000d_¨þU_x0001_ 3" xfId="10092"/>
    <cellStyle name="þ_x001d_ð¤_x000c_¯þ_x0014__x000d_¨þU 30" xfId="10093"/>
    <cellStyle name="þ_x001d_ð¤_x000c_¯þ_x0014__x000d_¨þU_x0001_ 30" xfId="10094"/>
    <cellStyle name="þ_x001d_ð¤_x000c_¯þ_x0014__x000d_¨þU 31" xfId="10095"/>
    <cellStyle name="þ_x001d_ð¤_x000c_¯þ_x0014__x000d_¨þU_x0001_ 31" xfId="10096"/>
    <cellStyle name="þ_x001d_ð¤_x000c_¯þ_x0014__x000d_¨þU 32" xfId="10097"/>
    <cellStyle name="þ_x001d_ð¤_x000c_¯þ_x0014__x000d_¨þU_x0001_ 32" xfId="10098"/>
    <cellStyle name="þ_x001d_ð¤_x000c_¯þ_x0014__x000d_¨þU 33" xfId="10099"/>
    <cellStyle name="þ_x001d_ð¤_x000c_¯þ_x0014__x000d_¨þU_x0001_ 33" xfId="10100"/>
    <cellStyle name="þ_x001d_ð¤_x000c_¯þ_x0014__x000d_¨þU 34" xfId="10101"/>
    <cellStyle name="þ_x001d_ð¤_x000c_¯þ_x0014__x000d_¨þU_x0001_ 34" xfId="10102"/>
    <cellStyle name="þ_x001d_ð¤_x000c_¯þ_x0014__x000d_¨þU 35" xfId="10103"/>
    <cellStyle name="þ_x001d_ð¤_x000c_¯þ_x0014__x000d_¨þU_x0001_ 35" xfId="10104"/>
    <cellStyle name="þ_x001d_ð¤_x000c_¯þ_x0014__x000d_¨þU 36" xfId="10105"/>
    <cellStyle name="þ_x001d_ð¤_x000c_¯þ_x0014__x000d_¨þU_x0001_ 36" xfId="10106"/>
    <cellStyle name="þ_x001d_ð¤_x000c_¯þ_x0014__x000d_¨þU 37" xfId="10107"/>
    <cellStyle name="þ_x001d_ð¤_x000c_¯þ_x0014__x000d_¨þU_x0001_ 37" xfId="10108"/>
    <cellStyle name="þ_x001d_ð¤_x000c_¯þ_x0014__x000d_¨þU 38" xfId="10109"/>
    <cellStyle name="þ_x001d_ð¤_x000c_¯þ_x0014__x000d_¨þU_x0001_ 38" xfId="10110"/>
    <cellStyle name="þ_x001d_ð¤_x000c_¯þ_x0014__x000d_¨þU 39" xfId="10111"/>
    <cellStyle name="þ_x001d_ð¤_x000c_¯þ_x0014__x000d_¨þU_x0001_ 39" xfId="10112"/>
    <cellStyle name="þ_x001d_ð¤_x000c_¯þ_x0014__x000d_¨þU 4" xfId="10113"/>
    <cellStyle name="þ_x001d_ð¤_x000c_¯þ_x0014__x000d_¨þU_x0001_ 4" xfId="10114"/>
    <cellStyle name="þ_x001d_ð¤_x000c_¯þ_x0014__x000d_¨þU 40" xfId="10115"/>
    <cellStyle name="þ_x001d_ð¤_x000c_¯þ_x0014__x000d_¨þU_x0001_ 40" xfId="10116"/>
    <cellStyle name="þ_x001d_ð¤_x000c_¯þ_x0014__x000d_¨þU 41" xfId="10117"/>
    <cellStyle name="þ_x001d_ð¤_x000c_¯þ_x0014__x000d_¨þU_x0001_ 41" xfId="10118"/>
    <cellStyle name="þ_x001d_ð¤_x000c_¯þ_x0014__x000d_¨þU 42" xfId="10119"/>
    <cellStyle name="þ_x001d_ð¤_x000c_¯þ_x0014__x000d_¨þU_x0001_ 42" xfId="10120"/>
    <cellStyle name="þ_x001d_ð¤_x000c_¯þ_x0014__x000d_¨þU 43" xfId="10121"/>
    <cellStyle name="þ_x001d_ð¤_x000c_¯þ_x0014__x000d_¨þU_x0001_ 43" xfId="10122"/>
    <cellStyle name="þ_x001d_ð¤_x000c_¯þ_x0014__x000d_¨þU 44" xfId="10123"/>
    <cellStyle name="þ_x001d_ð¤_x000c_¯þ_x0014__x000d_¨þU_x0001_ 44" xfId="10124"/>
    <cellStyle name="þ_x001d_ð¤_x000c_¯þ_x0014__x000d_¨þU 45" xfId="10125"/>
    <cellStyle name="þ_x001d_ð¤_x000c_¯þ_x0014__x000d_¨þU_x0001_ 45" xfId="10126"/>
    <cellStyle name="þ_x001d_ð¤_x000c_¯þ_x0014__x000d_¨þU 46" xfId="10127"/>
    <cellStyle name="þ_x001d_ð¤_x000c_¯þ_x0014__x000d_¨þU_x0001_ 46" xfId="10128"/>
    <cellStyle name="þ_x001d_ð¤_x000c_¯þ_x0014__x000d_¨þU 47" xfId="10129"/>
    <cellStyle name="þ_x001d_ð¤_x000c_¯þ_x0014__x000d_¨þU_x0001_ 47" xfId="10130"/>
    <cellStyle name="þ_x001d_ð¤_x000c_¯þ_x0014__x000d_¨þU 48" xfId="10131"/>
    <cellStyle name="þ_x001d_ð¤_x000c_¯þ_x0014__x000d_¨þU_x0001_ 48" xfId="10132"/>
    <cellStyle name="þ_x001d_ð¤_x000c_¯þ_x0014__x000d_¨þU 49" xfId="10133"/>
    <cellStyle name="þ_x001d_ð¤_x000c_¯þ_x0014__x000d_¨þU_x0001_ 49" xfId="10134"/>
    <cellStyle name="þ_x001d_ð¤_x000c_¯þ_x0014__x000d_¨þU 5" xfId="10135"/>
    <cellStyle name="þ_x001d_ð¤_x000c_¯þ_x0014__x000d_¨þU_x0001_ 5" xfId="10136"/>
    <cellStyle name="þ_x001d_ð¤_x000c_¯þ_x0014__x000d_¨þU 50" xfId="10137"/>
    <cellStyle name="þ_x001d_ð¤_x000c_¯þ_x0014__x000d_¨þU_x0001_ 50" xfId="10138"/>
    <cellStyle name="þ_x001d_ð¤_x000c_¯þ_x0014__x000d_¨þU 51" xfId="10139"/>
    <cellStyle name="þ_x001d_ð¤_x000c_¯þ_x0014__x000d_¨þU_x0001_ 51" xfId="10140"/>
    <cellStyle name="þ_x001d_ð¤_x000c_¯þ_x0014__x000d_¨þU 52" xfId="10141"/>
    <cellStyle name="þ_x001d_ð¤_x000c_¯þ_x0014__x000d_¨þU_x0001_ 52" xfId="10142"/>
    <cellStyle name="þ_x001d_ð¤_x000c_¯þ_x0014__x000d_¨þU 53" xfId="10143"/>
    <cellStyle name="þ_x001d_ð¤_x000c_¯þ_x0014__x000d_¨þU_x0001_ 53" xfId="10144"/>
    <cellStyle name="þ_x001d_ð¤_x000c_¯þ_x0014__x000d_¨þU 54" xfId="10145"/>
    <cellStyle name="þ_x001d_ð¤_x000c_¯þ_x0014__x000d_¨þU_x0001_ 54" xfId="10146"/>
    <cellStyle name="þ_x001d_ð¤_x000c_¯þ_x0014__x000d_¨þU 55" xfId="10147"/>
    <cellStyle name="þ_x001d_ð¤_x000c_¯þ_x0014__x000d_¨þU_x0001_ 55" xfId="10148"/>
    <cellStyle name="þ_x001d_ð¤_x000c_¯þ_x0014__x000d_¨þU 56" xfId="10149"/>
    <cellStyle name="þ_x001d_ð¤_x000c_¯þ_x0014__x000d_¨þU_x0001_ 56" xfId="10150"/>
    <cellStyle name="þ_x001d_ð¤_x000c_¯þ_x0014__x000d_¨þU 57" xfId="10151"/>
    <cellStyle name="þ_x001d_ð¤_x000c_¯þ_x0014__x000d_¨þU_x0001_ 57" xfId="10152"/>
    <cellStyle name="þ_x001d_ð¤_x000c_¯þ_x0014__x000d_¨þU 58" xfId="10153"/>
    <cellStyle name="þ_x001d_ð¤_x000c_¯þ_x0014__x000d_¨þU_x0001_ 58" xfId="10154"/>
    <cellStyle name="þ_x001d_ð¤_x000c_¯þ_x0014__x000d_¨þU 59" xfId="10155"/>
    <cellStyle name="þ_x001d_ð¤_x000c_¯þ_x0014__x000d_¨þU_x0001_ 59" xfId="10156"/>
    <cellStyle name="þ_x001d_ð¤_x000c_¯þ_x0014__x000d_¨þU 6" xfId="10157"/>
    <cellStyle name="þ_x001d_ð¤_x000c_¯þ_x0014__x000d_¨þU_x0001_ 6" xfId="10158"/>
    <cellStyle name="þ_x001d_ð¤_x000c_¯þ_x0014__x000d_¨þU 60" xfId="10159"/>
    <cellStyle name="þ_x001d_ð¤_x000c_¯þ_x0014__x000d_¨þU_x0001_ 60" xfId="10160"/>
    <cellStyle name="þ_x001d_ð¤_x000c_¯þ_x0014__x000d_¨þU 7" xfId="10161"/>
    <cellStyle name="þ_x001d_ð¤_x000c_¯þ_x0014__x000d_¨þU_x0001_ 7" xfId="10162"/>
    <cellStyle name="þ_x001d_ð¤_x000c_¯þ_x0014__x000d_¨þU 8" xfId="10163"/>
    <cellStyle name="þ_x001d_ð¤_x000c_¯þ_x0014__x000d_¨þU_x0001_ 8" xfId="10164"/>
    <cellStyle name="þ_x001d_ð¤_x000c_¯þ_x0014__x000d_¨þU 9" xfId="10165"/>
    <cellStyle name="þ_x001d_ð¤_x000c_¯þ_x0014__x000d_¨þU_x0001_ 9" xfId="10166"/>
    <cellStyle name="þ_x001d_ð¤_x000c_¯þ_x0014__x000d_¨þU_x0001_À_x0004_" xfId="10167"/>
    <cellStyle name="þ_x001d_ð¤_x000c_¯þ_x0014__x000d_¨þU_x0001_À_x0004_ 2" xfId="10168"/>
    <cellStyle name="þ_x001d_ð¤_x000c_¯þ_x0014__x000d_¨þU_x0001_À_x0004_ 3" xfId="10169"/>
    <cellStyle name="þ_x001d_ð¤_x000c_¯þ_x0014__x000d_¨þU_x0001_À_x0004_ 4" xfId="10170"/>
    <cellStyle name="þ_x001d_ð¤_x000c_¯þ_x0014__x000d_¨þU_x0001_À_x0004_ _x0015__x000f_" xfId="10171"/>
    <cellStyle name="þ_x001d_ð¤_x000c_¯þ_x0014__x000d_¨þU_x0001_À_x0004_ _x0015__x000f__x0001__x0001_" xfId="10172"/>
    <cellStyle name="þ_x001d_ð¤_x000c_¯þ_x0014__x000d_¨þU_x0001_À_x0004_ _x0015__x000f_ 10" xfId="10173"/>
    <cellStyle name="þ_x001d_ð¤_x000c_¯þ_x0014__x000d_¨þU_x0001_À_x0004_ _x0015__x000f__x0001__x0001_ 10" xfId="10174"/>
    <cellStyle name="þ_x001d_ð¤_x000c_¯þ_x0014__x000d_¨þU_x0001_À_x0004_ _x0015__x000f_ 11" xfId="10175"/>
    <cellStyle name="þ_x001d_ð¤_x000c_¯þ_x0014__x000d_¨þU_x0001_À_x0004_ _x0015__x000f__x0001__x0001_ 11" xfId="10176"/>
    <cellStyle name="þ_x001d_ð¤_x000c_¯þ_x0014__x000d_¨þU_x0001_À_x0004_ _x0015__x000f_ 12" xfId="10177"/>
    <cellStyle name="þ_x001d_ð¤_x000c_¯þ_x0014__x000d_¨þU_x0001_À_x0004_ _x0015__x000f__x0001__x0001_ 12" xfId="10178"/>
    <cellStyle name="þ_x001d_ð¤_x000c_¯þ_x0014__x000d_¨þU_x0001_À_x0004_ _x0015__x000f_ 13" xfId="10179"/>
    <cellStyle name="þ_x001d_ð¤_x000c_¯þ_x0014__x000d_¨þU_x0001_À_x0004_ _x0015__x000f__x0001__x0001_ 13" xfId="10180"/>
    <cellStyle name="þ_x001d_ð¤_x000c_¯þ_x0014__x000d_¨þU_x0001_À_x0004_ _x0015__x000f_ 14" xfId="10181"/>
    <cellStyle name="þ_x001d_ð¤_x000c_¯þ_x0014__x000d_¨þU_x0001_À_x0004_ _x0015__x000f__x0001__x0001_ 14" xfId="10182"/>
    <cellStyle name="þ_x001d_ð¤_x000c_¯þ_x0014__x000d_¨þU_x0001_À_x0004_ _x0015__x000f_ 15" xfId="10183"/>
    <cellStyle name="þ_x001d_ð¤_x000c_¯þ_x0014__x000d_¨þU_x0001_À_x0004_ _x0015__x000f__x0001__x0001_ 15" xfId="10184"/>
    <cellStyle name="þ_x001d_ð¤_x000c_¯þ_x0014__x000d_¨þU_x0001_À_x0004_ _x0015__x000f_ 16" xfId="10185"/>
    <cellStyle name="þ_x001d_ð¤_x000c_¯þ_x0014__x000d_¨þU_x0001_À_x0004_ _x0015__x000f__x0001__x0001_ 16" xfId="10186"/>
    <cellStyle name="þ_x001d_ð¤_x000c_¯þ_x0014__x000d_¨þU_x0001_À_x0004_ _x0015__x000f_ 17" xfId="10187"/>
    <cellStyle name="þ_x001d_ð¤_x000c_¯þ_x0014__x000d_¨þU_x0001_À_x0004_ _x0015__x000f__x0001__x0001_ 17" xfId="10188"/>
    <cellStyle name="þ_x001d_ð¤_x000c_¯þ_x0014__x000d_¨þU_x0001_À_x0004_ _x0015__x000f_ 18" xfId="10189"/>
    <cellStyle name="þ_x001d_ð¤_x000c_¯þ_x0014__x000d_¨þU_x0001_À_x0004_ _x0015__x000f__x0001__x0001_ 18" xfId="10190"/>
    <cellStyle name="þ_x001d_ð¤_x000c_¯þ_x0014__x000d_¨þU_x0001_À_x0004_ _x0015__x000f_ 19" xfId="10191"/>
    <cellStyle name="þ_x001d_ð¤_x000c_¯þ_x0014__x000d_¨þU_x0001_À_x0004_ _x0015__x000f__x0001__x0001_ 19" xfId="10192"/>
    <cellStyle name="þ_x001d_ð¤_x000c_¯þ_x0014__x000d_¨þU_x0001_À_x0004_ _x0015__x000f_ 2" xfId="10193"/>
    <cellStyle name="þ_x001d_ð¤_x000c_¯þ_x0014__x000d_¨þU_x0001_À_x0004_ _x0015__x000f__x0001__x0001_ 2" xfId="10194"/>
    <cellStyle name="þ_x001d_ð¤_x000c_¯þ_x0014__x000d_¨þU_x0001_À_x0004_ _x0015__x000f_ 20" xfId="10195"/>
    <cellStyle name="þ_x001d_ð¤_x000c_¯þ_x0014__x000d_¨þU_x0001_À_x0004_ _x0015__x000f__x0001__x0001_ 20" xfId="10196"/>
    <cellStyle name="þ_x001d_ð¤_x000c_¯þ_x0014__x000d_¨þU_x0001_À_x0004_ _x0015__x000f_ 21" xfId="10197"/>
    <cellStyle name="þ_x001d_ð¤_x000c_¯þ_x0014__x000d_¨þU_x0001_À_x0004_ _x0015__x000f__x0001__x0001_ 21" xfId="10198"/>
    <cellStyle name="þ_x001d_ð¤_x000c_¯þ_x0014__x000d_¨þU_x0001_À_x0004_ _x0015__x000f_ 22" xfId="10199"/>
    <cellStyle name="þ_x001d_ð¤_x000c_¯þ_x0014__x000d_¨þU_x0001_À_x0004_ _x0015__x000f__x0001__x0001_ 22" xfId="10200"/>
    <cellStyle name="þ_x001d_ð¤_x000c_¯þ_x0014__x000d_¨þU_x0001_À_x0004_ _x0015__x000f_ 23" xfId="10201"/>
    <cellStyle name="þ_x001d_ð¤_x000c_¯þ_x0014__x000d_¨þU_x0001_À_x0004_ _x0015__x000f__x0001__x0001_ 23" xfId="10202"/>
    <cellStyle name="þ_x001d_ð¤_x000c_¯þ_x0014__x000d_¨þU_x0001_À_x0004_ _x0015__x000f_ 24" xfId="10203"/>
    <cellStyle name="þ_x001d_ð¤_x000c_¯þ_x0014__x000d_¨þU_x0001_À_x0004_ _x0015__x000f__x0001__x0001_ 24" xfId="10204"/>
    <cellStyle name="þ_x001d_ð¤_x000c_¯þ_x0014__x000d_¨þU_x0001_À_x0004_ _x0015__x000f_ 25" xfId="10205"/>
    <cellStyle name="þ_x001d_ð¤_x000c_¯þ_x0014__x000d_¨þU_x0001_À_x0004_ _x0015__x000f__x0001__x0001_ 25" xfId="10206"/>
    <cellStyle name="þ_x001d_ð¤_x000c_¯þ_x0014__x000d_¨þU_x0001_À_x0004_ _x0015__x000f_ 26" xfId="10207"/>
    <cellStyle name="þ_x001d_ð¤_x000c_¯þ_x0014__x000d_¨þU_x0001_À_x0004_ _x0015__x000f__x0001__x0001_ 26" xfId="10208"/>
    <cellStyle name="þ_x001d_ð¤_x000c_¯þ_x0014__x000d_¨þU_x0001_À_x0004_ _x0015__x000f_ 27" xfId="10209"/>
    <cellStyle name="þ_x001d_ð¤_x000c_¯þ_x0014__x000d_¨þU_x0001_À_x0004_ _x0015__x000f__x0001__x0001_ 27" xfId="10210"/>
    <cellStyle name="þ_x001d_ð¤_x000c_¯þ_x0014__x000d_¨þU_x0001_À_x0004_ _x0015__x000f_ 28" xfId="10211"/>
    <cellStyle name="þ_x001d_ð¤_x000c_¯þ_x0014__x000d_¨þU_x0001_À_x0004_ _x0015__x000f__x0001__x0001_ 28" xfId="10212"/>
    <cellStyle name="þ_x001d_ð¤_x000c_¯þ_x0014__x000d_¨þU_x0001_À_x0004_ _x0015__x000f_ 29" xfId="10213"/>
    <cellStyle name="þ_x001d_ð¤_x000c_¯þ_x0014__x000d_¨þU_x0001_À_x0004_ _x0015__x000f__x0001__x0001_ 29" xfId="10214"/>
    <cellStyle name="þ_x001d_ð¤_x000c_¯þ_x0014__x000d_¨þU_x0001_À_x0004_ _x0015__x000f_ 3" xfId="10215"/>
    <cellStyle name="þ_x001d_ð¤_x000c_¯þ_x0014__x000d_¨þU_x0001_À_x0004_ _x0015__x000f__x0001__x0001_ 3" xfId="10216"/>
    <cellStyle name="þ_x001d_ð¤_x000c_¯þ_x0014__x000d_¨þU_x0001_À_x0004_ _x0015__x000f_ 30" xfId="10217"/>
    <cellStyle name="þ_x001d_ð¤_x000c_¯þ_x0014__x000d_¨þU_x0001_À_x0004_ _x0015__x000f__x0001__x0001_ 30" xfId="10218"/>
    <cellStyle name="þ_x001d_ð¤_x000c_¯þ_x0014__x000d_¨þU_x0001_À_x0004_ _x0015__x000f_ 31" xfId="10219"/>
    <cellStyle name="þ_x001d_ð¤_x000c_¯þ_x0014__x000d_¨þU_x0001_À_x0004_ _x0015__x000f__x0001__x0001_ 31" xfId="10220"/>
    <cellStyle name="þ_x001d_ð¤_x000c_¯þ_x0014__x000d_¨þU_x0001_À_x0004_ _x0015__x000f_ 32" xfId="10221"/>
    <cellStyle name="þ_x001d_ð¤_x000c_¯þ_x0014__x000d_¨þU_x0001_À_x0004_ _x0015__x000f__x0001__x0001_ 32" xfId="10222"/>
    <cellStyle name="þ_x001d_ð¤_x000c_¯þ_x0014__x000d_¨þU_x0001_À_x0004_ _x0015__x000f_ 33" xfId="10223"/>
    <cellStyle name="þ_x001d_ð¤_x000c_¯þ_x0014__x000d_¨þU_x0001_À_x0004_ _x0015__x000f__x0001__x0001_ 33" xfId="10224"/>
    <cellStyle name="þ_x001d_ð¤_x000c_¯þ_x0014__x000d_¨þU_x0001_À_x0004_ _x0015__x000f_ 34" xfId="10225"/>
    <cellStyle name="þ_x001d_ð¤_x000c_¯þ_x0014__x000d_¨þU_x0001_À_x0004_ _x0015__x000f__x0001__x0001_ 34" xfId="10226"/>
    <cellStyle name="þ_x001d_ð¤_x000c_¯þ_x0014__x000d_¨þU_x0001_À_x0004_ _x0015__x000f_ 35" xfId="10227"/>
    <cellStyle name="þ_x001d_ð¤_x000c_¯þ_x0014__x000d_¨þU_x0001_À_x0004_ _x0015__x000f__x0001__x0001_ 35" xfId="10228"/>
    <cellStyle name="þ_x001d_ð¤_x000c_¯þ_x0014__x000d_¨þU_x0001_À_x0004_ _x0015__x000f_ 36" xfId="10229"/>
    <cellStyle name="þ_x001d_ð¤_x000c_¯þ_x0014__x000d_¨þU_x0001_À_x0004_ _x0015__x000f__x0001__x0001_ 36" xfId="10230"/>
    <cellStyle name="þ_x001d_ð¤_x000c_¯þ_x0014__x000d_¨þU_x0001_À_x0004_ _x0015__x000f_ 37" xfId="10231"/>
    <cellStyle name="þ_x001d_ð¤_x000c_¯þ_x0014__x000d_¨þU_x0001_À_x0004_ _x0015__x000f__x0001__x0001_ 37" xfId="10232"/>
    <cellStyle name="þ_x001d_ð¤_x000c_¯þ_x0014__x000d_¨þU_x0001_À_x0004_ _x0015__x000f_ 38" xfId="10233"/>
    <cellStyle name="þ_x001d_ð¤_x000c_¯þ_x0014__x000d_¨þU_x0001_À_x0004_ _x0015__x000f__x0001__x0001_ 38" xfId="10234"/>
    <cellStyle name="þ_x001d_ð¤_x000c_¯þ_x0014__x000d_¨þU_x0001_À_x0004_ _x0015__x000f_ 39" xfId="10235"/>
    <cellStyle name="þ_x001d_ð¤_x000c_¯þ_x0014__x000d_¨þU_x0001_À_x0004_ _x0015__x000f__x0001__x0001_ 39" xfId="10236"/>
    <cellStyle name="þ_x001d_ð¤_x000c_¯þ_x0014__x000d_¨þU_x0001_À_x0004_ _x0015__x000f_ 4" xfId="10237"/>
    <cellStyle name="þ_x001d_ð¤_x000c_¯þ_x0014__x000d_¨þU_x0001_À_x0004_ _x0015__x000f__x0001__x0001_ 4" xfId="10238"/>
    <cellStyle name="þ_x001d_ð¤_x000c_¯þ_x0014__x000d_¨þU_x0001_À_x0004_ _x0015__x000f_ 40" xfId="10239"/>
    <cellStyle name="þ_x001d_ð¤_x000c_¯þ_x0014__x000d_¨þU_x0001_À_x0004_ _x0015__x000f__x0001__x0001_ 40" xfId="10240"/>
    <cellStyle name="þ_x001d_ð¤_x000c_¯þ_x0014__x000d_¨þU_x0001_À_x0004_ _x0015__x000f_ 41" xfId="10241"/>
    <cellStyle name="þ_x001d_ð¤_x000c_¯þ_x0014__x000d_¨þU_x0001_À_x0004_ _x0015__x000f__x0001__x0001_ 41" xfId="10242"/>
    <cellStyle name="þ_x001d_ð¤_x000c_¯þ_x0014__x000d_¨þU_x0001_À_x0004_ _x0015__x000f_ 42" xfId="10243"/>
    <cellStyle name="þ_x001d_ð¤_x000c_¯þ_x0014__x000d_¨þU_x0001_À_x0004_ _x0015__x000f__x0001__x0001_ 42" xfId="10244"/>
    <cellStyle name="þ_x001d_ð¤_x000c_¯þ_x0014__x000d_¨þU_x0001_À_x0004_ _x0015__x000f_ 43" xfId="10245"/>
    <cellStyle name="þ_x001d_ð¤_x000c_¯þ_x0014__x000d_¨þU_x0001_À_x0004_ _x0015__x000f__x0001__x0001_ 43" xfId="10246"/>
    <cellStyle name="þ_x001d_ð¤_x000c_¯þ_x0014__x000d_¨þU_x0001_À_x0004_ _x0015__x000f_ 44" xfId="10247"/>
    <cellStyle name="þ_x001d_ð¤_x000c_¯þ_x0014__x000d_¨þU_x0001_À_x0004_ _x0015__x000f__x0001__x0001_ 44" xfId="10248"/>
    <cellStyle name="þ_x001d_ð¤_x000c_¯þ_x0014__x000d_¨þU_x0001_À_x0004_ _x0015__x000f_ 45" xfId="10249"/>
    <cellStyle name="þ_x001d_ð¤_x000c_¯þ_x0014__x000d_¨þU_x0001_À_x0004_ _x0015__x000f__x0001__x0001_ 45" xfId="10250"/>
    <cellStyle name="þ_x001d_ð¤_x000c_¯þ_x0014__x000d_¨þU_x0001_À_x0004_ _x0015__x000f_ 46" xfId="10251"/>
    <cellStyle name="þ_x001d_ð¤_x000c_¯þ_x0014__x000d_¨þU_x0001_À_x0004_ _x0015__x000f__x0001__x0001_ 46" xfId="10252"/>
    <cellStyle name="þ_x001d_ð¤_x000c_¯þ_x0014__x000d_¨þU_x0001_À_x0004_ _x0015__x000f_ 47" xfId="10253"/>
    <cellStyle name="þ_x001d_ð¤_x000c_¯þ_x0014__x000d_¨þU_x0001_À_x0004_ _x0015__x000f__x0001__x0001_ 47" xfId="10254"/>
    <cellStyle name="þ_x001d_ð¤_x000c_¯þ_x0014__x000d_¨þU_x0001_À_x0004_ _x0015__x000f_ 48" xfId="10255"/>
    <cellStyle name="þ_x001d_ð¤_x000c_¯þ_x0014__x000d_¨þU_x0001_À_x0004_ _x0015__x000f__x0001__x0001_ 48" xfId="10256"/>
    <cellStyle name="þ_x001d_ð¤_x000c_¯þ_x0014__x000d_¨þU_x0001_À_x0004_ _x0015__x000f_ 49" xfId="10257"/>
    <cellStyle name="þ_x001d_ð¤_x000c_¯þ_x0014__x000d_¨þU_x0001_À_x0004_ _x0015__x000f__x0001__x0001_ 49" xfId="10258"/>
    <cellStyle name="þ_x001d_ð¤_x000c_¯þ_x0014__x000d_¨þU_x0001_À_x0004_ _x0015__x000f_ 5" xfId="10259"/>
    <cellStyle name="þ_x001d_ð¤_x000c_¯þ_x0014__x000d_¨þU_x0001_À_x0004_ _x0015__x000f__x0001__x0001_ 5" xfId="10260"/>
    <cellStyle name="þ_x001d_ð¤_x000c_¯þ_x0014__x000d_¨þU_x0001_À_x0004_ _x0015__x000f_ 50" xfId="10261"/>
    <cellStyle name="þ_x001d_ð¤_x000c_¯þ_x0014__x000d_¨þU_x0001_À_x0004_ _x0015__x000f__x0001__x0001_ 50" xfId="10262"/>
    <cellStyle name="þ_x001d_ð¤_x000c_¯þ_x0014__x000d_¨þU_x0001_À_x0004_ _x0015__x000f_ 51" xfId="10263"/>
    <cellStyle name="þ_x001d_ð¤_x000c_¯þ_x0014__x000d_¨þU_x0001_À_x0004_ _x0015__x000f__x0001__x0001_ 51" xfId="10264"/>
    <cellStyle name="þ_x001d_ð¤_x000c_¯þ_x0014__x000d_¨þU_x0001_À_x0004_ _x0015__x000f_ 52" xfId="10265"/>
    <cellStyle name="þ_x001d_ð¤_x000c_¯þ_x0014__x000d_¨þU_x0001_À_x0004_ _x0015__x000f__x0001__x0001_ 52" xfId="10266"/>
    <cellStyle name="þ_x001d_ð¤_x000c_¯þ_x0014__x000d_¨þU_x0001_À_x0004_ _x0015__x000f_ 53" xfId="10267"/>
    <cellStyle name="þ_x001d_ð¤_x000c_¯þ_x0014__x000d_¨þU_x0001_À_x0004_ _x0015__x000f__x0001__x0001_ 53" xfId="10268"/>
    <cellStyle name="þ_x001d_ð¤_x000c_¯þ_x0014__x000d_¨þU_x0001_À_x0004_ _x0015__x000f_ 54" xfId="10269"/>
    <cellStyle name="þ_x001d_ð¤_x000c_¯þ_x0014__x000d_¨þU_x0001_À_x0004_ _x0015__x000f__x0001__x0001_ 54" xfId="10270"/>
    <cellStyle name="þ_x001d_ð¤_x000c_¯þ_x0014__x000d_¨þU_x0001_À_x0004_ _x0015__x000f_ 55" xfId="10271"/>
    <cellStyle name="þ_x001d_ð¤_x000c_¯þ_x0014__x000d_¨þU_x0001_À_x0004_ _x0015__x000f__x0001__x0001_ 55" xfId="10272"/>
    <cellStyle name="þ_x001d_ð¤_x000c_¯þ_x0014__x000d_¨þU_x0001_À_x0004_ _x0015__x000f_ 56" xfId="10273"/>
    <cellStyle name="þ_x001d_ð¤_x000c_¯þ_x0014__x000d_¨þU_x0001_À_x0004_ _x0015__x000f__x0001__x0001_ 56" xfId="10274"/>
    <cellStyle name="þ_x001d_ð¤_x000c_¯þ_x0014__x000d_¨þU_x0001_À_x0004_ _x0015__x000f_ 57" xfId="10275"/>
    <cellStyle name="þ_x001d_ð¤_x000c_¯þ_x0014__x000d_¨þU_x0001_À_x0004_ _x0015__x000f__x0001__x0001_ 57" xfId="10276"/>
    <cellStyle name="þ_x001d_ð¤_x000c_¯þ_x0014__x000d_¨þU_x0001_À_x0004_ _x0015__x000f_ 58" xfId="10277"/>
    <cellStyle name="þ_x001d_ð¤_x000c_¯þ_x0014__x000d_¨þU_x0001_À_x0004_ _x0015__x000f__x0001__x0001_ 58" xfId="10278"/>
    <cellStyle name="þ_x001d_ð¤_x000c_¯þ_x0014__x000d_¨þU_x0001_À_x0004_ _x0015__x000f_ 59" xfId="10279"/>
    <cellStyle name="þ_x001d_ð¤_x000c_¯þ_x0014__x000d_¨þU_x0001_À_x0004_ _x0015__x000f__x0001__x0001_ 59" xfId="10280"/>
    <cellStyle name="þ_x001d_ð¤_x000c_¯þ_x0014__x000d_¨þU_x0001_À_x0004_ _x0015__x000f_ 6" xfId="10281"/>
    <cellStyle name="þ_x001d_ð¤_x000c_¯þ_x0014__x000d_¨þU_x0001_À_x0004_ _x0015__x000f__x0001__x0001_ 6" xfId="10282"/>
    <cellStyle name="þ_x001d_ð¤_x000c_¯þ_x0014__x000d_¨þU_x0001_À_x0004_ _x0015__x000f_ 60" xfId="10283"/>
    <cellStyle name="þ_x001d_ð¤_x000c_¯þ_x0014__x000d_¨þU_x0001_À_x0004_ _x0015__x000f__x0001__x0001_ 60" xfId="10284"/>
    <cellStyle name="þ_x001d_ð¤_x000c_¯þ_x0014__x000d_¨þU_x0001_À_x0004_ _x0015__x000f_ 7" xfId="10285"/>
    <cellStyle name="þ_x001d_ð¤_x000c_¯þ_x0014__x000d_¨þU_x0001_À_x0004_ _x0015__x000f__x0001__x0001_ 7" xfId="10286"/>
    <cellStyle name="þ_x001d_ð¤_x000c_¯þ_x0014__x000d_¨þU_x0001_À_x0004_ _x0015__x000f_ 8" xfId="10287"/>
    <cellStyle name="þ_x001d_ð¤_x000c_¯þ_x0014__x000d_¨þU_x0001_À_x0004_ _x0015__x000f__x0001__x0001_ 8" xfId="10288"/>
    <cellStyle name="þ_x001d_ð¤_x000c_¯þ_x0014__x000d_¨þU_x0001_À_x0004_ _x0015__x000f_ 9" xfId="10289"/>
    <cellStyle name="þ_x001d_ð¤_x000c_¯þ_x0014__x000d_¨þU_x0001_À_x0004_ _x0015__x000f__x0001__x0001_ 9" xfId="10290"/>
    <cellStyle name="þ_x001d_ð¤_x000c_¯þ_x0014__x000d_¨þU_x0001_À_x0004_ _x0015__x000f__x0001__x0001_?_x0002_ÿÿÿÿÿÿÿÿÿÿÿÿÿÿÿ¯?(_x0002__x001d__x0017_ ???º%ÿÿÿÿ????_x0006__x0016_??????????????Í!Ë??????????           ?????           ?????????_x000d__x000d_U_x000d_H\D2_x000d_D2\DEMO.MSC_x000d_S;C:\DOS;C:\HANH\D3;C:\HANH\D2;C:\NC_x000d_????????????????????????????????????????????????????????????" xfId="10291"/>
    <cellStyle name="þ_x001d_ð¤_x000c_¯þ_x0014__x000d_¨þU_x0001_À_x0004_ _x0015__x000f__x0001__x0001_?_x0002_ÿÿÿÿÿÿÿÿÿÿÿÿÿÿÿ¯?(_x0002__x001d__x0017_ ???º%ÿÿÿÿ????_x0006__x0016_??????????????Í!Ë??????????           ?????           ?????????_x000d__x000d_U_x000d_H\D2_x000d_D2\DEMO.MSC_x000d_S;C:\DOS;C:\HANH\D3;C:\HANH\D2;C:\NC_x000d_???????????????????????????????????????????????????????????? 2" xfId="10292"/>
    <cellStyle name="þ_x001d_ð¤_x000c_¯þ_x0014__x000d_¨þU_x0001_À_x0004_ _x0015__x000f__x0001__x0001_?_x0002_ÿÿÿÿÿÿÿÿÿÿÿÿÿÿÿ¯?(_x0002__x001d__x0017_ ???º%ÿÿÿÿ????_x0006__x0016_??????????????Í!Ë??????????           ?????           ?????????_x000d__x000d_U_x000d_H\D2_x000d_D2\DEMO.MSC_x000d_S;C:\DOS;C:\HANH\D3;C:\HANH\D2;C:\NC_x000d_???????????????????????????????????????????????????????????? 3" xfId="10293"/>
    <cellStyle name="þ_x001d_ð¤_x000c_¯þ_x0014__x000d_¨þU_x0001_À_x0004_ _x0015__x000f__x0001__x0001_?_x0002_ÿÿÿÿÿÿÿÿÿÿÿÿÿÿÿ¯?(_x0002__x001d__x0017_ ???º%ÿÿÿÿ????_x0006__x0016_??????????????Í!Ë??????????           ?????           ?????????_x000d__x000d_U_x000d_H\D2_x000d_D2\DEMO.MSC_x000d_S;C:\DOS;C:\HANH\D3;C:\HANH\D2;C:\NC_x000d_???????????????????????????????????????????????????????????? 4" xfId="10294"/>
    <cellStyle name="þ_x001d_ð¤_x000c_¯þ_x0014__x000d_¨þU_x0001_À_x0004_ _x0015__x000f__x0001__x0001__bieumau 1" xfId="10295"/>
    <cellStyle name="þ_x001d_ð·" xfId="10296"/>
    <cellStyle name="þ_x001d_ð· 2" xfId="10297"/>
    <cellStyle name="þ_x001d_ð· 2 2" xfId="10298"/>
    <cellStyle name="þ_x001d_ð· 3" xfId="10299"/>
    <cellStyle name="þ_x001d_ð· 4" xfId="10300"/>
    <cellStyle name="þ_x001d_ð· 5" xfId="10301"/>
    <cellStyle name="þ_x001d_ð·_x000c_æ" xfId="10302"/>
    <cellStyle name="þ_x001d_ð·_x000c_æ 2" xfId="10303"/>
    <cellStyle name="þ_x001d_ð·_x000c_æþ" xfId="10304"/>
    <cellStyle name="þ_x001d_ð·_x000c_æþ'" xfId="10305"/>
    <cellStyle name="þ_x001d_ð·_x000c_æþ 2" xfId="10306"/>
    <cellStyle name="þ_x001d_ð·_x000c_æþ' 2" xfId="10307"/>
    <cellStyle name="þ_x001d_ð·_x000c_æþ'_x000d_" xfId="10308"/>
    <cellStyle name="þ_x001d_ð·_x000c_æþ'_x000d_ 2" xfId="10309"/>
    <cellStyle name="þ_x001d_ð·_x000c_æþ'_x000d_ 2 2" xfId="10310"/>
    <cellStyle name="þ_x001d_ð·_x000c_æþ'_x000d_ 3" xfId="10311"/>
    <cellStyle name="þ_x001d_ð·_x000c_æþ'_x000d_ß" xfId="10312"/>
    <cellStyle name="þ_x001d_ð·_x000c_æþ'_x000d_ß 2" xfId="10313"/>
    <cellStyle name="þ_x001d_ð·_x000c_æþ'_x000d_ßþ" xfId="10314"/>
    <cellStyle name="þ_x001d_ð·_x000c_æþ'_x000d_ßþ 2" xfId="10315"/>
    <cellStyle name="þ_x001d_ð·_x000c_æþ'_x000d_ßþU" xfId="10316"/>
    <cellStyle name="þ_x001d_ð·_x000c_æþ'_x000d_ßþU_x0001_" xfId="10317"/>
    <cellStyle name="þ_x001d_ð·_x000c_æþ'_x000d_ßþU 2" xfId="10318"/>
    <cellStyle name="þ_x001d_ð·_x000c_æþ'_x000d_ßþU_x0001_ 2" xfId="10319"/>
    <cellStyle name="þ_x001d_ð·_x000c_æþ'_x000d_ßþU_x0001_Ø" xfId="10320"/>
    <cellStyle name="þ_x001d_ð·_x000c_æþ'_x000d_ßþU_x0001_Ø_x0005_" xfId="10321"/>
    <cellStyle name="þ_x001d_ð·_x000c_æþ'_x000d_ßþU_x0001_Ø 2" xfId="10322"/>
    <cellStyle name="þ_x001d_ð·_x000c_æþ'_x000d_ßþU_x0001_Ø_x0005_ 2" xfId="10323"/>
    <cellStyle name="þ_x001d_ð·_x000c_æþ'_x000d_ßþU_x0001_Ø_x0005_ü" xfId="10324"/>
    <cellStyle name="þ_x001d_ð·_x000c_æþ'_x000d_ßþU_x0001_Ø_x0005_ü_x0014_" xfId="10325"/>
    <cellStyle name="þ_x001d_ð·_x000c_æþ'_x000d_ßþU_x0001_Ø_x0005_ü_x0014__x0007_" xfId="10326"/>
    <cellStyle name="þ_x001d_ð·_x000c_æþ'_x000d_ßþU_x0001_Ø_x0005_ü_x0014__x0007__x0001_" xfId="10327"/>
    <cellStyle name="þ_x001d_ð·_x000c_æþ'_x000d_ßþU_x0001_Ø_x0005_ü_x0014__x0007__x0001__x0001_" xfId="10328"/>
    <cellStyle name="þ_x001d_ð·_x000c_æþ'_x000d_ßþU_x0001_Ø_x0005_ü_x0014__x0007__x0001_ 10" xfId="10329"/>
    <cellStyle name="þ_x001d_ð·_x000c_æþ'_x000d_ßþU_x0001_Ø_x0005_ü_x0014__x0007__x0001__x0001_ 10" xfId="10330"/>
    <cellStyle name="þ_x001d_ð·_x000c_æþ'_x000d_ßþU_x0001_Ø_x0005_ü_x0014__x0007__x0001_ 11" xfId="10331"/>
    <cellStyle name="þ_x001d_ð·_x000c_æþ'_x000d_ßþU_x0001_Ø_x0005_ü_x0014__x0007__x0001__x0001_ 11" xfId="10332"/>
    <cellStyle name="þ_x001d_ð·_x000c_æþ'_x000d_ßþU_x0001_Ø_x0005_ü_x0014__x0007__x0001_ 12" xfId="10333"/>
    <cellStyle name="þ_x001d_ð·_x000c_æþ'_x000d_ßþU_x0001_Ø_x0005_ü_x0014__x0007__x0001__x0001_ 12" xfId="10334"/>
    <cellStyle name="þ_x001d_ð·_x000c_æþ'_x000d_ßþU_x0001_Ø_x0005_ü_x0014__x0007__x0001_ 13" xfId="10335"/>
    <cellStyle name="þ_x001d_ð·_x000c_æþ'_x000d_ßþU_x0001_Ø_x0005_ü_x0014__x0007__x0001__x0001_ 13" xfId="10336"/>
    <cellStyle name="þ_x001d_ð·_x000c_æþ'_x000d_ßþU_x0001_Ø_x0005_ü_x0014__x0007__x0001_ 14" xfId="10337"/>
    <cellStyle name="þ_x001d_ð·_x000c_æþ'_x000d_ßþU_x0001_Ø_x0005_ü_x0014__x0007__x0001__x0001_ 14" xfId="10338"/>
    <cellStyle name="þ_x001d_ð·_x000c_æþ'_x000d_ßþU_x0001_Ø_x0005_ü_x0014__x0007__x0001_ 15" xfId="10339"/>
    <cellStyle name="þ_x001d_ð·_x000c_æþ'_x000d_ßþU_x0001_Ø_x0005_ü_x0014__x0007__x0001__x0001_ 15" xfId="10340"/>
    <cellStyle name="þ_x001d_ð·_x000c_æþ'_x000d_ßþU_x0001_Ø_x0005_ü_x0014__x0007__x0001_ 16" xfId="10341"/>
    <cellStyle name="þ_x001d_ð·_x000c_æþ'_x000d_ßþU_x0001_Ø_x0005_ü_x0014__x0007__x0001__x0001_ 16" xfId="10342"/>
    <cellStyle name="þ_x001d_ð·_x000c_æþ'_x000d_ßþU_x0001_Ø_x0005_ü_x0014__x0007__x0001_ 17" xfId="10343"/>
    <cellStyle name="þ_x001d_ð·_x000c_æþ'_x000d_ßþU_x0001_Ø_x0005_ü_x0014__x0007__x0001__x0001_ 17" xfId="10344"/>
    <cellStyle name="þ_x001d_ð·_x000c_æþ'_x000d_ßþU_x0001_Ø_x0005_ü_x0014__x0007__x0001_ 18" xfId="10345"/>
    <cellStyle name="þ_x001d_ð·_x000c_æþ'_x000d_ßþU_x0001_Ø_x0005_ü_x0014__x0007__x0001__x0001_ 18" xfId="10346"/>
    <cellStyle name="þ_x001d_ð·_x000c_æþ'_x000d_ßþU_x0001_Ø_x0005_ü_x0014__x0007__x0001_ 19" xfId="10347"/>
    <cellStyle name="þ_x001d_ð·_x000c_æþ'_x000d_ßþU_x0001_Ø_x0005_ü_x0014__x0007__x0001__x0001_ 19" xfId="10348"/>
    <cellStyle name="þ_x001d_ð·_x000c_æþ'_x000d_ßþU_x0001_Ø_x0005_ü 2" xfId="10349"/>
    <cellStyle name="þ_x001d_ð·_x000c_æþ'_x000d_ßþU_x0001_Ø_x0005_ü_x0014_ 2" xfId="10350"/>
    <cellStyle name="þ_x001d_ð·_x000c_æþ'_x000d_ßþU_x0001_Ø_x0005_ü_x0014__x0007_ 2" xfId="10351"/>
    <cellStyle name="þ_x001d_ð·_x000c_æþ'_x000d_ßþU_x0001_Ø_x0005_ü_x0014__x0007__x0001_ 2" xfId="10352"/>
    <cellStyle name="þ_x001d_ð·_x000c_æþ'_x000d_ßþU_x0001_Ø_x0005_ü_x0014__x0007__x0001__x0001_ 2" xfId="10353"/>
    <cellStyle name="þ_x001d_ð·_x000c_æþ'_x000d_ßþU_x0001_Ø_x0005_ü_x0014__x0007__x0001_ 2 2" xfId="10354"/>
    <cellStyle name="þ_x001d_ð·_x000c_æþ'_x000d_ßþU_x0001_Ø_x0005_ü_x0014__x0007__x0001__x0001_ 2 2" xfId="10355"/>
    <cellStyle name="þ_x001d_ð·_x000c_æþ'_x000d_ßþU_x0001_Ø_x0005_ü_x0014__x0007__x0001_ 20" xfId="10356"/>
    <cellStyle name="þ_x001d_ð·_x000c_æþ'_x000d_ßþU_x0001_Ø_x0005_ü_x0014__x0007__x0001__x0001_ 20" xfId="10357"/>
    <cellStyle name="þ_x001d_ð·_x000c_æþ'_x000d_ßþU_x0001_Ø_x0005_ü_x0014__x0007__x0001_ 21" xfId="10358"/>
    <cellStyle name="þ_x001d_ð·_x000c_æþ'_x000d_ßþU_x0001_Ø_x0005_ü_x0014__x0007__x0001__x0001_ 21" xfId="10359"/>
    <cellStyle name="þ_x001d_ð·_x000c_æþ'_x000d_ßþU_x0001_Ø_x0005_ü_x0014__x0007__x0001_ 22" xfId="10360"/>
    <cellStyle name="þ_x001d_ð·_x000c_æþ'_x000d_ßþU_x0001_Ø_x0005_ü_x0014__x0007__x0001__x0001_ 22" xfId="10361"/>
    <cellStyle name="þ_x001d_ð·_x000c_æþ'_x000d_ßþU_x0001_Ø_x0005_ü_x0014__x0007__x0001_ 23" xfId="10362"/>
    <cellStyle name="þ_x001d_ð·_x000c_æþ'_x000d_ßþU_x0001_Ø_x0005_ü_x0014__x0007__x0001__x0001_ 23" xfId="10363"/>
    <cellStyle name="þ_x001d_ð·_x000c_æþ'_x000d_ßþU_x0001_Ø_x0005_ü_x0014__x0007__x0001_ 24" xfId="10364"/>
    <cellStyle name="þ_x001d_ð·_x000c_æþ'_x000d_ßþU_x0001_Ø_x0005_ü_x0014__x0007__x0001__x0001_ 24" xfId="10365"/>
    <cellStyle name="þ_x001d_ð·_x000c_æþ'_x000d_ßþU_x0001_Ø_x0005_ü_x0014__x0007__x0001_ 25" xfId="10366"/>
    <cellStyle name="þ_x001d_ð·_x000c_æþ'_x000d_ßþU_x0001_Ø_x0005_ü_x0014__x0007__x0001__x0001_ 25" xfId="10367"/>
    <cellStyle name="þ_x001d_ð·_x000c_æþ'_x000d_ßþU_x0001_Ø_x0005_ü_x0014__x0007__x0001_ 26" xfId="10368"/>
    <cellStyle name="þ_x001d_ð·_x000c_æþ'_x000d_ßþU_x0001_Ø_x0005_ü_x0014__x0007__x0001__x0001_ 26" xfId="10369"/>
    <cellStyle name="þ_x001d_ð·_x000c_æþ'_x000d_ßþU_x0001_Ø_x0005_ü_x0014__x0007__x0001_ 27" xfId="10370"/>
    <cellStyle name="þ_x001d_ð·_x000c_æþ'_x000d_ßþU_x0001_Ø_x0005_ü_x0014__x0007__x0001__x0001_ 27" xfId="10371"/>
    <cellStyle name="þ_x001d_ð·_x000c_æþ'_x000d_ßþU_x0001_Ø_x0005_ü_x0014__x0007__x0001_ 28" xfId="10372"/>
    <cellStyle name="þ_x001d_ð·_x000c_æþ'_x000d_ßþU_x0001_Ø_x0005_ü_x0014__x0007__x0001__x0001_ 28" xfId="10373"/>
    <cellStyle name="þ_x001d_ð·_x000c_æþ'_x000d_ßþU_x0001_Ø_x0005_ü_x0014__x0007__x0001_ 29" xfId="10374"/>
    <cellStyle name="þ_x001d_ð·_x000c_æþ'_x000d_ßþU_x0001_Ø_x0005_ü_x0014__x0007__x0001__x0001_ 29" xfId="10375"/>
    <cellStyle name="þ_x001d_ð·_x000c_æþ'_x000d_ßþU_x0001_Ø_x0005_ü_x0014_ 3" xfId="10376"/>
    <cellStyle name="þ_x001d_ð·_x000c_æþ'_x000d_ßþU_x0001_Ø_x0005_ü_x0014__x0007_ 3" xfId="10377"/>
    <cellStyle name="þ_x001d_ð·_x000c_æþ'_x000d_ßþU_x0001_Ø_x0005_ü_x0014__x0007__x0001_ 3" xfId="10378"/>
    <cellStyle name="þ_x001d_ð·_x000c_æþ'_x000d_ßþU_x0001_Ø_x0005_ü_x0014__x0007__x0001__x0001_ 3" xfId="10379"/>
    <cellStyle name="þ_x001d_ð·_x000c_æþ'_x000d_ßþU_x0001_Ø_x0005_ü_x0014__x0007__x0001_ 3 2" xfId="10380"/>
    <cellStyle name="þ_x001d_ð·_x000c_æþ'_x000d_ßþU_x0001_Ø_x0005_ü_x0014__x0007__x0001__x0001_ 3 2" xfId="10381"/>
    <cellStyle name="þ_x001d_ð·_x000c_æþ'_x000d_ßþU_x0001_Ø_x0005_ü_x0014__x0007__x0001_ 30" xfId="10382"/>
    <cellStyle name="þ_x001d_ð·_x000c_æþ'_x000d_ßþU_x0001_Ø_x0005_ü_x0014__x0007__x0001__x0001_ 30" xfId="10383"/>
    <cellStyle name="þ_x001d_ð·_x000c_æþ'_x000d_ßþU_x0001_Ø_x0005_ü_x0014__x0007__x0001_ 31" xfId="10384"/>
    <cellStyle name="þ_x001d_ð·_x000c_æþ'_x000d_ßþU_x0001_Ø_x0005_ü_x0014__x0007__x0001__x0001_ 31" xfId="10385"/>
    <cellStyle name="þ_x001d_ð·_x000c_æþ'_x000d_ßþU_x0001_Ø_x0005_ü_x0014__x0007__x0001_ 32" xfId="10386"/>
    <cellStyle name="þ_x001d_ð·_x000c_æþ'_x000d_ßþU_x0001_Ø_x0005_ü_x0014__x0007__x0001__x0001_ 32" xfId="10387"/>
    <cellStyle name="þ_x001d_ð·_x000c_æþ'_x000d_ßþU_x0001_Ø_x0005_ü_x0014__x0007__x0001_ 33" xfId="10388"/>
    <cellStyle name="þ_x001d_ð·_x000c_æþ'_x000d_ßþU_x0001_Ø_x0005_ü_x0014__x0007__x0001__x0001_ 33" xfId="10389"/>
    <cellStyle name="þ_x001d_ð·_x000c_æþ'_x000d_ßþU_x0001_Ø_x0005_ü_x0014__x0007__x0001_ 34" xfId="10390"/>
    <cellStyle name="þ_x001d_ð·_x000c_æþ'_x000d_ßþU_x0001_Ø_x0005_ü_x0014__x0007__x0001__x0001_ 34" xfId="10391"/>
    <cellStyle name="þ_x001d_ð·_x000c_æþ'_x000d_ßþU_x0001_Ø_x0005_ü_x0014__x0007__x0001_ 35" xfId="10392"/>
    <cellStyle name="þ_x001d_ð·_x000c_æþ'_x000d_ßþU_x0001_Ø_x0005_ü_x0014__x0007__x0001__x0001_ 35" xfId="10393"/>
    <cellStyle name="þ_x001d_ð·_x000c_æþ'_x000d_ßþU_x0001_Ø_x0005_ü_x0014__x0007__x0001_ 36" xfId="10394"/>
    <cellStyle name="þ_x001d_ð·_x000c_æþ'_x000d_ßþU_x0001_Ø_x0005_ü_x0014__x0007__x0001__x0001_ 36" xfId="10395"/>
    <cellStyle name="þ_x001d_ð·_x000c_æþ'_x000d_ßþU_x0001_Ø_x0005_ü_x0014__x0007__x0001_ 37" xfId="10396"/>
    <cellStyle name="þ_x001d_ð·_x000c_æþ'_x000d_ßþU_x0001_Ø_x0005_ü_x0014__x0007__x0001__x0001_ 37" xfId="10397"/>
    <cellStyle name="þ_x001d_ð·_x000c_æþ'_x000d_ßþU_x0001_Ø_x0005_ü_x0014__x0007__x0001_ 38" xfId="10398"/>
    <cellStyle name="þ_x001d_ð·_x000c_æþ'_x000d_ßþU_x0001_Ø_x0005_ü_x0014__x0007__x0001__x0001_ 38" xfId="10399"/>
    <cellStyle name="þ_x001d_ð·_x000c_æþ'_x000d_ßþU_x0001_Ø_x0005_ü_x0014__x0007__x0001_ 39" xfId="10400"/>
    <cellStyle name="þ_x001d_ð·_x000c_æþ'_x000d_ßþU_x0001_Ø_x0005_ü_x0014__x0007__x0001__x0001_ 39" xfId="10401"/>
    <cellStyle name="þ_x001d_ð·_x000c_æþ'_x000d_ßþU_x0001_Ø_x0005_ü_x0014__x0007__x0001_ 4" xfId="10402"/>
    <cellStyle name="þ_x001d_ð·_x000c_æþ'_x000d_ßþU_x0001_Ø_x0005_ü_x0014__x0007__x0001__x0001_ 4" xfId="10403"/>
    <cellStyle name="þ_x001d_ð·_x000c_æþ'_x000d_ßþU_x0001_Ø_x0005_ü_x0014__x0007__x0001_ 40" xfId="10404"/>
    <cellStyle name="þ_x001d_ð·_x000c_æþ'_x000d_ßþU_x0001_Ø_x0005_ü_x0014__x0007__x0001__x0001_ 40" xfId="10405"/>
    <cellStyle name="þ_x001d_ð·_x000c_æþ'_x000d_ßþU_x0001_Ø_x0005_ü_x0014__x0007__x0001_ 41" xfId="10406"/>
    <cellStyle name="þ_x001d_ð·_x000c_æþ'_x000d_ßþU_x0001_Ø_x0005_ü_x0014__x0007__x0001__x0001_ 41" xfId="10407"/>
    <cellStyle name="þ_x001d_ð·_x000c_æþ'_x000d_ßþU_x0001_Ø_x0005_ü_x0014__x0007__x0001_ 42" xfId="10408"/>
    <cellStyle name="þ_x001d_ð·_x000c_æþ'_x000d_ßþU_x0001_Ø_x0005_ü_x0014__x0007__x0001__x0001_ 42" xfId="10409"/>
    <cellStyle name="þ_x001d_ð·_x000c_æþ'_x000d_ßþU_x0001_Ø_x0005_ü_x0014__x0007__x0001_ 43" xfId="10410"/>
    <cellStyle name="þ_x001d_ð·_x000c_æþ'_x000d_ßþU_x0001_Ø_x0005_ü_x0014__x0007__x0001__x0001_ 43" xfId="10411"/>
    <cellStyle name="þ_x001d_ð·_x000c_æþ'_x000d_ßþU_x0001_Ø_x0005_ü_x0014__x0007__x0001_ 44" xfId="10412"/>
    <cellStyle name="þ_x001d_ð·_x000c_æþ'_x000d_ßþU_x0001_Ø_x0005_ü_x0014__x0007__x0001__x0001_ 44" xfId="10413"/>
    <cellStyle name="þ_x001d_ð·_x000c_æþ'_x000d_ßþU_x0001_Ø_x0005_ü_x0014__x0007__x0001_ 45" xfId="10414"/>
    <cellStyle name="þ_x001d_ð·_x000c_æþ'_x000d_ßþU_x0001_Ø_x0005_ü_x0014__x0007__x0001__x0001_ 45" xfId="10415"/>
    <cellStyle name="þ_x001d_ð·_x000c_æþ'_x000d_ßþU_x0001_Ø_x0005_ü_x0014__x0007__x0001_ 46" xfId="10416"/>
    <cellStyle name="þ_x001d_ð·_x000c_æþ'_x000d_ßþU_x0001_Ø_x0005_ü_x0014__x0007__x0001__x0001_ 46" xfId="10417"/>
    <cellStyle name="þ_x001d_ð·_x000c_æþ'_x000d_ßþU_x0001_Ø_x0005_ü_x0014__x0007__x0001_ 47" xfId="10418"/>
    <cellStyle name="þ_x001d_ð·_x000c_æþ'_x000d_ßþU_x0001_Ø_x0005_ü_x0014__x0007__x0001__x0001_ 47" xfId="10419"/>
    <cellStyle name="þ_x001d_ð·_x000c_æþ'_x000d_ßþU_x0001_Ø_x0005_ü_x0014__x0007__x0001_ 48" xfId="10420"/>
    <cellStyle name="þ_x001d_ð·_x000c_æþ'_x000d_ßþU_x0001_Ø_x0005_ü_x0014__x0007__x0001__x0001_ 48" xfId="10421"/>
    <cellStyle name="þ_x001d_ð·_x000c_æþ'_x000d_ßþU_x0001_Ø_x0005_ü_x0014__x0007__x0001_ 49" xfId="10422"/>
    <cellStyle name="þ_x001d_ð·_x000c_æþ'_x000d_ßþU_x0001_Ø_x0005_ü_x0014__x0007__x0001__x0001_ 49" xfId="10423"/>
    <cellStyle name="þ_x001d_ð·_x000c_æþ'_x000d_ßþU_x0001_Ø_x0005_ü_x0014__x0007__x0001_ 5" xfId="10424"/>
    <cellStyle name="þ_x001d_ð·_x000c_æþ'_x000d_ßþU_x0001_Ø_x0005_ü_x0014__x0007__x0001__x0001_ 5" xfId="10425"/>
    <cellStyle name="þ_x001d_ð·_x000c_æþ'_x000d_ßþU_x0001_Ø_x0005_ü_x0014__x0007__x0001_ 50" xfId="10426"/>
    <cellStyle name="þ_x001d_ð·_x000c_æþ'_x000d_ßþU_x0001_Ø_x0005_ü_x0014__x0007__x0001__x0001_ 50" xfId="10427"/>
    <cellStyle name="þ_x001d_ð·_x000c_æþ'_x000d_ßþU_x0001_Ø_x0005_ü_x0014__x0007__x0001_ 51" xfId="10428"/>
    <cellStyle name="þ_x001d_ð·_x000c_æþ'_x000d_ßþU_x0001_Ø_x0005_ü_x0014__x0007__x0001__x0001_ 51" xfId="10429"/>
    <cellStyle name="þ_x001d_ð·_x000c_æþ'_x000d_ßþU_x0001_Ø_x0005_ü_x0014__x0007__x0001_ 52" xfId="10430"/>
    <cellStyle name="þ_x001d_ð·_x000c_æþ'_x000d_ßþU_x0001_Ø_x0005_ü_x0014__x0007__x0001__x0001_ 52" xfId="10431"/>
    <cellStyle name="þ_x001d_ð·_x000c_æþ'_x000d_ßþU_x0001_Ø_x0005_ü_x0014__x0007__x0001_ 53" xfId="10432"/>
    <cellStyle name="þ_x001d_ð·_x000c_æþ'_x000d_ßþU_x0001_Ø_x0005_ü_x0014__x0007__x0001__x0001_ 53" xfId="10433"/>
    <cellStyle name="þ_x001d_ð·_x000c_æþ'_x000d_ßþU_x0001_Ø_x0005_ü_x0014__x0007__x0001_ 54" xfId="10434"/>
    <cellStyle name="þ_x001d_ð·_x000c_æþ'_x000d_ßþU_x0001_Ø_x0005_ü_x0014__x0007__x0001__x0001_ 54" xfId="10435"/>
    <cellStyle name="þ_x001d_ð·_x000c_æþ'_x000d_ßþU_x0001_Ø_x0005_ü_x0014__x0007__x0001_ 55" xfId="10436"/>
    <cellStyle name="þ_x001d_ð·_x000c_æþ'_x000d_ßþU_x0001_Ø_x0005_ü_x0014__x0007__x0001__x0001_ 55" xfId="10437"/>
    <cellStyle name="þ_x001d_ð·_x000c_æþ'_x000d_ßþU_x0001_Ø_x0005_ü_x0014__x0007__x0001_ 56" xfId="10438"/>
    <cellStyle name="þ_x001d_ð·_x000c_æþ'_x000d_ßþU_x0001_Ø_x0005_ü_x0014__x0007__x0001__x0001_ 56" xfId="10439"/>
    <cellStyle name="þ_x001d_ð·_x000c_æþ'_x000d_ßþU_x0001_Ø_x0005_ü_x0014__x0007__x0001_ 57" xfId="10440"/>
    <cellStyle name="þ_x001d_ð·_x000c_æþ'_x000d_ßþU_x0001_Ø_x0005_ü_x0014__x0007__x0001__x0001_ 57" xfId="10441"/>
    <cellStyle name="þ_x001d_ð·_x000c_æþ'_x000d_ßþU_x0001_Ø_x0005_ü_x0014__x0007__x0001_ 58" xfId="10442"/>
    <cellStyle name="þ_x001d_ð·_x000c_æþ'_x000d_ßþU_x0001_Ø_x0005_ü_x0014__x0007__x0001__x0001_ 58" xfId="10443"/>
    <cellStyle name="þ_x001d_ð·_x000c_æþ'_x000d_ßþU_x0001_Ø_x0005_ü_x0014__x0007__x0001_ 59" xfId="10444"/>
    <cellStyle name="þ_x001d_ð·_x000c_æþ'_x000d_ßþU_x0001_Ø_x0005_ü_x0014__x0007__x0001__x0001_ 59" xfId="10445"/>
    <cellStyle name="þ_x001d_ð·_x000c_æþ'_x000d_ßþU_x0001_Ø_x0005_ü_x0014__x0007__x0001_ 6" xfId="10446"/>
    <cellStyle name="þ_x001d_ð·_x000c_æþ'_x000d_ßþU_x0001_Ø_x0005_ü_x0014__x0007__x0001__x0001_ 6" xfId="10447"/>
    <cellStyle name="þ_x001d_ð·_x000c_æþ'_x000d_ßþU_x0001_Ø_x0005_ü_x0014__x0007__x0001_ 60" xfId="10448"/>
    <cellStyle name="þ_x001d_ð·_x000c_æþ'_x000d_ßþU_x0001_Ø_x0005_ü_x0014__x0007__x0001__x0001_ 60" xfId="10449"/>
    <cellStyle name="þ_x001d_ð·_x000c_æþ'_x000d_ßþU_x0001_Ø_x0005_ü_x0014__x0007__x0001_ 61" xfId="10450"/>
    <cellStyle name="þ_x001d_ð·_x000c_æþ'_x000d_ßþU_x0001_Ø_x0005_ü_x0014__x0007__x0001__x0001_ 61" xfId="10451"/>
    <cellStyle name="þ_x001d_ð·_x000c_æþ'_x000d_ßþU_x0001_Ø_x0005_ü_x0014__x0007__x0001_ 62" xfId="10452"/>
    <cellStyle name="þ_x001d_ð·_x000c_æþ'_x000d_ßþU_x0001_Ø_x0005_ü_x0014__x0007__x0001__x0001_ 62" xfId="10453"/>
    <cellStyle name="þ_x001d_ð·_x000c_æþ'_x000d_ßþU_x0001_Ø_x0005_ü_x0014__x0007__x0001_ 7" xfId="10454"/>
    <cellStyle name="þ_x001d_ð·_x000c_æþ'_x000d_ßþU_x0001_Ø_x0005_ü_x0014__x0007__x0001__x0001_ 7" xfId="10455"/>
    <cellStyle name="þ_x001d_ð·_x000c_æþ'_x000d_ßþU_x0001_Ø_x0005_ü_x0014__x0007__x0001_ 8" xfId="10456"/>
    <cellStyle name="þ_x001d_ð·_x000c_æþ'_x000d_ßþU_x0001_Ø_x0005_ü_x0014__x0007__x0001__x0001_ 8" xfId="10457"/>
    <cellStyle name="þ_x001d_ð·_x000c_æþ'_x000d_ßþU_x0001_Ø_x0005_ü_x0014__x0007__x0001_ 9" xfId="10458"/>
    <cellStyle name="þ_x001d_ð·_x000c_æþ'_x000d_ßþU_x0001_Ø_x0005_ü_x0014__x0007__x0001__x0001_ 9" xfId="10459"/>
    <cellStyle name="þ_x001d_ð·_x000c_æþ'_x000d_ßþU_x0001_Ø_x0005_ü_x0014__x0007__x0001__x0001_?_x0002_ÿÿÿÿÿÿÿÿÿÿÿÿÿÿÿ¯?(_x0002__x001e__x0016_ ???¼$ÿÿÿÿ????_x0006__x0016_??????????????Í!Ë??????????           ?????           ?????????_x000d_C:\WINDOWS\_x000d_V_x000d_S\TEMP_x000d_NC;C:\NU;C:\VIRUS;_x000d_?????????????????????????????????????????????????????????????????????????????" xfId="10460"/>
    <cellStyle name="þ_x001d_ð·_x000c_æþ'_x000d_ßþU_x0001_Ø_x0005_ü_x0014__x0007__x0001__x0001_?_x0002_ÿÿÿÿÿÿÿÿÿÿÿÿÿÿÿ¯?(_x0002__x001e__x0016_ ???¼$ÿÿÿÿ????_x0006__x0016_??????????????Í!Ë??????????           ?????           ?????????_x000d_C:\WINDOWS\_x000d_V_x000d_S\TEMP_x000d_NC;C:\NU;C:\VIRUS;_x000d_????????????????????????????????????????????????????????????????????????????? 2" xfId="10461"/>
    <cellStyle name="þ_x001d_ð·_x000c_æþ'_x000d_ßþU_x0001_Ø_x0005_ü_x0014__x0007__x0001__x0001_?_x0002_ÿÿÿÿÿÿÿÿÿÿÿÿÿÿÿ¯?(_x0002__x001e__x0016_ ???¼$ÿÿÿÿ????_x0006__x0016_??????????????Í!Ë??????????           ?????           ?????????_x000d_C:\WINDOWS\_x000d_V_x000d_S\TEMP_x000d_NC;C:\NU;C:\VIRUS;_x000d_????????????????????????????????????????????????????????????????????????????? 2 2" xfId="10462"/>
    <cellStyle name="þ_x001d_ð·_x000c_æþ'_x000d_ßþU_x0001_Ø_x0005_ü_x0014__x0007__x0001__x0001_?_x0002_ÿÿÿÿÿÿÿÿÿÿÿÿÿÿÿ¯?(_x0002__x001e__x0016_ ???¼$ÿÿÿÿ????_x0006__x0016_??????????????Í!Ë??????????           ?????           ?????????_x000d_C:\WINDOWS\_x000d_V_x000d_S\TEMP_x000d_NC;C:\NU;C:\VIRUS;_x000d_????????????????????????????????????????????????????????????????????????????? 3" xfId="10463"/>
    <cellStyle name="þ_x001d_ð·_x000c_æþ'_x000d_ßþU_x0001_Ø_x0005_ü_x0014__x0007__x0001__x0001_?_x0002_ÿÿÿÿÿÿÿÿÿÿÿÿÿÿÿ¯?(_x0002__x001e__x0016_ ???¼$ÿÿÿÿ????_x0006__x0016_??????????????Í!Ë??????????           ?????           ?????????_x000d_C:\WINDOWS\_x000d_V_x000d_S\TEMP_x000d_NC;C:\NU;C:\VIRUS;_x000d_????????????????????????????????????????????????????????????????????????????? 4" xfId="10464"/>
    <cellStyle name="þ_x001d_ð·_x000c_æþ'_x000d_ßþU_x0001_Ø_x0005_ü_x0014__x0007__x0001__x0001_?_x0002_ÿÿÿÿÿÿÿÿÿÿÿÿÿÿÿ¯?(_x0002__x001e__x0016_ ???¼$ÿÿÿÿ????_x0006__x0016_??????????????Í!Ë??????????           ?????           ?????????_x000d_C:\WINDOWS\_x000d_V_x000d_S\TEMP_x000d_NC;C:\NU;C:\VIRUS;_x000d_????????????????????????????????????????????????????????????????????????????? 5" xfId="10465"/>
    <cellStyle name="þ_x001d_ð·_x000c_æþ'_x000d_ßþU_x0001_Ø_x0005_ü_x0014__x0007__x0001__x0001_?_x0002_ÿÿÿÿÿÿÿÿÿÿÿÿÿÿÿ¯?(_x0002__x001e__x0016_ ???¼$ÿÿÿÿ????_x0006__x0016_??????????????Í!Ë??????????           ?????           ????Fþ_x0016_?_x000d_FÆ_x0016_Pš_x001a_7_x0014__x000b_Àt_x0019_‹F_x0006_‹V_x0008_‰Fö‰VøÿvþFÆ_x0016_Pš‚C_x0014_ÉË¸ÿ_x0013_U‹ì_x001e_ŽØ‹F_x000a_‹V_x000c_Ä^_x0006_&amp;‰G_x0008_&amp;‰W_x000a__x001f_ÉË?¸ÿ_x0013_È_x0006_??WV_x001e_ŽØ‹^_x000a_‹v_x0006_ƒûÿt_x0007_ŽF_x0008_&amp;‰\_x000a_ƒ~_x000c_?u.ŽF_x0008_&amp;ÿt_x0002_&amp;ÿ4&amp;" xfId="10466"/>
    <cellStyle name="þ_x001d_ð·_x000c_æþ'_x000d_ßþU_x0001_Ø_x0005_ü_x0014__x0007__x0001__x0001_?_x0002_ÿÿÿÿÿÿÿÿÿÿÿÿÿÿÿ¯?(_x0002__x001e__x0016_ ???¼$ÿÿÿÿ????_x0006__x0016_??????????????Í!Ë??????????           ?????           ????Fþ_x0016_?_x000d_FÆ_x0016_Pš_x001a_7_x0014__x000b_Àt_x0019_‹F_x0006_‹V_x0008_‰Fö‰VøÿvþFÆ_x0016_Pš‚C_x0014_ÉË¸ÿ_x0013_U‹ì_x001e_ŽØ‹F_x000a_‹V_x000c_Ä^_x0006_&amp;‰G_x0008_&amp;‰W_x000a__x001f_ÉË?¸ÿ_x0013_È_x0006_??WV_x001e_ŽØ‹^_x000a_‹v_x0006_ƒûÿt_x0007_ŽF_x0008_&amp;‰\_x000a_ƒ~_x000c_?u.ŽF_x0008_&amp;ÿt_x0002_&amp;ÿ4&amp; 2" xfId="10467"/>
    <cellStyle name="þ_x001d_ð·_x000c_æþ'_x000d_ßþU_x0001_Ø_x0005_ü_x0014__x0007__x0001__x0001_?_x0002_ÿÿÿÿÿÿÿÿÿÿÿÿÿÿÿ¯?(_x0002__x001e__x0016_ ???¼$ÿÿÿÿ????_x0006__x0016_??????????????Í!Ë??????????           ?????           ????Fþ_x0016_?_x000d_FÆ_x0016_Pš_x001a_7_x0014__x000b_Àt_x0019_‹F_x0006_‹V_x0008_‰Fö‰VøÿvþFÆ_x0016_Pš‚C_x0014_ÉË¸ÿ_x0013_U‹ì_x001e_ŽØ‹F_x000a_‹V_x000c_Ä^_x0006_&amp;‰G_x0008_&amp;‰W_x000a__x001f_ÉË?¸ÿ_x0013_È_x0006_??WV_x001e_ŽØ‹^_x000a_‹v_x0006_ƒûÿt_x0007_ŽF_x0008_&amp;‰\_x000a_ƒ~_x000c_?u.ŽF_x0008_&amp;ÿt_x0002_&amp;ÿ4&amp; 2 2" xfId="10468"/>
    <cellStyle name="þ_x001d_ð·_x000c_æþ'_x000d_ßþU_x0001_Ø_x0005_ü_x0014__x0007__x0001__x0001_?_x0002_ÿÿÿÿÿÿÿÿÿÿÿÿÿÿÿ¯?(_x0002__x001e__x0016_ ???¼$ÿÿÿÿ????_x0006__x0016_??????????????Í!Ë??????????           ?????           ????Fþ_x0016_?_x000d_FÆ_x0016_Pš_x001a_7_x0014__x000b_Àt_x0019_‹F_x0006_‹V_x0008_‰Fö‰VøÿvþFÆ_x0016_Pš‚C_x0014_ÉË¸ÿ_x0013_U‹ì_x001e_ŽØ‹F_x000a_‹V_x000c_Ä^_x0006_&amp;‰G_x0008_&amp;‰W_x000a__x001f_ÉË?¸ÿ_x0013_È_x0006_??WV_x001e_ŽØ‹^_x000a_‹v_x0006_ƒûÿt_x0007_ŽF_x0008_&amp;‰\_x000a_ƒ~_x000c_?u.ŽF_x0008_&amp;ÿt_x0002_&amp;ÿ4&amp; 3" xfId="10469"/>
    <cellStyle name="þ_x001d_ð·_x000c_æþ'_x000d_ßþU_x0001_Ø_x0005_ü_x0014__x0007__x0001__x0001_?_x0002_ÿÿÿÿÿÿÿÿÿÿÿÿÿÿÿ¯?(_x0002__x001e__x0016_ ???¼$ÿÿÿÿ????_x0006__x0016_??????????????Í!Ë??????????           ?????           ????Fþ_x0016_?_x000d_FÆ_x0016_Pš_x001a_7_x0014__x000b_Àt_x0019_‹F_x0006_‹V_x0008_‰Fö‰VøÿvþFÆ_x0016_Pš‚C_x0014_ÉË¸ÿ_x0013_U‹ì_x001e_ŽØ‹F_x000a_‹V_x000c_Ä^_x0006_&amp;‰G_x0008_&amp;‰W_x000a__x001f_ÉË?¸ÿ_x0013_È_x0006_??WV_x001e_ŽØ‹^_x000a_‹v_x0006_ƒûÿt_x0007_ŽF_x0008_&amp;‰\_x000a_ƒ~_x000c_?u.ŽF_x0008_&amp;ÿt_x0002_&amp;ÿ4&amp; 4" xfId="10470"/>
    <cellStyle name="þ_x001d_ð·_x000c_æþ'_x000d_ßþU_x0001_Ø_x0005_ü_x0014__x0007__x0001__x0001_?_x0002_ÿÿÿÿÿÿÿÿÿÿÿÿÿÿÿ¯?(_x0002__x001e__x0016_ ???¼$ÿÿÿÿ????_x0006__x0016_??????????????Í!Ë??????????           ?????           ????Fþ_x0016_?_x000d_FÆ_x0016_Pš_x001a_7_x0014__x000b_Àt_x0019_‹F_x0006_‹V_x0008_‰Fö‰VøÿvþFÆ_x0016_Pš‚C_x0014_ÉË¸ÿ_x0013_U‹ì_x001e_ŽØ‹F_x000a_‹V_x000c_Ä^_x0006_&amp;‰G_x0008_&amp;‰W_x000a__x001f_ÉË?¸ÿ_x0013_È_x0006_??WV_x001e_ŽØ‹^_x000a_‹v_x0006_ƒûÿt_x0007_ŽF_x0008_&amp;‰\_x000a_ƒ~_x000c_?u.ŽF_x0008_&amp;ÿt_x0002_&amp;ÿ4&amp; 5" xfId="10471"/>
    <cellStyle name="þ_x001d_ð·_x000c_æþ'_x000d_ßþU_x0001_Ø_x0005_ü_x0014__x0007__x0001__x0001__Bieu cn nhiệm kỳ sưa lai năm 2010,2011" xfId="10472"/>
    <cellStyle name="þ_x001d_ð·_x000c_æþ'_x000d_ßþU_x0001_Ø_x0005_ü_x0014__x0007__x0001__BIEU KE HOACH  2015 (KTN 6.11 sua)" xfId="10473"/>
    <cellStyle name="þ_x001d_ð·_x000c_æþ'_x000d_ßþU_x0001_Ø_x0005_ü_x0014__x0007__x0001__x0001__BIEU KE HOACH  2015 (KTN 6.11 sua)" xfId="10474"/>
    <cellStyle name="þ_x001d_ð·_BIEU KE HOACH  2015 (KTN 6.11 sua)" xfId="10475"/>
    <cellStyle name="þ_x001d_ðÇ%Uý—&amp;Hý9_x0008_Ÿ s_x000a_" xfId="10476"/>
    <cellStyle name="þ_x001d_ðÇ%Uý—&amp;Hý9_x0008_Ÿ s_x000a__x0007_" xfId="10477"/>
    <cellStyle name="þ_x001d_ðÇ%Uý—&amp;Hý9_x0008_Ÿ s_x000a__x0007__x0001_" xfId="10478"/>
    <cellStyle name="þ_x001d_ðÇ%Uý—&amp;Hý9_x0008_Ÿ s_x000a__x0007__x0001__x0001_" xfId="10479"/>
    <cellStyle name="þ_x001d_ðÇ%Uý—&amp;Hý9_x0008_Ÿ s_x000a__x0007__x0001_ 2" xfId="10480"/>
    <cellStyle name="þ_x001d_ðÇ%Uý—&amp;Hý9_x0008_Ÿ s_x000a__x0007__x0001__x0001_ 2" xfId="10481"/>
    <cellStyle name="þ_x001d_ðÇ%Uý—&amp;Hý9_x0008_Ÿ s_x000a__x0007__x0001_ 2 2" xfId="10482"/>
    <cellStyle name="þ_x001d_ðÇ%Uý—&amp;Hý9_x0008_Ÿ s_x000a__x0007__x0001__x0001_ 2 2" xfId="10483"/>
    <cellStyle name="þ_x001d_ðÇ%Uý—&amp;Hý9_x0008_Ÿ s_x000a__x0007__x0001_ 3" xfId="10484"/>
    <cellStyle name="þ_x001d_ðÇ%Uý—&amp;Hý9_x0008_Ÿ s_x000a__x0007__x0001__x0001_ 3" xfId="10485"/>
    <cellStyle name="þ_x001d_ðÇ%Uý—&amp;Hý9_x0008_Ÿ s_x000a__x0007__x0001_ 3 2" xfId="10486"/>
    <cellStyle name="þ_x001d_ðÇ%Uý—&amp;Hý9_x0008_Ÿ s_x000a__x0007__x0001__x0001_ 3 2" xfId="10487"/>
    <cellStyle name="þ_x001d_ðÇ%Uý—&amp;Hý9_x0008_Ÿ s_x000a__x0007__x0001_ 4" xfId="10488"/>
    <cellStyle name="þ_x001d_ðÇ%Uý—&amp;Hý9_x0008_Ÿ s_x000a__x0007__x0001__x0001_ 4" xfId="10489"/>
    <cellStyle name="þ_x001d_ðÇ%Uý—&amp;Hý9_x0008_Ÿ s_x000a__x0007__x0001_ 5" xfId="10490"/>
    <cellStyle name="þ_x001d_ðÇ%Uý—&amp;Hý9_x0008_Ÿ s_x000a__x0007__x0001__x0001_ 5" xfId="10491"/>
    <cellStyle name="þ_x001d_ðÇ%Uý—&amp;Hý9_x0008_Ÿ s_x000a__x0007__x0001__x0001_?_x0002_ÿÿÿÿÿÿÿÿÿÿÿÿÿÿÿ_x0001_(_x0002_—_x000d_€???Î_x001f_ÿÿÿÿ????_x0007_???????????????Í!Ë??????????           ?????           ?????????_x000d_C:\WINDOWS\country.sys_x000d_??????????????????????????????????????????????????????????????????????????????????????????????" xfId="10492"/>
    <cellStyle name="þ_x001d_ðÇ%Uý—&amp;Hý9_x0008_Ÿ s_x000a__x0007__x0001__x0001_?_x0002_ÿÿÿÿÿÿÿÿÿÿÿÿÿÿÿ_x0001_(_x0002_—_x000d_€???Î_x001f_ÿÿÿÿ????_x0007_???????????????Í!Ë??????????           ?????           ?????????_x000d_C:\WINDOWS\country.sys_x000d_?????????????????????????????????????????????????????????????????????????????????????????????? 2" xfId="10493"/>
    <cellStyle name="þ_x001d_ðÇ%Uý—&amp;Hý9_x0008_Ÿ s_x000a__x0007__x0001__x0001_?_x0002_ÿÿÿÿÿÿÿÿÿÿÿÿÿÿÿ_x0001_(_x0002_—_x000d_€???Î_x001f_ÿÿÿÿ????_x0007_???????????????Í!Ë??????????           ?????           ?????????_x000d_C:\WINDOWS\country.sys_x000d_?????????????????????????????????????????????????????????????????????????????????????????????? 3" xfId="10494"/>
    <cellStyle name="þ_x001d_ðÇ%Uý—&amp;Hý9_x0008_Ÿ s_x000a__x0007__x0001__BIEU KE HOACH  2015 (KTN 6.11 sua)" xfId="10495"/>
    <cellStyle name="þ_x001d_ðÇ%Uý—&amp;Hý9_x0008_Ÿ s_x000a__x0007__x0001__x0001__BIEU KE HOACH  2015 (KTN 6.11 sua)" xfId="10496"/>
    <cellStyle name="þ_x001d_ðÇ%Uý—&amp;Hý9_x0008_Ÿ s_x000a__x0007__x0001__CT 134" xfId="10497"/>
    <cellStyle name="þ_x001d_ðÇ%Uý—&amp;Hý9_x0008_Ÿ s_x000a__x0007__x0001__x0001__CT 134" xfId="10498"/>
    <cellStyle name="þ_x001d_ðÇ%Uý—&amp;Hý9_x0008_Ÿ_x0009_s_x000a__x0007__x0001__x0001_" xfId="10499"/>
    <cellStyle name="þ_x001d_ðK_x000c_Fý_x001b__x000d_9ýU_x0001_Ð_x0008_¦)_x0007__x0001__x0001_" xfId="10500"/>
    <cellStyle name="þ_x001d_ðK_x000c_Fý_x001b__x000d_9ýU_x0001_Ð_x0008_¦)_x0007__x0001__x0001_ 2" xfId="10501"/>
    <cellStyle name="þ_x001d_ðK_x000c_Fý_x001b__x000d_9ýU_x0001_Ð_x0008_¦)_x0007__x0001__x0001_ 3" xfId="10502"/>
    <cellStyle name="þ_x001d_ðK_x000c_Fý_x001b__x000d_9ýU_x0001_Ð_x0008_¦)_x0007__x0001__x0001_ 4" xfId="10503"/>
    <cellStyle name="thuong-10" xfId="10504"/>
    <cellStyle name="thuong-10 2" xfId="10505"/>
    <cellStyle name="thuong-10 3" xfId="10506"/>
    <cellStyle name="thuong-10 4" xfId="10507"/>
    <cellStyle name="thuong-11" xfId="10508"/>
    <cellStyle name="thuong-11 2" xfId="10509"/>
    <cellStyle name="thuong-11 3" xfId="10510"/>
    <cellStyle name="thuong-11 4" xfId="10511"/>
    <cellStyle name="thuy" xfId="10512"/>
    <cellStyle name="thuy 2" xfId="10513"/>
    <cellStyle name="Thuyet minh" xfId="10514"/>
    <cellStyle name="Thuyet minh 2" xfId="10515"/>
    <cellStyle name="Thuyet minh 3" xfId="10516"/>
    <cellStyle name="Thuyet minh 4" xfId="10517"/>
    <cellStyle name="thvt" xfId="10518"/>
    <cellStyle name="thvt 2" xfId="10519"/>
    <cellStyle name="thvt 3" xfId="10520"/>
    <cellStyle name="thvt 4" xfId="10521"/>
    <cellStyle name="trang" xfId="10580"/>
    <cellStyle name="trang 2" xfId="10581"/>
    <cellStyle name="trang 3" xfId="10582"/>
    <cellStyle name="trang 4" xfId="10583"/>
    <cellStyle name="UNIDAGSCode" xfId="10597"/>
    <cellStyle name="UNIDAGSCode 2" xfId="10598"/>
    <cellStyle name="UNIDAGSCode 2 2" xfId="10599"/>
    <cellStyle name="UNIDAGSCode 2 3" xfId="10600"/>
    <cellStyle name="UNIDAGSCode 3" xfId="10601"/>
    <cellStyle name="UNIDAGSCode 4" xfId="10602"/>
    <cellStyle name="UNIDAGSCode 5" xfId="10603"/>
    <cellStyle name="UNIDAGSCode2" xfId="10604"/>
    <cellStyle name="UNIDAGSCode2 2" xfId="10605"/>
    <cellStyle name="UNIDAGSCode2 2 2" xfId="10606"/>
    <cellStyle name="UNIDAGSCode2 3" xfId="10607"/>
    <cellStyle name="UNIDAGSCode2 4" xfId="10608"/>
    <cellStyle name="UNIDAGSCode2 5" xfId="10609"/>
    <cellStyle name="UNIDAGSCurrency" xfId="10610"/>
    <cellStyle name="UNIDAGSCurrency 2" xfId="10611"/>
    <cellStyle name="UNIDAGSCurrency 2 2" xfId="10612"/>
    <cellStyle name="UNIDAGSCurrency 2 3" xfId="10613"/>
    <cellStyle name="UNIDAGSCurrency 3" xfId="10614"/>
    <cellStyle name="UNIDAGSCurrency 4" xfId="10615"/>
    <cellStyle name="UNIDAGSCurrency 5" xfId="10616"/>
    <cellStyle name="UNIDAGSDate" xfId="10617"/>
    <cellStyle name="UNIDAGSDate 2" xfId="10618"/>
    <cellStyle name="UNIDAGSDate 2 2" xfId="10619"/>
    <cellStyle name="UNIDAGSDate 2 3" xfId="10620"/>
    <cellStyle name="UNIDAGSDate 3" xfId="10621"/>
    <cellStyle name="UNIDAGSDate 4" xfId="10622"/>
    <cellStyle name="UNIDAGSDate 5" xfId="10623"/>
    <cellStyle name="UNIDAGSPercent" xfId="10624"/>
    <cellStyle name="UNIDAGSPercent 2" xfId="10625"/>
    <cellStyle name="UNIDAGSPercent 2 2" xfId="10626"/>
    <cellStyle name="UNIDAGSPercent 2 3" xfId="10627"/>
    <cellStyle name="UNIDAGSPercent 3" xfId="10628"/>
    <cellStyle name="UNIDAGSPercent 4" xfId="10629"/>
    <cellStyle name="UNIDAGSPercent 5" xfId="10630"/>
    <cellStyle name="UNIDAGSPercent2" xfId="10631"/>
    <cellStyle name="UNIDAGSPercent2 2" xfId="10632"/>
    <cellStyle name="UNIDAGSPercent2 2 2" xfId="10633"/>
    <cellStyle name="UNIDAGSPercent2 2 3" xfId="10634"/>
    <cellStyle name="UNIDAGSPercent2 3" xfId="10635"/>
    <cellStyle name="UNIDAGSPercent2 4" xfId="10636"/>
    <cellStyle name="UNIDAGSPercent2 5" xfId="10637"/>
    <cellStyle name="ux_3_¼­¿ï-¾È»ê" xfId="10638"/>
    <cellStyle name="Valuta (0)_CALPREZZ" xfId="10639"/>
    <cellStyle name="Valuta_ PESO ELETTR." xfId="10640"/>
    <cellStyle name="VANG1" xfId="10641"/>
    <cellStyle name="VANG1 2" xfId="10642"/>
    <cellStyle name="VANG1 3" xfId="10643"/>
    <cellStyle name="VANG1 4" xfId="10644"/>
    <cellStyle name="viet" xfId="10645"/>
    <cellStyle name="viet 2" xfId="10646"/>
    <cellStyle name="viet 2 2" xfId="10647"/>
    <cellStyle name="viet 3" xfId="10648"/>
    <cellStyle name="viet 4" xfId="10649"/>
    <cellStyle name="viet 5" xfId="10650"/>
    <cellStyle name="viet 6" xfId="10651"/>
    <cellStyle name="viet2" xfId="10652"/>
    <cellStyle name="viet2 2" xfId="10653"/>
    <cellStyle name="viet2 2 2" xfId="10654"/>
    <cellStyle name="viet2 3" xfId="10655"/>
    <cellStyle name="viet2 4" xfId="10656"/>
    <cellStyle name="viet2 5" xfId="10657"/>
    <cellStyle name="viet2 6" xfId="10658"/>
    <cellStyle name="VN new romanNormal" xfId="10659"/>
    <cellStyle name="VN new romanNormal 2" xfId="10660"/>
    <cellStyle name="VN new romanNormal 3" xfId="10661"/>
    <cellStyle name="VN new romanNormal 4" xfId="10662"/>
    <cellStyle name="VN new romanNormal 5" xfId="10663"/>
    <cellStyle name="Vn Time 13" xfId="10664"/>
    <cellStyle name="Vn Time 13 2" xfId="10665"/>
    <cellStyle name="Vn Time 13 3" xfId="10666"/>
    <cellStyle name="Vn Time 13 4" xfId="10667"/>
    <cellStyle name="Vn Time 14" xfId="10668"/>
    <cellStyle name="Vn Time 14 2" xfId="10669"/>
    <cellStyle name="Vn Time 14 3" xfId="10670"/>
    <cellStyle name="Vn Time 14 4" xfId="10671"/>
    <cellStyle name="VN time new roman" xfId="10672"/>
    <cellStyle name="VN time new roman 2" xfId="10673"/>
    <cellStyle name="VN time new roman 3" xfId="10674"/>
    <cellStyle name="VN time new roman 4" xfId="10675"/>
    <cellStyle name="VN time new roman 5" xfId="10676"/>
    <cellStyle name="vn_time" xfId="10677"/>
    <cellStyle name="vnbo" xfId="10678"/>
    <cellStyle name="vnbo 2" xfId="10679"/>
    <cellStyle name="vnbo 3" xfId="10680"/>
    <cellStyle name="vnbo 4" xfId="10681"/>
    <cellStyle name="vntxt1" xfId="10698"/>
    <cellStyle name="vntxt1 2" xfId="10699"/>
    <cellStyle name="vntxt1 3" xfId="10700"/>
    <cellStyle name="vntxt1 4" xfId="10701"/>
    <cellStyle name="vntxt2" xfId="10702"/>
    <cellStyle name="vntxt2 2" xfId="10703"/>
    <cellStyle name="vntxt2 3" xfId="10704"/>
    <cellStyle name="vntxt2 4" xfId="10705"/>
    <cellStyle name="vnhead1" xfId="10682"/>
    <cellStyle name="vnhead1 2" xfId="10683"/>
    <cellStyle name="vnhead1 3" xfId="10684"/>
    <cellStyle name="vnhead1 4" xfId="10685"/>
    <cellStyle name="vnhead2" xfId="10686"/>
    <cellStyle name="vnhead2 2" xfId="10687"/>
    <cellStyle name="vnhead2 3" xfId="10688"/>
    <cellStyle name="vnhead2 4" xfId="10689"/>
    <cellStyle name="vnhead3" xfId="10690"/>
    <cellStyle name="vnhead3 2" xfId="10691"/>
    <cellStyle name="vnhead3 3" xfId="10692"/>
    <cellStyle name="vnhead3 4" xfId="10693"/>
    <cellStyle name="vnhead4" xfId="10694"/>
    <cellStyle name="vnhead4 2" xfId="10695"/>
    <cellStyle name="vnhead4 3" xfId="10696"/>
    <cellStyle name="vnhead4 4" xfId="10697"/>
    <cellStyle name="W?hrung [0]_35ERI8T2gbIEMixb4v26icuOo" xfId="10706"/>
    <cellStyle name="W?hrung_35ERI8T2gbIEMixb4v26icuOo" xfId="10707"/>
    <cellStyle name="Währung [0]_68574_Materialbedarfsliste" xfId="10708"/>
    <cellStyle name="Währung_68574_Materialbedarfsliste" xfId="10709"/>
    <cellStyle name="Walutowy [0]_Invoices2001Slovakia" xfId="10710"/>
    <cellStyle name="Walutowy_Invoices2001Slovakia" xfId="10711"/>
    <cellStyle name="Warning Text 2" xfId="10712"/>
    <cellStyle name="Warning Text 2 2" xfId="10713"/>
    <cellStyle name="Warning Text 2 3" xfId="10714"/>
    <cellStyle name="Warning Text 2 4" xfId="10715"/>
    <cellStyle name="Warning Text 3" xfId="10716"/>
    <cellStyle name="Warning Text 4" xfId="10717"/>
    <cellStyle name="wrap" xfId="10718"/>
    <cellStyle name="wrap 2" xfId="10719"/>
    <cellStyle name="wrap 3" xfId="10720"/>
    <cellStyle name="wrap 4" xfId="10721"/>
    <cellStyle name="Wไhrung [0]_35ERI8T2gbIEMixb4v26icuOo" xfId="10722"/>
    <cellStyle name="Wไhrung_35ERI8T2gbIEMixb4v26icuOo" xfId="10723"/>
    <cellStyle name="xan1" xfId="10724"/>
    <cellStyle name="xan1 2" xfId="10725"/>
    <cellStyle name="xan1 3" xfId="10726"/>
    <cellStyle name="xan1 4" xfId="10727"/>
    <cellStyle name="xuan" xfId="10728"/>
    <cellStyle name="xuan 2" xfId="10729"/>
    <cellStyle name="xuan 3" xfId="10730"/>
    <cellStyle name="xuan 4" xfId="10731"/>
    <cellStyle name="xuan 5" xfId="10732"/>
    <cellStyle name="y" xfId="10733"/>
    <cellStyle name="y 2" xfId="10734"/>
    <cellStyle name="y 3" xfId="10735"/>
    <cellStyle name="y 4" xfId="10736"/>
    <cellStyle name="Ý kh¸c_B¶ng 1 (2)" xfId="10737"/>
    <cellStyle name="Zeilenebene_1_主营业务利润明细表" xfId="10738"/>
    <cellStyle name="センター" xfId="10739"/>
    <cellStyle name="センター 2" xfId="10740"/>
    <cellStyle name="センター 3" xfId="10741"/>
    <cellStyle name="センター 4" xfId="10742"/>
    <cellStyle name="เครื่องหมายสกุลเงิน [0]_FTC_OFFER" xfId="10743"/>
    <cellStyle name="เครื่องหมายสกุลเงิน_FTC_OFFER" xfId="10744"/>
    <cellStyle name="ปกติ_FTC_OFFER" xfId="10745"/>
    <cellStyle name=" [0.00]_ Att. 1- Cover" xfId="10746"/>
    <cellStyle name="_ Att. 1- Cover" xfId="10747"/>
    <cellStyle name="?_ Att. 1- Cover" xfId="10748"/>
    <cellStyle name="똿뗦먛귟 [0.00]_PRODUCT DETAIL Q1" xfId="10749"/>
    <cellStyle name="똿뗦먛귟_PRODUCT DETAIL Q1" xfId="10750"/>
    <cellStyle name="믅됞 [0.00]_PRODUCT DETAIL Q1" xfId="10751"/>
    <cellStyle name="믅됞_PRODUCT DETAIL Q1" xfId="10752"/>
    <cellStyle name="백분율_††††† " xfId="10753"/>
    <cellStyle name="뷭?_BOOKSHIP" xfId="10754"/>
    <cellStyle name="쉼표 [0]_2001 Target monthly" xfId="10755"/>
    <cellStyle name="쉼표_Sample plan" xfId="10756"/>
    <cellStyle name="안건회계법인" xfId="10757"/>
    <cellStyle name="안건회계법인 2" xfId="10758"/>
    <cellStyle name="안건회계법인 3" xfId="10759"/>
    <cellStyle name="안건회계법인 4" xfId="10760"/>
    <cellStyle name="콤마 [ - 유형1" xfId="10761"/>
    <cellStyle name="콤마 [ - 유형1 2" xfId="10762"/>
    <cellStyle name="콤마 [ - 유형1 3" xfId="10763"/>
    <cellStyle name="콤마 [ - 유형1 4" xfId="10764"/>
    <cellStyle name="콤마 [ - 유형2" xfId="10765"/>
    <cellStyle name="콤마 [ - 유형2 2" xfId="10766"/>
    <cellStyle name="콤마 [ - 유형2 3" xfId="10767"/>
    <cellStyle name="콤마 [ - 유형2 4" xfId="10768"/>
    <cellStyle name="콤마 [ - 유형3" xfId="10769"/>
    <cellStyle name="콤마 [ - 유형3 2" xfId="10770"/>
    <cellStyle name="콤마 [ - 유형3 3" xfId="10771"/>
    <cellStyle name="콤마 [ - 유형3 4" xfId="10772"/>
    <cellStyle name="콤마 [ - 유형4" xfId="10773"/>
    <cellStyle name="콤마 [ - 유형4 2" xfId="10774"/>
    <cellStyle name="콤마 [ - 유형4 3" xfId="10775"/>
    <cellStyle name="콤마 [ - 유형4 4" xfId="10776"/>
    <cellStyle name="콤마 [ - 유형5" xfId="10777"/>
    <cellStyle name="콤마 [ - 유형5 2" xfId="10778"/>
    <cellStyle name="콤마 [ - 유형5 3" xfId="10779"/>
    <cellStyle name="콤마 [ - 유형5 4" xfId="10780"/>
    <cellStyle name="콤마 [ - 유형6" xfId="10781"/>
    <cellStyle name="콤마 [ - 유형6 2" xfId="10782"/>
    <cellStyle name="콤마 [ - 유형6 3" xfId="10783"/>
    <cellStyle name="콤마 [ - 유형6 4" xfId="10784"/>
    <cellStyle name="콤마 [ - 유형7" xfId="10785"/>
    <cellStyle name="콤마 [ - 유형7 2" xfId="10786"/>
    <cellStyle name="콤마 [ - 유형7 3" xfId="10787"/>
    <cellStyle name="콤마 [ - 유형7 4" xfId="10788"/>
    <cellStyle name="콤마 [ - 유형8" xfId="10789"/>
    <cellStyle name="콤마 [ - 유형8 2" xfId="10790"/>
    <cellStyle name="콤마 [ - 유형8 3" xfId="10791"/>
    <cellStyle name="콤마 [ - 유형8 4" xfId="10792"/>
    <cellStyle name="콤마 [0]_ 비목별 월별기술 " xfId="10793"/>
    <cellStyle name="콤마_ 비목별 월별기술 " xfId="10794"/>
    <cellStyle name="통화 [0]_††††† " xfId="10795"/>
    <cellStyle name="통화_††††† " xfId="10796"/>
    <cellStyle name="표준_ 97년 경영분석(안)" xfId="10797"/>
    <cellStyle name="표줠_Sheet1_1_총괄표 (수출입) (2)" xfId="10798"/>
    <cellStyle name="一般_00Q3902REV.1" xfId="10799"/>
    <cellStyle name="千位[0]_pldt" xfId="10800"/>
    <cellStyle name="千位_pldt" xfId="10801"/>
    <cellStyle name="千位分隔_CCTV" xfId="10802"/>
    <cellStyle name="千分位[0]_00Q3902REV.1" xfId="10803"/>
    <cellStyle name="千分位_00Q3902REV.1" xfId="10804"/>
    <cellStyle name="后继超级链接_销售公司-2002年报表体系（12.21）" xfId="10805"/>
    <cellStyle name="已瀏覽過的超連結" xfId="10806"/>
    <cellStyle name="已瀏覽過的超連結 2" xfId="10807"/>
    <cellStyle name="已瀏覽過的超連結 3" xfId="10808"/>
    <cellStyle name="已瀏覽過的超連結 4" xfId="10809"/>
    <cellStyle name="常?_Sales Forecast - TCLVN" xfId="10810"/>
    <cellStyle name="常规_4403-200312" xfId="10811"/>
    <cellStyle name="桁区切り [0.00]_††††† " xfId="10812"/>
    <cellStyle name="桁区切り_††††† " xfId="10813"/>
    <cellStyle name="標準_#265_Rebates and Pricing" xfId="10814"/>
    <cellStyle name="貨幣 [0]_00Q3902REV.1" xfId="10815"/>
    <cellStyle name="貨幣[0]_BRE" xfId="10816"/>
    <cellStyle name="貨幣_00Q3902REV.1" xfId="10817"/>
    <cellStyle name="超级链接_销售公司-2002年报表体系（12.21）" xfId="10818"/>
    <cellStyle name="超連結" xfId="10819"/>
    <cellStyle name="超連結_x000f_" xfId="10820"/>
    <cellStyle name="超連結 10" xfId="10821"/>
    <cellStyle name="超連結_x000f_ 10" xfId="10822"/>
    <cellStyle name="超連結 11" xfId="10823"/>
    <cellStyle name="超連結_x000f_ 11" xfId="10824"/>
    <cellStyle name="超連結 12" xfId="10825"/>
    <cellStyle name="超連結_x000f_ 12" xfId="10826"/>
    <cellStyle name="超連結 13" xfId="10827"/>
    <cellStyle name="超連結_x000f_ 13" xfId="10828"/>
    <cellStyle name="超連結 14" xfId="10829"/>
    <cellStyle name="超連結_x000f_ 14" xfId="10830"/>
    <cellStyle name="超連結 15" xfId="10831"/>
    <cellStyle name="超連結_x000f_ 15" xfId="10832"/>
    <cellStyle name="超連結 16" xfId="10833"/>
    <cellStyle name="超連結_x000f_ 16" xfId="10834"/>
    <cellStyle name="超連結 17" xfId="10835"/>
    <cellStyle name="超連結_x000f_ 17" xfId="10836"/>
    <cellStyle name="超連結 18" xfId="10837"/>
    <cellStyle name="超連結_x000f_ 18" xfId="10838"/>
    <cellStyle name="超連結 19" xfId="10839"/>
    <cellStyle name="超連結_x000f_ 19" xfId="10840"/>
    <cellStyle name="超連結 2" xfId="10841"/>
    <cellStyle name="超連結_x000f_ 2" xfId="10842"/>
    <cellStyle name="超連結 20" xfId="10843"/>
    <cellStyle name="超連結_x000f_ 20" xfId="10844"/>
    <cellStyle name="超連結 21" xfId="10845"/>
    <cellStyle name="超連結_x000f_ 21" xfId="10846"/>
    <cellStyle name="超連結 22" xfId="10847"/>
    <cellStyle name="超連結_x000f_ 22" xfId="10848"/>
    <cellStyle name="超連結 23" xfId="10849"/>
    <cellStyle name="超連結_x000f_ 23" xfId="10850"/>
    <cellStyle name="超連結 24" xfId="10851"/>
    <cellStyle name="超連結_x000f_ 24" xfId="10852"/>
    <cellStyle name="超連結 25" xfId="10853"/>
    <cellStyle name="超連結_x000f_ 25" xfId="10854"/>
    <cellStyle name="超連結 26" xfId="10855"/>
    <cellStyle name="超連結_x000f_ 26" xfId="10856"/>
    <cellStyle name="超連結 27" xfId="10857"/>
    <cellStyle name="超連結_x000f_ 27" xfId="10858"/>
    <cellStyle name="超連結 28" xfId="10859"/>
    <cellStyle name="超連結_x000f_ 28" xfId="10860"/>
    <cellStyle name="超連結 29" xfId="10861"/>
    <cellStyle name="超連結_x000f_ 29" xfId="10862"/>
    <cellStyle name="超連結 3" xfId="10863"/>
    <cellStyle name="超連結_x000f_ 3" xfId="10864"/>
    <cellStyle name="超連結 30" xfId="10865"/>
    <cellStyle name="超連結_x000f_ 30" xfId="10866"/>
    <cellStyle name="超連結 31" xfId="10867"/>
    <cellStyle name="超連結_x000f_ 31" xfId="10868"/>
    <cellStyle name="超連結 32" xfId="10869"/>
    <cellStyle name="超連結_x000f_ 32" xfId="10870"/>
    <cellStyle name="超連結 33" xfId="10871"/>
    <cellStyle name="超連結_x000f_ 33" xfId="10872"/>
    <cellStyle name="超連結 34" xfId="10873"/>
    <cellStyle name="超連結_x000f_ 34" xfId="10874"/>
    <cellStyle name="超連結 35" xfId="10875"/>
    <cellStyle name="超連結_x000f_ 35" xfId="10876"/>
    <cellStyle name="超連結 36" xfId="10877"/>
    <cellStyle name="超連結_x000f_ 36" xfId="10878"/>
    <cellStyle name="超連結 37" xfId="10879"/>
    <cellStyle name="超連結_x000f_ 37" xfId="10880"/>
    <cellStyle name="超連結 38" xfId="10881"/>
    <cellStyle name="超連結_x000f_ 38" xfId="10882"/>
    <cellStyle name="超連結 39" xfId="10883"/>
    <cellStyle name="超連結_x000f_ 39" xfId="10884"/>
    <cellStyle name="超連結 4" xfId="10885"/>
    <cellStyle name="超連結_x000f_ 4" xfId="10886"/>
    <cellStyle name="超連結 40" xfId="10887"/>
    <cellStyle name="超連結_x000f_ 40" xfId="10888"/>
    <cellStyle name="超連結 41" xfId="10889"/>
    <cellStyle name="超連結_x000f_ 41" xfId="10890"/>
    <cellStyle name="超連結 42" xfId="10891"/>
    <cellStyle name="超連結_x000f_ 42" xfId="10892"/>
    <cellStyle name="超連結 43" xfId="10893"/>
    <cellStyle name="超連結_x000f_ 43" xfId="10894"/>
    <cellStyle name="超連結 44" xfId="10895"/>
    <cellStyle name="超連結_x000f_ 44" xfId="10896"/>
    <cellStyle name="超連結 45" xfId="10897"/>
    <cellStyle name="超連結_x000f_ 45" xfId="10898"/>
    <cellStyle name="超連結 46" xfId="10899"/>
    <cellStyle name="超連結_x000f_ 46" xfId="10900"/>
    <cellStyle name="超連結 47" xfId="10901"/>
    <cellStyle name="超連結_x000f_ 47" xfId="10902"/>
    <cellStyle name="超連結 48" xfId="10903"/>
    <cellStyle name="超連結_x000f_ 48" xfId="10904"/>
    <cellStyle name="超連結 49" xfId="10905"/>
    <cellStyle name="超連結_x000f_ 49" xfId="10906"/>
    <cellStyle name="超連結 5" xfId="10907"/>
    <cellStyle name="超連結_x000f_ 5" xfId="10908"/>
    <cellStyle name="超連結 50" xfId="10909"/>
    <cellStyle name="超連結_x000f_ 50" xfId="10910"/>
    <cellStyle name="超連結 51" xfId="10911"/>
    <cellStyle name="超連結_x000f_ 51" xfId="10912"/>
    <cellStyle name="超連結 52" xfId="10913"/>
    <cellStyle name="超連結_x000f_ 52" xfId="10914"/>
    <cellStyle name="超連結 53" xfId="10915"/>
    <cellStyle name="超連結_x000f_ 53" xfId="10916"/>
    <cellStyle name="超連結 54" xfId="10917"/>
    <cellStyle name="超連結_x000f_ 54" xfId="10918"/>
    <cellStyle name="超連結 55" xfId="10919"/>
    <cellStyle name="超連結_x000f_ 55" xfId="10920"/>
    <cellStyle name="超連結 56" xfId="10921"/>
    <cellStyle name="超連結_x000f_ 56" xfId="10922"/>
    <cellStyle name="超連結 57" xfId="10923"/>
    <cellStyle name="超連結_x000f_ 57" xfId="10924"/>
    <cellStyle name="超連結 58" xfId="10925"/>
    <cellStyle name="超連結_x000f_ 58" xfId="10926"/>
    <cellStyle name="超連結 59" xfId="10927"/>
    <cellStyle name="超連結_x000f_ 59" xfId="10928"/>
    <cellStyle name="超連結 6" xfId="10929"/>
    <cellStyle name="超連結_x000f_ 6" xfId="10930"/>
    <cellStyle name="超連結 60" xfId="10931"/>
    <cellStyle name="超連結_x000f_ 60" xfId="10932"/>
    <cellStyle name="超連結 7" xfId="10933"/>
    <cellStyle name="超連結_x000f_ 7" xfId="10934"/>
    <cellStyle name="超連結 8" xfId="10935"/>
    <cellStyle name="超連結_x000f_ 8" xfId="10936"/>
    <cellStyle name="超連結 9" xfId="10937"/>
    <cellStyle name="超連結_x000f_ 9" xfId="10938"/>
    <cellStyle name="超連結_x000d_" xfId="10939"/>
    <cellStyle name="超連結_x000d_ 2" xfId="10940"/>
    <cellStyle name="超連結_x000d_ 3" xfId="10941"/>
    <cellStyle name="超連結_x000d_ 4" xfId="10942"/>
    <cellStyle name="超連結??汸" xfId="10943"/>
    <cellStyle name="超連結??汸 2" xfId="10944"/>
    <cellStyle name="超連結??汸 3" xfId="10945"/>
    <cellStyle name="超連結??汸 4" xfId="10946"/>
    <cellStyle name="超連結?w?" xfId="10947"/>
    <cellStyle name="超連結?w? 2" xfId="10948"/>
    <cellStyle name="超連結?w? 3" xfId="10949"/>
    <cellStyle name="超連結?w? 4" xfId="10950"/>
    <cellStyle name="超連結?潒?" xfId="10951"/>
    <cellStyle name="超連結?潒? 2" xfId="10952"/>
    <cellStyle name="超連結?潒? 3" xfId="10953"/>
    <cellStyle name="超連結?潒? 4" xfId="10954"/>
    <cellStyle name="超連結♇⹡汸" xfId="10955"/>
    <cellStyle name="超連結♇⹡汸 2" xfId="10956"/>
    <cellStyle name="超連結♇⹡汸 3" xfId="10957"/>
    <cellStyle name="超連結♇⹡汸 4" xfId="10958"/>
    <cellStyle name="超連結⁷潒慭" xfId="10959"/>
    <cellStyle name="超連結⁷潒慭 2" xfId="10960"/>
    <cellStyle name="超連結⁷潒慭 3" xfId="10961"/>
    <cellStyle name="超連結⁷潒慭 4" xfId="10962"/>
    <cellStyle name="超連結敎w慭" xfId="10963"/>
    <cellStyle name="超連結敎w慭 2" xfId="10964"/>
    <cellStyle name="超連結敎w慭 3" xfId="10965"/>
    <cellStyle name="超連結敎w慭 4" xfId="10966"/>
    <cellStyle name="通貨 [0.00]_††††† " xfId="10967"/>
    <cellStyle name="通貨_††††† " xfId="10968"/>
    <cellStyle name="隨後的超連結" xfId="10969"/>
    <cellStyle name="隨後的超連結 2" xfId="10970"/>
    <cellStyle name="隨後的超連結 3" xfId="10971"/>
    <cellStyle name="隨後的超連結 4" xfId="10972"/>
    <cellStyle name="隨後的超連結n_x0003_" xfId="10973"/>
    <cellStyle name="隨後的超連結n_x0003_ 2" xfId="10974"/>
    <cellStyle name="隨後的超連結n_x0003_ 3" xfId="10975"/>
    <cellStyle name="隨後的超連結n_x0003_ 4" xfId="10976"/>
    <cellStyle name="隨後的超連結n汸s?呃L" xfId="10977"/>
    <cellStyle name="隨後的超連結n汸s?呃L 2" xfId="10978"/>
    <cellStyle name="隨後的超連結n汸s?呃L 3" xfId="10979"/>
    <cellStyle name="隨後的超連結n汸s?呃L 4" xfId="10980"/>
    <cellStyle name="隨後的超連結n汸s䱘呃L" xfId="10981"/>
    <cellStyle name="隨後的超連結n汸s䱘呃L 2" xfId="10982"/>
    <cellStyle name="隨後的超連結n汸s䱘呃L 3" xfId="10983"/>
    <cellStyle name="隨後的超連結n汸s䱘呃L 4" xfId="10984"/>
    <cellStyle name="隨後的超連結s?呃L?R" xfId="10985"/>
    <cellStyle name="隨後的超連結s?呃L?R 2" xfId="10986"/>
    <cellStyle name="隨後的超連結s?呃L?R 3" xfId="10987"/>
    <cellStyle name="隨後的超連結s?呃L?R 4" xfId="10988"/>
    <cellStyle name="隨後的超連結s䱘呃L䄀R" xfId="10989"/>
    <cellStyle name="隨後的超連結s䱘呃L䄀R 2" xfId="10990"/>
    <cellStyle name="隨後的超連結s䱘呃L䄀R 3" xfId="10991"/>
    <cellStyle name="隨後的超連結s䱘呃L䄀R 4" xfId="10992"/>
  </cellStyles>
  <dxfs count="2">
    <dxf>
      <font>
        <color rgb="FFFF0000"/>
      </font>
      <fill>
        <patternFill patternType="none"/>
      </fill>
    </dxf>
    <dxf>
      <font>
        <condense val="0"/>
        <extend val="0"/>
        <color indexed="1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1.xml"/><Relationship Id="rId68"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2.xml"/><Relationship Id="rId69"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8</xdr:row>
      <xdr:rowOff>0</xdr:rowOff>
    </xdr:from>
    <xdr:to>
      <xdr:col>3</xdr:col>
      <xdr:colOff>9526</xdr:colOff>
      <xdr:row>8</xdr:row>
      <xdr:rowOff>66684</xdr:rowOff>
    </xdr:to>
    <xdr:pic>
      <xdr:nvPicPr>
        <xdr:cNvPr id="2" name="Picture 1">
          <a:extLst>
            <a:ext uri="{FF2B5EF4-FFF2-40B4-BE49-F238E27FC236}">
              <a16:creationId xmlns:a16="http://schemas.microsoft.com/office/drawing/2014/main" xmlns="" id="{8C029063-5EFD-435C-97B8-1FFD788C75D6}"/>
            </a:ext>
          </a:extLst>
        </xdr:cNvPr>
        <xdr:cNvPicPr>
          <a:picLocks noChangeAspect="1"/>
        </xdr:cNvPicPr>
      </xdr:nvPicPr>
      <xdr:blipFill>
        <a:blip xmlns:r="http://schemas.openxmlformats.org/officeDocument/2006/relationships" r:embed="rId1"/>
        <a:stretch>
          <a:fillRect/>
        </a:stretch>
      </xdr:blipFill>
      <xdr:spPr>
        <a:xfrm>
          <a:off x="3924300" y="2705100"/>
          <a:ext cx="9526" cy="66684"/>
        </a:xfrm>
        <a:prstGeom prst="rect">
          <a:avLst/>
        </a:prstGeom>
      </xdr:spPr>
    </xdr:pic>
    <xdr:clientData/>
  </xdr:twoCellAnchor>
  <xdr:twoCellAnchor editAs="oneCell">
    <xdr:from>
      <xdr:col>3</xdr:col>
      <xdr:colOff>0</xdr:colOff>
      <xdr:row>8</xdr:row>
      <xdr:rowOff>0</xdr:rowOff>
    </xdr:from>
    <xdr:to>
      <xdr:col>3</xdr:col>
      <xdr:colOff>9526</xdr:colOff>
      <xdr:row>8</xdr:row>
      <xdr:rowOff>66684</xdr:rowOff>
    </xdr:to>
    <xdr:pic>
      <xdr:nvPicPr>
        <xdr:cNvPr id="3" name="Picture 2">
          <a:extLst>
            <a:ext uri="{FF2B5EF4-FFF2-40B4-BE49-F238E27FC236}">
              <a16:creationId xmlns:a16="http://schemas.microsoft.com/office/drawing/2014/main" xmlns="" id="{8C029063-5EFD-435C-97B8-1FFD788C75D6}"/>
            </a:ext>
          </a:extLst>
        </xdr:cNvPr>
        <xdr:cNvPicPr>
          <a:picLocks noChangeAspect="1"/>
        </xdr:cNvPicPr>
      </xdr:nvPicPr>
      <xdr:blipFill>
        <a:blip xmlns:r="http://schemas.openxmlformats.org/officeDocument/2006/relationships" r:embed="rId1"/>
        <a:stretch>
          <a:fillRect/>
        </a:stretch>
      </xdr:blipFill>
      <xdr:spPr>
        <a:xfrm>
          <a:off x="3924300" y="2705100"/>
          <a:ext cx="9526" cy="66684"/>
        </a:xfrm>
        <a:prstGeom prst="rect">
          <a:avLst/>
        </a:prstGeom>
      </xdr:spPr>
    </xdr:pic>
    <xdr:clientData/>
  </xdr:twoCellAnchor>
  <xdr:twoCellAnchor editAs="oneCell">
    <xdr:from>
      <xdr:col>3</xdr:col>
      <xdr:colOff>0</xdr:colOff>
      <xdr:row>8</xdr:row>
      <xdr:rowOff>0</xdr:rowOff>
    </xdr:from>
    <xdr:to>
      <xdr:col>3</xdr:col>
      <xdr:colOff>9526</xdr:colOff>
      <xdr:row>8</xdr:row>
      <xdr:rowOff>66684</xdr:rowOff>
    </xdr:to>
    <xdr:pic>
      <xdr:nvPicPr>
        <xdr:cNvPr id="4" name="Picture 3">
          <a:extLst>
            <a:ext uri="{FF2B5EF4-FFF2-40B4-BE49-F238E27FC236}">
              <a16:creationId xmlns:a16="http://schemas.microsoft.com/office/drawing/2014/main" xmlns="" id="{8C029063-5EFD-435C-97B8-1FFD788C75D6}"/>
            </a:ext>
          </a:extLst>
        </xdr:cNvPr>
        <xdr:cNvPicPr>
          <a:picLocks noChangeAspect="1"/>
        </xdr:cNvPicPr>
      </xdr:nvPicPr>
      <xdr:blipFill>
        <a:blip xmlns:r="http://schemas.openxmlformats.org/officeDocument/2006/relationships" r:embed="rId1"/>
        <a:stretch>
          <a:fillRect/>
        </a:stretch>
      </xdr:blipFill>
      <xdr:spPr>
        <a:xfrm>
          <a:off x="3000375" y="2476500"/>
          <a:ext cx="9526" cy="66684"/>
        </a:xfrm>
        <a:prstGeom prst="rect">
          <a:avLst/>
        </a:prstGeom>
      </xdr:spPr>
    </xdr:pic>
    <xdr:clientData/>
  </xdr:twoCellAnchor>
  <xdr:twoCellAnchor editAs="oneCell">
    <xdr:from>
      <xdr:col>3</xdr:col>
      <xdr:colOff>0</xdr:colOff>
      <xdr:row>8</xdr:row>
      <xdr:rowOff>0</xdr:rowOff>
    </xdr:from>
    <xdr:to>
      <xdr:col>3</xdr:col>
      <xdr:colOff>9526</xdr:colOff>
      <xdr:row>8</xdr:row>
      <xdr:rowOff>66684</xdr:rowOff>
    </xdr:to>
    <xdr:pic>
      <xdr:nvPicPr>
        <xdr:cNvPr id="5" name="Picture 4">
          <a:extLst>
            <a:ext uri="{FF2B5EF4-FFF2-40B4-BE49-F238E27FC236}">
              <a16:creationId xmlns:a16="http://schemas.microsoft.com/office/drawing/2014/main" xmlns="" id="{8C029063-5EFD-435C-97B8-1FFD788C75D6}"/>
            </a:ext>
          </a:extLst>
        </xdr:cNvPr>
        <xdr:cNvPicPr>
          <a:picLocks noChangeAspect="1"/>
        </xdr:cNvPicPr>
      </xdr:nvPicPr>
      <xdr:blipFill>
        <a:blip xmlns:r="http://schemas.openxmlformats.org/officeDocument/2006/relationships" r:embed="rId1"/>
        <a:stretch>
          <a:fillRect/>
        </a:stretch>
      </xdr:blipFill>
      <xdr:spPr>
        <a:xfrm>
          <a:off x="3000375" y="2476500"/>
          <a:ext cx="9526" cy="66684"/>
        </a:xfrm>
        <a:prstGeom prst="rect">
          <a:avLst/>
        </a:prstGeom>
      </xdr:spPr>
    </xdr:pic>
    <xdr:clientData/>
  </xdr:twoCellAnchor>
  <xdr:twoCellAnchor editAs="oneCell">
    <xdr:from>
      <xdr:col>3</xdr:col>
      <xdr:colOff>0</xdr:colOff>
      <xdr:row>8</xdr:row>
      <xdr:rowOff>0</xdr:rowOff>
    </xdr:from>
    <xdr:to>
      <xdr:col>3</xdr:col>
      <xdr:colOff>9526</xdr:colOff>
      <xdr:row>8</xdr:row>
      <xdr:rowOff>66684</xdr:rowOff>
    </xdr:to>
    <xdr:pic>
      <xdr:nvPicPr>
        <xdr:cNvPr id="6" name="Picture 5">
          <a:extLst>
            <a:ext uri="{FF2B5EF4-FFF2-40B4-BE49-F238E27FC236}">
              <a16:creationId xmlns:a16="http://schemas.microsoft.com/office/drawing/2014/main" xmlns="" id="{8C029063-5EFD-435C-97B8-1FFD788C75D6}"/>
            </a:ext>
          </a:extLst>
        </xdr:cNvPr>
        <xdr:cNvPicPr>
          <a:picLocks noChangeAspect="1"/>
        </xdr:cNvPicPr>
      </xdr:nvPicPr>
      <xdr:blipFill>
        <a:blip xmlns:r="http://schemas.openxmlformats.org/officeDocument/2006/relationships" r:embed="rId1"/>
        <a:stretch>
          <a:fillRect/>
        </a:stretch>
      </xdr:blipFill>
      <xdr:spPr>
        <a:xfrm>
          <a:off x="3000375" y="2476500"/>
          <a:ext cx="9526" cy="66684"/>
        </a:xfrm>
        <a:prstGeom prst="rect">
          <a:avLst/>
        </a:prstGeom>
      </xdr:spPr>
    </xdr:pic>
    <xdr:clientData/>
  </xdr:twoCellAnchor>
  <xdr:twoCellAnchor editAs="oneCell">
    <xdr:from>
      <xdr:col>3</xdr:col>
      <xdr:colOff>0</xdr:colOff>
      <xdr:row>8</xdr:row>
      <xdr:rowOff>0</xdr:rowOff>
    </xdr:from>
    <xdr:to>
      <xdr:col>3</xdr:col>
      <xdr:colOff>9526</xdr:colOff>
      <xdr:row>8</xdr:row>
      <xdr:rowOff>66684</xdr:rowOff>
    </xdr:to>
    <xdr:pic>
      <xdr:nvPicPr>
        <xdr:cNvPr id="7" name="Picture 6">
          <a:extLst>
            <a:ext uri="{FF2B5EF4-FFF2-40B4-BE49-F238E27FC236}">
              <a16:creationId xmlns:a16="http://schemas.microsoft.com/office/drawing/2014/main" xmlns="" id="{8C029063-5EFD-435C-97B8-1FFD788C75D6}"/>
            </a:ext>
          </a:extLst>
        </xdr:cNvPr>
        <xdr:cNvPicPr>
          <a:picLocks noChangeAspect="1"/>
        </xdr:cNvPicPr>
      </xdr:nvPicPr>
      <xdr:blipFill>
        <a:blip xmlns:r="http://schemas.openxmlformats.org/officeDocument/2006/relationships" r:embed="rId1"/>
        <a:stretch>
          <a:fillRect/>
        </a:stretch>
      </xdr:blipFill>
      <xdr:spPr>
        <a:xfrm>
          <a:off x="3000375" y="2476500"/>
          <a:ext cx="9526" cy="66684"/>
        </a:xfrm>
        <a:prstGeom prst="rect">
          <a:avLst/>
        </a:prstGeom>
      </xdr:spPr>
    </xdr:pic>
    <xdr:clientData/>
  </xdr:twoCellAnchor>
  <xdr:twoCellAnchor editAs="oneCell">
    <xdr:from>
      <xdr:col>3</xdr:col>
      <xdr:colOff>0</xdr:colOff>
      <xdr:row>8</xdr:row>
      <xdr:rowOff>0</xdr:rowOff>
    </xdr:from>
    <xdr:to>
      <xdr:col>3</xdr:col>
      <xdr:colOff>9526</xdr:colOff>
      <xdr:row>8</xdr:row>
      <xdr:rowOff>66684</xdr:rowOff>
    </xdr:to>
    <xdr:pic>
      <xdr:nvPicPr>
        <xdr:cNvPr id="8" name="Picture 7">
          <a:extLst>
            <a:ext uri="{FF2B5EF4-FFF2-40B4-BE49-F238E27FC236}">
              <a16:creationId xmlns:a16="http://schemas.microsoft.com/office/drawing/2014/main" xmlns="" id="{8C029063-5EFD-435C-97B8-1FFD788C75D6}"/>
            </a:ext>
          </a:extLst>
        </xdr:cNvPr>
        <xdr:cNvPicPr>
          <a:picLocks noChangeAspect="1"/>
        </xdr:cNvPicPr>
      </xdr:nvPicPr>
      <xdr:blipFill>
        <a:blip xmlns:r="http://schemas.openxmlformats.org/officeDocument/2006/relationships" r:embed="rId1"/>
        <a:stretch>
          <a:fillRect/>
        </a:stretch>
      </xdr:blipFill>
      <xdr:spPr>
        <a:xfrm>
          <a:off x="3000375" y="2476500"/>
          <a:ext cx="9526" cy="66684"/>
        </a:xfrm>
        <a:prstGeom prst="rect">
          <a:avLst/>
        </a:prstGeom>
      </xdr:spPr>
    </xdr:pic>
    <xdr:clientData/>
  </xdr:twoCellAnchor>
  <xdr:twoCellAnchor editAs="oneCell">
    <xdr:from>
      <xdr:col>3</xdr:col>
      <xdr:colOff>0</xdr:colOff>
      <xdr:row>8</xdr:row>
      <xdr:rowOff>0</xdr:rowOff>
    </xdr:from>
    <xdr:to>
      <xdr:col>3</xdr:col>
      <xdr:colOff>9526</xdr:colOff>
      <xdr:row>8</xdr:row>
      <xdr:rowOff>66684</xdr:rowOff>
    </xdr:to>
    <xdr:pic>
      <xdr:nvPicPr>
        <xdr:cNvPr id="9" name="Picture 8">
          <a:extLst>
            <a:ext uri="{FF2B5EF4-FFF2-40B4-BE49-F238E27FC236}">
              <a16:creationId xmlns:a16="http://schemas.microsoft.com/office/drawing/2014/main" xmlns="" id="{8C029063-5EFD-435C-97B8-1FFD788C75D6}"/>
            </a:ext>
          </a:extLst>
        </xdr:cNvPr>
        <xdr:cNvPicPr>
          <a:picLocks noChangeAspect="1"/>
        </xdr:cNvPicPr>
      </xdr:nvPicPr>
      <xdr:blipFill>
        <a:blip xmlns:r="http://schemas.openxmlformats.org/officeDocument/2006/relationships" r:embed="rId1"/>
        <a:stretch>
          <a:fillRect/>
        </a:stretch>
      </xdr:blipFill>
      <xdr:spPr>
        <a:xfrm>
          <a:off x="3000375" y="2476500"/>
          <a:ext cx="9526" cy="66684"/>
        </a:xfrm>
        <a:prstGeom prst="rect">
          <a:avLst/>
        </a:prstGeom>
      </xdr:spPr>
    </xdr:pic>
    <xdr:clientData/>
  </xdr:twoCellAnchor>
  <xdr:twoCellAnchor>
    <xdr:from>
      <xdr:col>3</xdr:col>
      <xdr:colOff>1623060</xdr:colOff>
      <xdr:row>3</xdr:row>
      <xdr:rowOff>22860</xdr:rowOff>
    </xdr:from>
    <xdr:to>
      <xdr:col>5</xdr:col>
      <xdr:colOff>335280</xdr:colOff>
      <xdr:row>3</xdr:row>
      <xdr:rowOff>22860</xdr:rowOff>
    </xdr:to>
    <xdr:cxnSp macro="">
      <xdr:nvCxnSpPr>
        <xdr:cNvPr id="11" name="Straight Connector 10">
          <a:extLst>
            <a:ext uri="{FF2B5EF4-FFF2-40B4-BE49-F238E27FC236}">
              <a16:creationId xmlns:a16="http://schemas.microsoft.com/office/drawing/2014/main" xmlns="" id="{69031359-88A4-725D-ADFF-D7BC85EB6533}"/>
            </a:ext>
          </a:extLst>
        </xdr:cNvPr>
        <xdr:cNvCxnSpPr/>
      </xdr:nvCxnSpPr>
      <xdr:spPr>
        <a:xfrm>
          <a:off x="4709160" y="1005840"/>
          <a:ext cx="18288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2895600</xdr:colOff>
      <xdr:row>3</xdr:row>
      <xdr:rowOff>38100</xdr:rowOff>
    </xdr:from>
    <xdr:to>
      <xdr:col>2</xdr:col>
      <xdr:colOff>381000</xdr:colOff>
      <xdr:row>3</xdr:row>
      <xdr:rowOff>38100</xdr:rowOff>
    </xdr:to>
    <xdr:cxnSp macro="">
      <xdr:nvCxnSpPr>
        <xdr:cNvPr id="6" name="Straight Connector 5">
          <a:extLst>
            <a:ext uri="{FF2B5EF4-FFF2-40B4-BE49-F238E27FC236}">
              <a16:creationId xmlns:a16="http://schemas.microsoft.com/office/drawing/2014/main" xmlns="" id="{552905E6-7E14-47EC-1AC5-18A450A69890}"/>
            </a:ext>
          </a:extLst>
        </xdr:cNvPr>
        <xdr:cNvCxnSpPr/>
      </xdr:nvCxnSpPr>
      <xdr:spPr>
        <a:xfrm>
          <a:off x="3337560" y="1150620"/>
          <a:ext cx="2362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8</xdr:row>
      <xdr:rowOff>0</xdr:rowOff>
    </xdr:from>
    <xdr:to>
      <xdr:col>3</xdr:col>
      <xdr:colOff>9526</xdr:colOff>
      <xdr:row>8</xdr:row>
      <xdr:rowOff>66684</xdr:rowOff>
    </xdr:to>
    <xdr:pic>
      <xdr:nvPicPr>
        <xdr:cNvPr id="2" name="Picture 1">
          <a:extLst>
            <a:ext uri="{FF2B5EF4-FFF2-40B4-BE49-F238E27FC236}">
              <a16:creationId xmlns:a16="http://schemas.microsoft.com/office/drawing/2014/main" xmlns="" id="{8C029063-5EFD-435C-97B8-1FFD788C75D6}"/>
            </a:ext>
          </a:extLst>
        </xdr:cNvPr>
        <xdr:cNvPicPr>
          <a:picLocks noChangeAspect="1"/>
        </xdr:cNvPicPr>
      </xdr:nvPicPr>
      <xdr:blipFill>
        <a:blip xmlns:r="http://schemas.openxmlformats.org/officeDocument/2006/relationships" r:embed="rId1"/>
        <a:stretch>
          <a:fillRect/>
        </a:stretch>
      </xdr:blipFill>
      <xdr:spPr>
        <a:xfrm>
          <a:off x="3771900" y="2352675"/>
          <a:ext cx="9526" cy="66684"/>
        </a:xfrm>
        <a:prstGeom prst="rect">
          <a:avLst/>
        </a:prstGeom>
      </xdr:spPr>
    </xdr:pic>
    <xdr:clientData/>
  </xdr:twoCellAnchor>
  <xdr:twoCellAnchor editAs="oneCell">
    <xdr:from>
      <xdr:col>3</xdr:col>
      <xdr:colOff>0</xdr:colOff>
      <xdr:row>8</xdr:row>
      <xdr:rowOff>0</xdr:rowOff>
    </xdr:from>
    <xdr:to>
      <xdr:col>3</xdr:col>
      <xdr:colOff>9526</xdr:colOff>
      <xdr:row>8</xdr:row>
      <xdr:rowOff>66684</xdr:rowOff>
    </xdr:to>
    <xdr:pic>
      <xdr:nvPicPr>
        <xdr:cNvPr id="4" name="Picture 3">
          <a:extLst>
            <a:ext uri="{FF2B5EF4-FFF2-40B4-BE49-F238E27FC236}">
              <a16:creationId xmlns:a16="http://schemas.microsoft.com/office/drawing/2014/main" xmlns="" id="{8C029063-5EFD-435C-97B8-1FFD788C75D6}"/>
            </a:ext>
          </a:extLst>
        </xdr:cNvPr>
        <xdr:cNvPicPr>
          <a:picLocks noChangeAspect="1"/>
        </xdr:cNvPicPr>
      </xdr:nvPicPr>
      <xdr:blipFill>
        <a:blip xmlns:r="http://schemas.openxmlformats.org/officeDocument/2006/relationships" r:embed="rId1"/>
        <a:stretch>
          <a:fillRect/>
        </a:stretch>
      </xdr:blipFill>
      <xdr:spPr>
        <a:xfrm>
          <a:off x="2971800" y="2181225"/>
          <a:ext cx="9526" cy="666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2095500</xdr:colOff>
      <xdr:row>3</xdr:row>
      <xdr:rowOff>47625</xdr:rowOff>
    </xdr:from>
    <xdr:to>
      <xdr:col>1</xdr:col>
      <xdr:colOff>3771900</xdr:colOff>
      <xdr:row>3</xdr:row>
      <xdr:rowOff>47625</xdr:rowOff>
    </xdr:to>
    <xdr:cxnSp macro="">
      <xdr:nvCxnSpPr>
        <xdr:cNvPr id="2" name="Straight Connector 1">
          <a:extLst>
            <a:ext uri="{FF2B5EF4-FFF2-40B4-BE49-F238E27FC236}">
              <a16:creationId xmlns:a16="http://schemas.microsoft.com/office/drawing/2014/main" xmlns="" id="{00000000-0008-0000-3A00-000002000000}"/>
            </a:ext>
          </a:extLst>
        </xdr:cNvPr>
        <xdr:cNvCxnSpPr/>
      </xdr:nvCxnSpPr>
      <xdr:spPr>
        <a:xfrm>
          <a:off x="2524125" y="1085850"/>
          <a:ext cx="16764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2095500</xdr:colOff>
      <xdr:row>3</xdr:row>
      <xdr:rowOff>47625</xdr:rowOff>
    </xdr:from>
    <xdr:to>
      <xdr:col>1</xdr:col>
      <xdr:colOff>3771900</xdr:colOff>
      <xdr:row>3</xdr:row>
      <xdr:rowOff>47625</xdr:rowOff>
    </xdr:to>
    <xdr:cxnSp macro="">
      <xdr:nvCxnSpPr>
        <xdr:cNvPr id="3" name="Straight Connector 2">
          <a:extLst>
            <a:ext uri="{FF2B5EF4-FFF2-40B4-BE49-F238E27FC236}">
              <a16:creationId xmlns:a16="http://schemas.microsoft.com/office/drawing/2014/main" xmlns="" id="{00000000-0008-0000-3A00-000003000000}"/>
            </a:ext>
          </a:extLst>
        </xdr:cNvPr>
        <xdr:cNvCxnSpPr/>
      </xdr:nvCxnSpPr>
      <xdr:spPr>
        <a:xfrm>
          <a:off x="2524125" y="1085850"/>
          <a:ext cx="16764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2095500</xdr:colOff>
      <xdr:row>3</xdr:row>
      <xdr:rowOff>47625</xdr:rowOff>
    </xdr:from>
    <xdr:to>
      <xdr:col>1</xdr:col>
      <xdr:colOff>3771900</xdr:colOff>
      <xdr:row>3</xdr:row>
      <xdr:rowOff>47625</xdr:rowOff>
    </xdr:to>
    <xdr:cxnSp macro="">
      <xdr:nvCxnSpPr>
        <xdr:cNvPr id="2" name="Straight Connector 1">
          <a:extLst>
            <a:ext uri="{FF2B5EF4-FFF2-40B4-BE49-F238E27FC236}">
              <a16:creationId xmlns:a16="http://schemas.microsoft.com/office/drawing/2014/main" xmlns="" id="{00000000-0008-0000-3B00-000002000000}"/>
            </a:ext>
          </a:extLst>
        </xdr:cNvPr>
        <xdr:cNvCxnSpPr/>
      </xdr:nvCxnSpPr>
      <xdr:spPr>
        <a:xfrm>
          <a:off x="2524125" y="1085850"/>
          <a:ext cx="16764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2095500</xdr:colOff>
      <xdr:row>2</xdr:row>
      <xdr:rowOff>47625</xdr:rowOff>
    </xdr:from>
    <xdr:to>
      <xdr:col>1</xdr:col>
      <xdr:colOff>3771900</xdr:colOff>
      <xdr:row>2</xdr:row>
      <xdr:rowOff>47625</xdr:rowOff>
    </xdr:to>
    <xdr:cxnSp macro="">
      <xdr:nvCxnSpPr>
        <xdr:cNvPr id="2" name="Straight Connector 1">
          <a:extLst>
            <a:ext uri="{FF2B5EF4-FFF2-40B4-BE49-F238E27FC236}">
              <a16:creationId xmlns:a16="http://schemas.microsoft.com/office/drawing/2014/main" xmlns="" id="{00000000-0008-0000-3C00-000002000000}"/>
            </a:ext>
          </a:extLst>
        </xdr:cNvPr>
        <xdr:cNvCxnSpPr/>
      </xdr:nvCxnSpPr>
      <xdr:spPr>
        <a:xfrm>
          <a:off x="2524125" y="1238250"/>
          <a:ext cx="16764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57D28A9D\Chi%20tieu.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KHDT\Desktop\Du%20thao%20Ke%20hoach%20CT%2088\TTr%20ban%20hanh%20KH%20(Sep%20Nguyen%207.4)\So%20Tai%20chinh%20gui%20lai%20(7.4)\2.%20Bieu%20Ra%20soat%20De%20an%2088%20(L&#7847;n%202)%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yPC\Desktop\Bi&#7875;u%20&#273;&#7873;%20xu&#7845;t%20nhu%20c&#7847;u%20v&#7889;n%20n&#259;m%202026%20chu&#7849;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eu TH"/>
      <sheetName val="Theo QĐ 652"/>
      <sheetName val="TH Chung (NQ)"/>
      <sheetName val="TH-NTM(NQ)"/>
      <sheetName val="Chi tiết NTM"/>
      <sheetName val="TH-GN(NQ)"/>
      <sheetName val="Chi tiết GN"/>
      <sheetName val="TH 88 Theo DV(NQ)"/>
      <sheetName val="TH 88(NQ)"/>
      <sheetName val="1"/>
      <sheetName val="1.1"/>
      <sheetName val="2"/>
      <sheetName val="3"/>
      <sheetName val="3.1"/>
      <sheetName val="3.2"/>
      <sheetName val="3.2.a"/>
      <sheetName val="D.A3"/>
      <sheetName val="3.2.b"/>
      <sheetName val="3.2.c"/>
      <sheetName val="4"/>
      <sheetName val="4.1-ĐT"/>
      <sheetName val="4.2"/>
      <sheetName val="4.3"/>
      <sheetName val="4.4"/>
      <sheetName val="4.5"/>
      <sheetName val="4.1-SN"/>
      <sheetName val="5"/>
      <sheetName val="5.1-DT"/>
      <sheetName val="5.1-SN"/>
      <sheetName val="5-2.A"/>
      <sheetName val="5.2.B"/>
      <sheetName val="5-3"/>
      <sheetName val="5-4"/>
      <sheetName val="6"/>
      <sheetName val="6 ĐT"/>
      <sheetName val="6 SN"/>
      <sheetName val="7"/>
      <sheetName val="7-ĐT"/>
      <sheetName val="7-SN"/>
      <sheetName val="D.A8"/>
      <sheetName val="8 SN"/>
      <sheetName val="9"/>
      <sheetName val="9.1-ĐT"/>
      <sheetName val="9.1-SN"/>
      <sheetName val="9.2-SN"/>
      <sheetName val="10"/>
      <sheetName val="10-1 SN"/>
      <sheetName val="10-2 ĐT"/>
      <sheetName val="10-2 SN"/>
      <sheetName val="10-3 SN"/>
    </sheetNames>
    <sheetDataSet>
      <sheetData sheetId="0"/>
      <sheetData sheetId="1"/>
      <sheetData sheetId="2">
        <row r="3">
          <cell r="A3" t="str">
            <v>(Kèm theo Nghị quyết số:               /NQ-HĐND ngày        tháng 6 năm 2022 của Hội đồng nhân dân tỉnh Lai Châu)</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ỷ lệ"/>
      <sheetName val="Tổng hợp"/>
      <sheetName val="1"/>
      <sheetName val="2"/>
      <sheetName val="3"/>
      <sheetName val="3.1"/>
      <sheetName val="3.2"/>
      <sheetName val="3.2.a"/>
      <sheetName val="3.2.b"/>
      <sheetName val="3.2.c"/>
      <sheetName val="4"/>
      <sheetName val="5"/>
      <sheetName val="5-1"/>
      <sheetName val="5-2"/>
      <sheetName val="5-3"/>
      <sheetName val="5-4"/>
      <sheetName val="6"/>
      <sheetName val="7"/>
      <sheetName val="8"/>
      <sheetName val="9"/>
      <sheetName val="9.1"/>
      <sheetName val="9,2"/>
      <sheetName val="10"/>
      <sheetName val="10-1"/>
      <sheetName val="10-2"/>
    </sheetNames>
    <sheetDataSet>
      <sheetData sheetId="0"/>
      <sheetData sheetId="1"/>
      <sheetData sheetId="2"/>
      <sheetData sheetId="3"/>
      <sheetData sheetId="4"/>
      <sheetData sheetId="5">
        <row r="8">
          <cell r="F8">
            <v>163469.1</v>
          </cell>
        </row>
        <row r="9">
          <cell r="J9">
            <v>0</v>
          </cell>
        </row>
        <row r="19">
          <cell r="J19">
            <v>91.000000000000014</v>
          </cell>
        </row>
        <row r="29">
          <cell r="J29">
            <v>0</v>
          </cell>
        </row>
        <row r="39">
          <cell r="J39">
            <v>0</v>
          </cell>
        </row>
        <row r="49">
          <cell r="J49">
            <v>1063.0599999999995</v>
          </cell>
        </row>
        <row r="59">
          <cell r="J59">
            <v>2243.9999999999964</v>
          </cell>
        </row>
        <row r="69">
          <cell r="J69">
            <v>3002.2799999999961</v>
          </cell>
        </row>
        <row r="79">
          <cell r="J79">
            <v>1772.76</v>
          </cell>
        </row>
      </sheetData>
      <sheetData sheetId="6">
        <row r="8">
          <cell r="C8">
            <v>524608</v>
          </cell>
        </row>
        <row r="10">
          <cell r="G10">
            <v>4399</v>
          </cell>
        </row>
        <row r="13">
          <cell r="G13">
            <v>107</v>
          </cell>
        </row>
        <row r="16">
          <cell r="G16">
            <v>297</v>
          </cell>
        </row>
        <row r="20">
          <cell r="G20">
            <v>1697</v>
          </cell>
        </row>
        <row r="24">
          <cell r="G24">
            <v>618</v>
          </cell>
        </row>
        <row r="28">
          <cell r="G28">
            <v>1703</v>
          </cell>
        </row>
        <row r="32">
          <cell r="G32">
            <v>2605</v>
          </cell>
        </row>
        <row r="36">
          <cell r="G36">
            <v>6660</v>
          </cell>
        </row>
        <row r="40">
          <cell r="G40">
            <v>5974</v>
          </cell>
        </row>
        <row r="44">
          <cell r="G44">
            <v>2147</v>
          </cell>
        </row>
      </sheetData>
      <sheetData sheetId="7">
        <row r="8">
          <cell r="C8">
            <v>219830</v>
          </cell>
        </row>
      </sheetData>
      <sheetData sheetId="8">
        <row r="7">
          <cell r="H7">
            <v>2838</v>
          </cell>
        </row>
      </sheetData>
      <sheetData sheetId="9">
        <row r="7">
          <cell r="L7">
            <v>248027</v>
          </cell>
        </row>
      </sheetData>
      <sheetData sheetId="10"/>
      <sheetData sheetId="11"/>
      <sheetData sheetId="12">
        <row r="9">
          <cell r="F9">
            <v>62767</v>
          </cell>
        </row>
        <row r="10">
          <cell r="H10">
            <v>275</v>
          </cell>
        </row>
        <row r="35">
          <cell r="H35">
            <v>220</v>
          </cell>
        </row>
        <row r="41">
          <cell r="H41">
            <v>430.8</v>
          </cell>
        </row>
        <row r="47">
          <cell r="H47">
            <v>377</v>
          </cell>
        </row>
        <row r="53">
          <cell r="H53">
            <v>222.4</v>
          </cell>
        </row>
        <row r="59">
          <cell r="H59">
            <v>370.5</v>
          </cell>
        </row>
        <row r="65">
          <cell r="H65">
            <v>442</v>
          </cell>
        </row>
        <row r="71">
          <cell r="H71">
            <v>464.8</v>
          </cell>
        </row>
        <row r="77">
          <cell r="H77">
            <v>336.1</v>
          </cell>
        </row>
      </sheetData>
      <sheetData sheetId="13">
        <row r="9">
          <cell r="F9">
            <v>42422</v>
          </cell>
        </row>
        <row r="10">
          <cell r="H10">
            <v>50</v>
          </cell>
        </row>
        <row r="15">
          <cell r="H15">
            <v>137</v>
          </cell>
        </row>
        <row r="19">
          <cell r="H19">
            <v>234</v>
          </cell>
        </row>
        <row r="23">
          <cell r="H23">
            <v>195</v>
          </cell>
        </row>
        <row r="27">
          <cell r="H27">
            <v>254</v>
          </cell>
        </row>
        <row r="31">
          <cell r="H31">
            <v>332</v>
          </cell>
        </row>
        <row r="35">
          <cell r="H35">
            <v>430</v>
          </cell>
        </row>
        <row r="39">
          <cell r="H39">
            <v>215</v>
          </cell>
        </row>
        <row r="43">
          <cell r="H43">
            <v>274</v>
          </cell>
        </row>
      </sheetData>
      <sheetData sheetId="14">
        <row r="10">
          <cell r="F10">
            <v>225544.4</v>
          </cell>
        </row>
        <row r="12">
          <cell r="H12">
            <v>1082.4000000000001</v>
          </cell>
        </row>
        <row r="29">
          <cell r="H29">
            <v>2255</v>
          </cell>
        </row>
        <row r="43">
          <cell r="H43">
            <v>270</v>
          </cell>
        </row>
        <row r="52">
          <cell r="H52">
            <v>1172</v>
          </cell>
        </row>
        <row r="66">
          <cell r="H66">
            <v>1065</v>
          </cell>
        </row>
        <row r="80">
          <cell r="H80">
            <v>1065</v>
          </cell>
        </row>
        <row r="94">
          <cell r="H94">
            <v>1272</v>
          </cell>
        </row>
        <row r="108">
          <cell r="H108">
            <v>1278</v>
          </cell>
        </row>
        <row r="122">
          <cell r="H122">
            <v>746</v>
          </cell>
        </row>
        <row r="136">
          <cell r="H136">
            <v>1065</v>
          </cell>
        </row>
      </sheetData>
      <sheetData sheetId="15">
        <row r="9">
          <cell r="F9">
            <v>46965</v>
          </cell>
        </row>
        <row r="11">
          <cell r="H11">
            <v>2348.0000000000027</v>
          </cell>
        </row>
        <row r="129">
          <cell r="G129">
            <v>282</v>
          </cell>
          <cell r="H129">
            <v>14</v>
          </cell>
        </row>
        <row r="143">
          <cell r="G143">
            <v>3998</v>
          </cell>
          <cell r="H143">
            <v>210</v>
          </cell>
        </row>
        <row r="157">
          <cell r="G157">
            <v>1052</v>
          </cell>
          <cell r="H157">
            <v>55</v>
          </cell>
        </row>
        <row r="171">
          <cell r="G171">
            <v>5121</v>
          </cell>
          <cell r="H171">
            <v>270</v>
          </cell>
        </row>
        <row r="185">
          <cell r="G185">
            <v>9050</v>
          </cell>
          <cell r="H185">
            <v>476</v>
          </cell>
        </row>
        <row r="199">
          <cell r="G199">
            <v>12557</v>
          </cell>
          <cell r="H199">
            <v>661</v>
          </cell>
        </row>
        <row r="213">
          <cell r="G213">
            <v>5052</v>
          </cell>
          <cell r="H213">
            <v>266</v>
          </cell>
        </row>
        <row r="227">
          <cell r="G227">
            <v>7506</v>
          </cell>
          <cell r="H227">
            <v>395</v>
          </cell>
        </row>
      </sheetData>
      <sheetData sheetId="16"/>
      <sheetData sheetId="17"/>
      <sheetData sheetId="18"/>
      <sheetData sheetId="19"/>
      <sheetData sheetId="20">
        <row r="9">
          <cell r="G9">
            <v>10251</v>
          </cell>
          <cell r="H9">
            <v>539</v>
          </cell>
        </row>
      </sheetData>
      <sheetData sheetId="21"/>
      <sheetData sheetId="22"/>
      <sheetData sheetId="23">
        <row r="8">
          <cell r="F8">
            <v>63130.375</v>
          </cell>
        </row>
      </sheetData>
      <sheetData sheetId="24">
        <row r="9">
          <cell r="F9">
            <v>8315</v>
          </cell>
        </row>
        <row r="29">
          <cell r="H29">
            <v>25</v>
          </cell>
        </row>
        <row r="38">
          <cell r="H38">
            <v>9</v>
          </cell>
        </row>
        <row r="47">
          <cell r="H47">
            <v>25</v>
          </cell>
        </row>
        <row r="56">
          <cell r="H56">
            <v>55</v>
          </cell>
        </row>
        <row r="65">
          <cell r="H65">
            <v>76</v>
          </cell>
        </row>
        <row r="74">
          <cell r="H74">
            <v>33</v>
          </cell>
        </row>
        <row r="83">
          <cell r="H83">
            <v>47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ốn sự nghiệp"/>
    </sheetNames>
    <sheetDataSet>
      <sheetData sheetId="0" refreshError="1">
        <row r="29">
          <cell r="B29" t="str">
            <v>Nội dung thành phần 03: Phát triển kinh tế nông thôn theo hướng sinh thái, hiện đại, tích hợp đa giá trị và đáp ứng nhu cầu thị trường (gồm 10 nội dung cụ thể)</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8" Type="http://schemas.openxmlformats.org/officeDocument/2006/relationships/hyperlink" Target="https://thukyluat.vn/vb/quyet-dinh-1191-qd-ttg-2020-doi-moi-cong-tac-thong-tin-doi-ngoai-xay-dung-bien-gioi-hoa-binh-6daf3.html" TargetMode="External"/><Relationship Id="rId13" Type="http://schemas.openxmlformats.org/officeDocument/2006/relationships/hyperlink" Target="https://thukyluat.vn/vb/quyet-dinh-45-qd-ttg-2019-cap-an-pham-bao-tap-chi-cho-vung-dan-toc-thieu-so-2019-2021-62d34.html" TargetMode="External"/><Relationship Id="rId3" Type="http://schemas.openxmlformats.org/officeDocument/2006/relationships/hyperlink" Target="https://thukyluat.vn/vb/quyet-dinh-45-qd-ttg-2019-cap-an-pham-bao-tap-chi-cho-vung-dan-toc-thieu-so-2019-2021-62d34.html" TargetMode="External"/><Relationship Id="rId7" Type="http://schemas.openxmlformats.org/officeDocument/2006/relationships/hyperlink" Target="https://thukyluat.vn/vb/quyet-dinh-45-qd-ttg-2019-cap-an-pham-bao-tap-chi-cho-vung-dan-toc-thieu-so-2019-2021-62d34.html" TargetMode="External"/><Relationship Id="rId12" Type="http://schemas.openxmlformats.org/officeDocument/2006/relationships/hyperlink" Target="https://thukyluat.vn/vb/quyet-dinh-1191-qd-ttg-2020-doi-moi-cong-tac-thong-tin-doi-ngoai-xay-dung-bien-gioi-hoa-binh-6daf3.html" TargetMode="External"/><Relationship Id="rId17" Type="http://schemas.openxmlformats.org/officeDocument/2006/relationships/printerSettings" Target="../printerSettings/printerSettings48.bin"/><Relationship Id="rId2" Type="http://schemas.openxmlformats.org/officeDocument/2006/relationships/hyperlink" Target="https://thukyluat.vn/vb/quyet-dinh-1191-qd-ttg-2020-doi-moi-cong-tac-thong-tin-doi-ngoai-xay-dung-bien-gioi-hoa-binh-6daf3.html" TargetMode="External"/><Relationship Id="rId16" Type="http://schemas.openxmlformats.org/officeDocument/2006/relationships/hyperlink" Target="https://thukyluat.vn/vb/quyet-dinh-1191-qd-ttg-2020-doi-moi-cong-tac-thong-tin-doi-ngoai-xay-dung-bien-gioi-hoa-binh-6daf3.html" TargetMode="External"/><Relationship Id="rId1" Type="http://schemas.openxmlformats.org/officeDocument/2006/relationships/hyperlink" Target="https://thukyluat.vn/vb/quyet-dinh-45-qd-ttg-2019-cap-an-pham-bao-tap-chi-cho-vung-dan-toc-thieu-so-2019-2021-62d34.html" TargetMode="External"/><Relationship Id="rId6" Type="http://schemas.openxmlformats.org/officeDocument/2006/relationships/hyperlink" Target="https://thukyluat.vn/vb/quyet-dinh-1191-qd-ttg-2020-doi-moi-cong-tac-thong-tin-doi-ngoai-xay-dung-bien-gioi-hoa-binh-6daf3.html" TargetMode="External"/><Relationship Id="rId11" Type="http://schemas.openxmlformats.org/officeDocument/2006/relationships/hyperlink" Target="https://thukyluat.vn/vb/quyet-dinh-45-qd-ttg-2019-cap-an-pham-bao-tap-chi-cho-vung-dan-toc-thieu-so-2019-2021-62d34.html" TargetMode="External"/><Relationship Id="rId5" Type="http://schemas.openxmlformats.org/officeDocument/2006/relationships/hyperlink" Target="https://thukyluat.vn/vb/quyet-dinh-45-qd-ttg-2019-cap-an-pham-bao-tap-chi-cho-vung-dan-toc-thieu-so-2019-2021-62d34.html" TargetMode="External"/><Relationship Id="rId15" Type="http://schemas.openxmlformats.org/officeDocument/2006/relationships/hyperlink" Target="https://thukyluat.vn/vb/quyet-dinh-45-qd-ttg-2019-cap-an-pham-bao-tap-chi-cho-vung-dan-toc-thieu-so-2019-2021-62d34.html" TargetMode="External"/><Relationship Id="rId10" Type="http://schemas.openxmlformats.org/officeDocument/2006/relationships/hyperlink" Target="https://thukyluat.vn/vb/quyet-dinh-1191-qd-ttg-2020-doi-moi-cong-tac-thong-tin-doi-ngoai-xay-dung-bien-gioi-hoa-binh-6daf3.html" TargetMode="External"/><Relationship Id="rId4" Type="http://schemas.openxmlformats.org/officeDocument/2006/relationships/hyperlink" Target="https://thukyluat.vn/vb/quyet-dinh-1191-qd-ttg-2020-doi-moi-cong-tac-thong-tin-doi-ngoai-xay-dung-bien-gioi-hoa-binh-6daf3.html" TargetMode="External"/><Relationship Id="rId9" Type="http://schemas.openxmlformats.org/officeDocument/2006/relationships/hyperlink" Target="https://thukyluat.vn/vb/quyet-dinh-45-qd-ttg-2019-cap-an-pham-bao-tap-chi-cho-vung-dan-toc-thieu-so-2019-2021-62d34.html" TargetMode="External"/><Relationship Id="rId14" Type="http://schemas.openxmlformats.org/officeDocument/2006/relationships/hyperlink" Target="https://thukyluat.vn/vb/quyet-dinh-1191-qd-ttg-2020-doi-moi-cong-tac-thong-tin-doi-ngoai-xay-dung-bien-gioi-hoa-binh-6daf3.html" TargetMode="External"/></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59.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9"/>
  <sheetViews>
    <sheetView zoomScaleNormal="100" workbookViewId="0">
      <pane xSplit="2" ySplit="6" topLeftCell="C7" activePane="bottomRight" state="frozen"/>
      <selection pane="topRight" activeCell="C1" sqref="C1"/>
      <selection pane="bottomLeft" activeCell="A8" sqref="A8"/>
      <selection pane="bottomRight" activeCell="I16" sqref="I16"/>
    </sheetView>
  </sheetViews>
  <sheetFormatPr defaultColWidth="9.08203125" defaultRowHeight="13"/>
  <cols>
    <col min="1" max="1" width="4.9140625" style="2" customWidth="1"/>
    <col min="2" max="2" width="25.33203125" style="2" customWidth="1"/>
    <col min="3" max="3" width="19.9140625" style="2" customWidth="1"/>
    <col min="4" max="4" width="20.9140625" style="2" customWidth="1"/>
    <col min="5" max="5" width="21.9140625" style="2" customWidth="1"/>
    <col min="6" max="6" width="9.08203125" style="2"/>
    <col min="7" max="7" width="10" style="2" bestFit="1" customWidth="1"/>
    <col min="8" max="16384" width="9.08203125" style="2"/>
  </cols>
  <sheetData>
    <row r="1" spans="1:9" ht="21" customHeight="1">
      <c r="A1" s="1669"/>
      <c r="B1" s="1669"/>
      <c r="C1" s="84"/>
      <c r="D1" s="1"/>
    </row>
    <row r="2" spans="1:9" ht="21" customHeight="1">
      <c r="A2" s="1671" t="s">
        <v>704</v>
      </c>
      <c r="B2" s="1671"/>
      <c r="C2" s="1671"/>
      <c r="D2" s="1671"/>
      <c r="E2" s="1671"/>
    </row>
    <row r="3" spans="1:9" ht="35.15" customHeight="1">
      <c r="A3" s="1671" t="s">
        <v>106</v>
      </c>
      <c r="B3" s="1671"/>
      <c r="C3" s="1671"/>
      <c r="D3" s="1671"/>
      <c r="E3" s="1671"/>
    </row>
    <row r="4" spans="1:9" ht="18" customHeight="1">
      <c r="A4" s="1672" t="s">
        <v>3</v>
      </c>
      <c r="B4" s="1672"/>
      <c r="C4" s="1672"/>
      <c r="D4" s="1672"/>
      <c r="E4" s="1672"/>
    </row>
    <row r="5" spans="1:9" ht="18" customHeight="1">
      <c r="A5" s="1670" t="s">
        <v>4</v>
      </c>
      <c r="B5" s="1670" t="s">
        <v>87</v>
      </c>
      <c r="C5" s="1666" t="s">
        <v>703</v>
      </c>
      <c r="D5" s="1666" t="s">
        <v>68</v>
      </c>
      <c r="E5" s="1666" t="s">
        <v>708</v>
      </c>
    </row>
    <row r="6" spans="1:9" ht="36" customHeight="1">
      <c r="A6" s="1670"/>
      <c r="B6" s="1670"/>
      <c r="C6" s="1667"/>
      <c r="D6" s="1667"/>
      <c r="E6" s="1667"/>
      <c r="I6" s="68"/>
    </row>
    <row r="7" spans="1:9" ht="12.9" customHeight="1">
      <c r="A7" s="4">
        <v>1</v>
      </c>
      <c r="B7" s="4">
        <v>2</v>
      </c>
      <c r="C7" s="4" t="s">
        <v>14</v>
      </c>
      <c r="D7" s="4" t="s">
        <v>16</v>
      </c>
      <c r="E7" s="4" t="s">
        <v>18</v>
      </c>
    </row>
    <row r="8" spans="1:9" ht="18" customHeight="1">
      <c r="A8" s="5"/>
      <c r="B8" s="5" t="s">
        <v>7</v>
      </c>
      <c r="C8" s="6" t="e">
        <f t="shared" ref="C8" si="0">SUM(C9:C16)</f>
        <v>#REF!</v>
      </c>
      <c r="D8" s="6" t="e">
        <f>SUM(D9:D16)</f>
        <v>#REF!</v>
      </c>
      <c r="E8" s="6" t="e">
        <f t="shared" ref="E8" si="1">SUM(E9:E16)</f>
        <v>#REF!</v>
      </c>
      <c r="F8" s="6">
        <v>2173341</v>
      </c>
      <c r="G8" s="85" t="e">
        <f>+F8/D8</f>
        <v>#REF!</v>
      </c>
    </row>
    <row r="9" spans="1:9" ht="18" customHeight="1">
      <c r="A9" s="9">
        <v>1</v>
      </c>
      <c r="B9" s="3" t="s">
        <v>25</v>
      </c>
      <c r="C9" s="73" t="e">
        <f>+'1'!D12+'1'!D21+'1'!D30+'1'!D61+'2'!F10+D.A3!F9+'4'!G16+'5.1-DT'!F26++'5.1-DT'!#REF!+'6 ĐT'!F9+'7-ĐT'!F9+#REF!</f>
        <v>#REF!</v>
      </c>
      <c r="D9" s="73" t="e">
        <f>+'1'!F12+'1'!F21+'1'!F30+'1'!F61+'2'!H10+D.A3!G9+'4'!I16+'5.1-DT'!G26+'5.1-DT'!#REF!+'6 ĐT'!G9+'7-ĐT'!G9+#REF!</f>
        <v>#REF!</v>
      </c>
      <c r="E9" s="73" t="e">
        <f>+'1'!#REF!+'1'!#REF!+'1'!#REF!+'1'!#REF!+'2'!#REF!+D.A3!H9+'4'!K16+'5.1-DT'!#REF!+'5.1-DT'!#REF!+'6 ĐT'!#REF!+'7-ĐT'!H9+#REF!</f>
        <v>#REF!</v>
      </c>
      <c r="G9" s="2" t="e">
        <f>+F8/E8</f>
        <v>#REF!</v>
      </c>
    </row>
    <row r="10" spans="1:9" ht="18" customHeight="1">
      <c r="A10" s="9">
        <v>2</v>
      </c>
      <c r="B10" s="3" t="s">
        <v>23</v>
      </c>
      <c r="C10" s="73" t="e">
        <f>+'1'!D13+'1'!D22+'1'!D31+'1'!D62+'2'!F12+D.A3!F12+'4'!G17+'5.1-DT'!F27+'5.1-DT'!#REF!+'6 ĐT'!F17+'7-ĐT'!F11+#REF!</f>
        <v>#REF!</v>
      </c>
      <c r="D10" s="73" t="e">
        <f>+'1'!F13+'1'!F22+'1'!F31+'1'!F62+'2'!H12+D.A3!G12+'4'!I17+'5.1-DT'!G27+'5.1-DT'!#REF!+'6 ĐT'!G17+'7-ĐT'!G11+#REF!</f>
        <v>#REF!</v>
      </c>
      <c r="E10" s="73" t="e">
        <f>+'1'!#REF!+'1'!#REF!+'1'!#REF!+'1'!#REF!+'2'!#REF!+D.A3!H12+'4'!K17+'5.1-DT'!#REF!+'5.1-DT'!#REF!+'6 ĐT'!#REF!+'7-ĐT'!H11+#REF!</f>
        <v>#REF!</v>
      </c>
    </row>
    <row r="11" spans="1:9" ht="18" customHeight="1">
      <c r="A11" s="9">
        <v>3</v>
      </c>
      <c r="B11" s="3" t="s">
        <v>21</v>
      </c>
      <c r="C11" s="73" t="e">
        <f>+'1'!D14+'1'!D23+'1'!D32+'1'!D63+'2'!F14+D.A3!F15+'4'!G18+'5.1-DT'!F31+'5.1-DT'!#REF!+'6 ĐT'!F29+'7-ĐT'!F13+#REF!</f>
        <v>#REF!</v>
      </c>
      <c r="D11" s="73" t="e">
        <f>+'1'!F14+'1'!F23+'1'!F32+'1'!F63+'2'!H14+D.A3!G15+'4'!I18+'5.1-DT'!G31+'5.1-DT'!#REF!+'6 ĐT'!G29+'7-ĐT'!G13+#REF!</f>
        <v>#REF!</v>
      </c>
      <c r="E11" s="73" t="e">
        <f>+'1'!#REF!+'1'!#REF!+'1'!#REF!+'1'!#REF!+'2'!#REF!+D.A3!H15+'4'!K18+'5.1-DT'!#REF!+'5.1-DT'!#REF!+'6 ĐT'!#REF!+'7-ĐT'!H13+#REF!</f>
        <v>#REF!</v>
      </c>
    </row>
    <row r="12" spans="1:9" ht="18" customHeight="1">
      <c r="A12" s="9">
        <v>4</v>
      </c>
      <c r="B12" s="3" t="s">
        <v>19</v>
      </c>
      <c r="C12" s="73" t="e">
        <f>++'1'!D15+'1'!D24+'1'!D33+'1'!D64+'2'!F16+D.A3!F18+'4'!G19+'5.1-DT'!F35+'5.1-DT'!#REF!+'6 ĐT'!F39+'7-ĐT'!F15+#REF!</f>
        <v>#REF!</v>
      </c>
      <c r="D12" s="73" t="e">
        <f>++'1'!F15+'1'!F24+'1'!F33+'1'!F64+'2'!H16+D.A3!G18+'4'!I19+'5.1-DT'!G35+'5.1-DT'!#REF!+'6 ĐT'!G39+'7-ĐT'!G15+#REF!</f>
        <v>#REF!</v>
      </c>
      <c r="E12" s="73" t="e">
        <f>++'1'!#REF!+'1'!#REF!+'1'!#REF!+'1'!#REF!+'2'!#REF!+D.A3!H18+'4'!K19+'5.1-DT'!#REF!+'5.1-DT'!#REF!+'6 ĐT'!#REF!+'7-ĐT'!H15+#REF!</f>
        <v>#REF!</v>
      </c>
    </row>
    <row r="13" spans="1:9" ht="18" customHeight="1">
      <c r="A13" s="9">
        <v>5</v>
      </c>
      <c r="B13" s="3" t="s">
        <v>17</v>
      </c>
      <c r="C13" s="73" t="e">
        <f>+'1'!D16+'1'!D25+'1'!D34+'1'!D65+'2'!F18+D.A3!F21+'4'!G20+'5.1-DT'!F38+'6 ĐT'!F64+'7-ĐT'!F17+#REF!</f>
        <v>#REF!</v>
      </c>
      <c r="D13" s="73" t="e">
        <f>+'1'!F16+'1'!F25+'1'!F34+'1'!F65+'2'!H18+D.A3!G21+'4'!I20+'5.1-DT'!G38+'6 ĐT'!G64+'7-ĐT'!G17+#REF!</f>
        <v>#REF!</v>
      </c>
      <c r="E13" s="73" t="e">
        <f>+'1'!#REF!+'1'!#REF!+'1'!#REF!+'1'!#REF!+'2'!#REF!+D.A3!H21+'4'!K20+'5.1-DT'!#REF!+'6 ĐT'!#REF!+'7-ĐT'!H17+#REF!</f>
        <v>#REF!</v>
      </c>
    </row>
    <row r="14" spans="1:9" ht="18" customHeight="1">
      <c r="A14" s="9">
        <v>6</v>
      </c>
      <c r="B14" s="3" t="s">
        <v>15</v>
      </c>
      <c r="C14" s="73" t="e">
        <f>+'1'!D17+'1'!D26+'1'!D35+'1'!D66+'2'!F21+D.A3!F24+'4'!G21+'5.1-DT'!F44+'5.1-DT'!#REF!+'6 ĐT'!F75+'7-ĐT'!F19+'9.1-ĐT'!G30+#REF!</f>
        <v>#REF!</v>
      </c>
      <c r="D14" s="73" t="e">
        <f>+'1'!F17+'1'!F26+'1'!F35+'1'!F66+'2'!H21+D.A3!G24+'4'!I21+'5.1-DT'!G44+'5.1-DT'!#REF!+'6 ĐT'!G75+'7-ĐT'!G19+'9.1-ĐT'!H30+#REF!</f>
        <v>#REF!</v>
      </c>
      <c r="E14" s="73" t="e">
        <f>+'1'!#REF!+'1'!#REF!+'1'!#REF!+'1'!#REF!+'2'!#REF!+D.A3!H24+'4'!K21+'5.1-DT'!#REF!+'5.1-DT'!#REF!+'6 ĐT'!#REF!+'7-ĐT'!H19+'9.1-ĐT'!H30+#REF!</f>
        <v>#REF!</v>
      </c>
    </row>
    <row r="15" spans="1:9" ht="18" customHeight="1">
      <c r="A15" s="9">
        <v>7</v>
      </c>
      <c r="B15" s="3" t="s">
        <v>13</v>
      </c>
      <c r="C15" s="73" t="e">
        <f>+'1'!D18+'1'!D27+'1'!D36+'1'!D67+'2'!F23+D.A3!F27+'4'!G22++'5.1-DT'!F49+'5.1-DT'!#REF!+'6 ĐT'!F86+'7-ĐT'!F21+'9.1-ĐT'!G38+#REF!</f>
        <v>#REF!</v>
      </c>
      <c r="D15" s="73" t="e">
        <f>+'1'!F18+'1'!F27+'1'!F36+'1'!F67+'2'!H23+D.A3!G27+'4'!I22++'5.1-DT'!G49+'5.1-DT'!#REF!+'6 ĐT'!G86+'7-ĐT'!G21+'9.1-ĐT'!H38+#REF!</f>
        <v>#REF!</v>
      </c>
      <c r="E15" s="73" t="e">
        <f>+'1'!#REF!+'1'!#REF!+'1'!#REF!+'1'!#REF!+'2'!#REF!+D.A3!H27+'4'!K22++'5.1-DT'!#REF!+'5.1-DT'!#REF!+'6 ĐT'!#REF!+'7-ĐT'!H21+'9.1-ĐT'!H38+#REF!</f>
        <v>#REF!</v>
      </c>
    </row>
    <row r="16" spans="1:9" ht="18" customHeight="1">
      <c r="A16" s="9" t="s">
        <v>24</v>
      </c>
      <c r="B16" s="3" t="s">
        <v>11</v>
      </c>
      <c r="C16" s="73" t="e">
        <f>+'1'!D19+'1'!D28+'1'!D37+'1'!D68+'2'!F26+D.A3!F29+'4'!G23+'5.1-DT'!#REF!+'5.1-DT'!F55+'6 ĐT'!F100+'7-ĐT'!F23+'9.1-ĐT'!G67+#REF!</f>
        <v>#REF!</v>
      </c>
      <c r="D16" s="73" t="e">
        <f>+'1'!F19+'1'!F28+'1'!F37+'1'!F68+'2'!H26+D.A3!G29+'4'!I23+'5.1-DT'!#REF!+'5.1-DT'!G55+'6 ĐT'!G100+'7-ĐT'!G23+'9.1-ĐT'!H67+#REF!</f>
        <v>#REF!</v>
      </c>
      <c r="E16" s="73" t="e">
        <f>+'1'!#REF!+'1'!#REF!+'1'!#REF!+'1'!#REF!+'2'!#REF!+D.A3!H29+'4'!K23+'5.1-DT'!#REF!+'5.1-DT'!#REF!+'6 ĐT'!#REF!+'7-ĐT'!H23+'9.1-ĐT'!H67+#REF!</f>
        <v>#REF!</v>
      </c>
    </row>
    <row r="17" spans="1:5" ht="18" customHeight="1">
      <c r="A17" s="69"/>
      <c r="B17" s="70"/>
      <c r="C17" s="70"/>
      <c r="D17" s="70"/>
      <c r="E17" s="70"/>
    </row>
    <row r="18" spans="1:5" ht="18" customHeight="1">
      <c r="A18" s="72" t="s">
        <v>40</v>
      </c>
      <c r="B18" s="70"/>
      <c r="C18" s="70"/>
      <c r="D18" s="71"/>
    </row>
    <row r="19" spans="1:5" ht="29.25" customHeight="1">
      <c r="A19" s="1664" t="s">
        <v>88</v>
      </c>
      <c r="B19" s="1664"/>
      <c r="C19" s="1664"/>
      <c r="D19" s="1664"/>
    </row>
    <row r="20" spans="1:5" ht="18" customHeight="1">
      <c r="A20" s="1663" t="s">
        <v>89</v>
      </c>
      <c r="B20" s="1668"/>
      <c r="C20" s="1668"/>
      <c r="D20" s="1668"/>
    </row>
    <row r="21" spans="1:5" ht="57" customHeight="1">
      <c r="A21" s="1663" t="s">
        <v>90</v>
      </c>
      <c r="B21" s="1663"/>
      <c r="C21" s="1663"/>
      <c r="D21" s="1663"/>
    </row>
    <row r="22" spans="1:5" ht="66" customHeight="1">
      <c r="A22" s="1663" t="s">
        <v>91</v>
      </c>
      <c r="B22" s="1663"/>
      <c r="C22" s="1663"/>
      <c r="D22" s="1663"/>
    </row>
    <row r="23" spans="1:5" ht="30.75" customHeight="1">
      <c r="A23" s="1663" t="s">
        <v>92</v>
      </c>
      <c r="B23" s="1663"/>
      <c r="C23" s="1663"/>
      <c r="D23" s="1663"/>
    </row>
    <row r="24" spans="1:5" ht="56.25" customHeight="1">
      <c r="A24" s="1663" t="s">
        <v>93</v>
      </c>
      <c r="B24" s="1663"/>
      <c r="C24" s="1663"/>
      <c r="D24" s="1663"/>
    </row>
    <row r="25" spans="1:5" ht="38.25" customHeight="1">
      <c r="A25" s="1664" t="s">
        <v>94</v>
      </c>
      <c r="B25" s="1664"/>
      <c r="C25" s="1664"/>
      <c r="D25" s="1664"/>
    </row>
    <row r="26" spans="1:5" ht="18" customHeight="1">
      <c r="A26" s="1665" t="s">
        <v>95</v>
      </c>
      <c r="B26" s="1665"/>
      <c r="C26" s="1665"/>
      <c r="D26" s="1665"/>
    </row>
    <row r="27" spans="1:5" ht="18" customHeight="1">
      <c r="A27" s="69"/>
      <c r="B27" s="70"/>
      <c r="C27" s="70"/>
      <c r="D27" s="68"/>
    </row>
    <row r="28" spans="1:5" ht="21" customHeight="1"/>
    <row r="29" spans="1:5" ht="21" customHeight="1"/>
    <row r="30" spans="1:5" ht="21" customHeight="1"/>
    <row r="31" spans="1:5" ht="21" customHeight="1"/>
    <row r="32" spans="1:5"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sheetData>
  <mergeCells count="17">
    <mergeCell ref="A1:B1"/>
    <mergeCell ref="A5:A6"/>
    <mergeCell ref="B5:B6"/>
    <mergeCell ref="A2:E2"/>
    <mergeCell ref="A3:E3"/>
    <mergeCell ref="A4:E4"/>
    <mergeCell ref="E5:E6"/>
    <mergeCell ref="A23:D23"/>
    <mergeCell ref="A24:D24"/>
    <mergeCell ref="A25:D25"/>
    <mergeCell ref="A26:D26"/>
    <mergeCell ref="D5:D6"/>
    <mergeCell ref="C5:C6"/>
    <mergeCell ref="A19:D19"/>
    <mergeCell ref="A20:D20"/>
    <mergeCell ref="A21:D21"/>
    <mergeCell ref="A22:D22"/>
  </mergeCells>
  <pageMargins left="0.7" right="0.2" top="0.5" bottom="0.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7030A0"/>
  </sheetPr>
  <dimension ref="A1:T248"/>
  <sheetViews>
    <sheetView topLeftCell="A84" zoomScaleNormal="100" zoomScaleSheetLayoutView="100" workbookViewId="0">
      <selection activeCell="F6" sqref="F6:F10"/>
    </sheetView>
  </sheetViews>
  <sheetFormatPr defaultColWidth="9.08203125" defaultRowHeight="13"/>
  <cols>
    <col min="1" max="1" width="7.9140625" style="639" customWidth="1"/>
    <col min="2" max="2" width="50.6640625" style="639" customWidth="1"/>
    <col min="3" max="5" width="9.08203125" style="630" hidden="1" customWidth="1"/>
    <col min="6" max="8" width="9.4140625" style="511" hidden="1" customWidth="1"/>
    <col min="9" max="9" width="9.08203125" style="967" hidden="1" customWidth="1"/>
    <col min="10" max="10" width="8.9140625" style="967" hidden="1" customWidth="1"/>
    <col min="11" max="11" width="9.33203125" style="967" hidden="1" customWidth="1"/>
    <col min="12" max="12" width="19.9140625" style="639" customWidth="1"/>
    <col min="13" max="16" width="7.4140625" style="511" hidden="1" customWidth="1"/>
    <col min="17" max="17" width="20.4140625" style="639" customWidth="1"/>
    <col min="18" max="18" width="9.4140625" style="639" bestFit="1" customWidth="1"/>
    <col min="19" max="16384" width="9.08203125" style="639"/>
  </cols>
  <sheetData>
    <row r="1" spans="1:20" ht="57" customHeight="1">
      <c r="A1" s="1715" t="s">
        <v>2880</v>
      </c>
      <c r="B1" s="1715"/>
      <c r="C1" s="1745"/>
      <c r="D1" s="1745"/>
      <c r="E1" s="1745"/>
      <c r="F1" s="1746"/>
      <c r="G1" s="1746"/>
      <c r="H1" s="1746"/>
      <c r="I1" s="1747"/>
      <c r="J1" s="1748"/>
      <c r="K1" s="1748"/>
      <c r="L1" s="1715"/>
      <c r="M1" s="1746"/>
      <c r="N1" s="1746"/>
      <c r="O1" s="1746"/>
      <c r="P1" s="1746"/>
      <c r="Q1" s="1715"/>
    </row>
    <row r="2" spans="1:20" ht="23.25" customHeight="1">
      <c r="A2" s="1716" t="e">
        <f>#REF!</f>
        <v>#REF!</v>
      </c>
      <c r="B2" s="1716"/>
      <c r="C2" s="1749"/>
      <c r="D2" s="1749"/>
      <c r="E2" s="1749"/>
      <c r="F2" s="1749"/>
      <c r="G2" s="1749"/>
      <c r="H2" s="1749"/>
      <c r="I2" s="1750"/>
      <c r="J2" s="1750"/>
      <c r="K2" s="1750"/>
      <c r="L2" s="1716"/>
      <c r="M2" s="1749"/>
      <c r="N2" s="1749"/>
      <c r="O2" s="1749"/>
      <c r="P2" s="1749"/>
      <c r="Q2" s="1716"/>
    </row>
    <row r="3" spans="1:20" ht="23.25" hidden="1" customHeight="1">
      <c r="A3" s="1716" t="e">
        <f>#REF!</f>
        <v>#REF!</v>
      </c>
      <c r="B3" s="1716"/>
      <c r="C3" s="1716"/>
      <c r="D3" s="1716"/>
      <c r="E3" s="1716"/>
      <c r="F3" s="1716"/>
      <c r="G3" s="1716"/>
      <c r="H3" s="1716"/>
      <c r="I3" s="1716"/>
      <c r="J3" s="1716"/>
      <c r="K3" s="1716"/>
      <c r="L3" s="1716"/>
      <c r="M3" s="1716"/>
      <c r="N3" s="1716"/>
      <c r="O3" s="1716"/>
      <c r="P3" s="1716"/>
      <c r="Q3" s="1716"/>
    </row>
    <row r="4" spans="1:20" ht="20.25" customHeight="1">
      <c r="A4" s="656"/>
      <c r="G4" s="1751" t="s">
        <v>3</v>
      </c>
      <c r="H4" s="1751"/>
      <c r="I4" s="1751"/>
      <c r="J4" s="1751"/>
      <c r="K4" s="1751"/>
      <c r="L4" s="1752"/>
      <c r="M4" s="1751"/>
      <c r="N4" s="1751"/>
      <c r="O4" s="1751"/>
      <c r="P4" s="1751"/>
      <c r="Q4" s="1752"/>
    </row>
    <row r="5" spans="1:20" ht="31.5" customHeight="1">
      <c r="A5" s="1718" t="s">
        <v>4</v>
      </c>
      <c r="B5" s="1721" t="s">
        <v>895</v>
      </c>
      <c r="C5" s="1761" t="s">
        <v>2346</v>
      </c>
      <c r="D5" s="1762"/>
      <c r="E5" s="1763"/>
      <c r="F5" s="1755" t="s">
        <v>2349</v>
      </c>
      <c r="G5" s="1756"/>
      <c r="H5" s="1757"/>
      <c r="I5" s="1740" t="s">
        <v>2348</v>
      </c>
      <c r="J5" s="968" t="s">
        <v>2500</v>
      </c>
      <c r="K5" s="969"/>
      <c r="L5" s="1729" t="s">
        <v>2541</v>
      </c>
      <c r="M5" s="1758" t="s">
        <v>2320</v>
      </c>
      <c r="N5" s="1759"/>
      <c r="O5" s="1759"/>
      <c r="P5" s="1760"/>
      <c r="Q5" s="1721" t="s">
        <v>33</v>
      </c>
    </row>
    <row r="6" spans="1:20" s="511" customFormat="1" ht="12.75" hidden="1" customHeight="1">
      <c r="A6" s="1753"/>
      <c r="B6" s="1741"/>
      <c r="C6" s="1738" t="s">
        <v>741</v>
      </c>
      <c r="D6" s="1738" t="s">
        <v>720</v>
      </c>
      <c r="E6" s="1738" t="s">
        <v>719</v>
      </c>
      <c r="F6" s="1743" t="s">
        <v>741</v>
      </c>
      <c r="G6" s="1743" t="s">
        <v>720</v>
      </c>
      <c r="H6" s="1743" t="s">
        <v>719</v>
      </c>
      <c r="I6" s="1741"/>
      <c r="J6" s="1743" t="s">
        <v>741</v>
      </c>
      <c r="K6" s="1743" t="s">
        <v>720</v>
      </c>
      <c r="L6" s="1735"/>
      <c r="M6" s="1758" t="s">
        <v>756</v>
      </c>
      <c r="N6" s="1760"/>
      <c r="O6" s="1755" t="s">
        <v>757</v>
      </c>
      <c r="P6" s="1757"/>
      <c r="Q6" s="1741"/>
    </row>
    <row r="7" spans="1:20" s="511" customFormat="1" ht="12.75" hidden="1" customHeight="1">
      <c r="A7" s="1754"/>
      <c r="B7" s="1742"/>
      <c r="C7" s="1739"/>
      <c r="D7" s="1739"/>
      <c r="E7" s="1739"/>
      <c r="F7" s="1742"/>
      <c r="G7" s="1742"/>
      <c r="H7" s="1742"/>
      <c r="I7" s="1742"/>
      <c r="J7" s="1742"/>
      <c r="K7" s="1742"/>
      <c r="L7" s="1736"/>
      <c r="M7" s="496" t="s">
        <v>709</v>
      </c>
      <c r="N7" s="496" t="s">
        <v>1914</v>
      </c>
      <c r="O7" s="496" t="s">
        <v>709</v>
      </c>
      <c r="P7" s="496" t="s">
        <v>1914</v>
      </c>
      <c r="Q7" s="1742"/>
    </row>
    <row r="8" spans="1:20" s="660" customFormat="1" hidden="1">
      <c r="A8" s="462" t="s">
        <v>10</v>
      </c>
      <c r="B8" s="462">
        <v>2</v>
      </c>
      <c r="C8" s="382"/>
      <c r="D8" s="382"/>
      <c r="E8" s="382"/>
      <c r="F8" s="478">
        <v>3</v>
      </c>
      <c r="G8" s="478">
        <v>4</v>
      </c>
      <c r="H8" s="478">
        <v>5</v>
      </c>
      <c r="I8" s="478"/>
      <c r="J8" s="478">
        <v>6</v>
      </c>
      <c r="K8" s="478">
        <v>7</v>
      </c>
      <c r="L8" s="462">
        <v>8</v>
      </c>
      <c r="M8" s="478">
        <v>9</v>
      </c>
      <c r="N8" s="478">
        <v>10</v>
      </c>
      <c r="O8" s="478">
        <v>11</v>
      </c>
      <c r="P8" s="478">
        <v>12</v>
      </c>
      <c r="Q8" s="462">
        <v>13</v>
      </c>
    </row>
    <row r="9" spans="1:20" ht="20.25" customHeight="1">
      <c r="A9" s="26"/>
      <c r="B9" s="26" t="s">
        <v>741</v>
      </c>
      <c r="C9" s="357">
        <v>4441185</v>
      </c>
      <c r="D9" s="357">
        <v>2267844</v>
      </c>
      <c r="E9" s="357">
        <v>2173341</v>
      </c>
      <c r="F9" s="21">
        <f t="shared" ref="F9:G9" si="0">+F10+F23+F35+F74+F87+F135+F147+F152+F165+F193</f>
        <v>4442868</v>
      </c>
      <c r="G9" s="21">
        <f t="shared" si="0"/>
        <v>2267845</v>
      </c>
      <c r="H9" s="21">
        <f>+H10+H23+H35+H74+H87+H135+H147+H152+H165+H193</f>
        <v>2175023</v>
      </c>
      <c r="I9" s="970">
        <f>+H9-E9</f>
        <v>1682</v>
      </c>
      <c r="J9" s="971">
        <f>+J10+J23+J35+J74+J87+J135+J147+J152+J165+J193</f>
        <v>4304325.1050000004</v>
      </c>
      <c r="K9" s="971">
        <f>+K10+K23+K35+K74+K87+K135+K147+K152+K165+K193</f>
        <v>2129302.605</v>
      </c>
      <c r="L9" s="1035">
        <f>+L10+L23+L35+L74+L87+L135+L147+L152+L165+L193</f>
        <v>2175022.5</v>
      </c>
      <c r="M9" s="512">
        <f>(K11+K24+K37+K50+K64+K75+K89+K103+K115+K119+K132+K136+K148+K153+K167+K180+K195+K210+K214)/G9</f>
        <v>0.12035125857366795</v>
      </c>
      <c r="N9" s="512">
        <f>(L11+L24+L37+L50+L64+L75+L89+L103+L115+L119+L132+L136+L148+L153+L167+L180+L195+L210+L214)/H9</f>
        <v>0.22217374253053876</v>
      </c>
      <c r="O9" s="512">
        <f>(K14+K26+K38+K53+K65+K78+K92+K105+K117+K122+K134+K138+K151+K156+K170+K184+K200+K212+K230)/G9</f>
        <v>0.81855885433087361</v>
      </c>
      <c r="P9" s="512">
        <f>(L14+L26+L38+L53+L65+L78+L92+L105+L117+L122+L134+L138+L151+L156+L170+L184+L200+L212+L230)/H9</f>
        <v>0.77782602758683472</v>
      </c>
      <c r="Q9" s="32"/>
      <c r="T9" s="663"/>
    </row>
    <row r="10" spans="1:20" ht="18" customHeight="1">
      <c r="A10" s="689" t="s">
        <v>8</v>
      </c>
      <c r="B10" s="690" t="s">
        <v>96</v>
      </c>
      <c r="C10" s="634">
        <v>219706</v>
      </c>
      <c r="D10" s="634">
        <v>44737</v>
      </c>
      <c r="E10" s="634">
        <v>174970</v>
      </c>
      <c r="F10" s="640">
        <f>+G10+H10</f>
        <v>219853</v>
      </c>
      <c r="G10" s="640">
        <v>44737</v>
      </c>
      <c r="H10" s="513">
        <v>175116</v>
      </c>
      <c r="I10" s="971">
        <f>+H10-E10</f>
        <v>146</v>
      </c>
      <c r="J10" s="972">
        <f t="shared" ref="J10:L10" si="1">+J11+J14</f>
        <v>219851.5</v>
      </c>
      <c r="K10" s="972">
        <f t="shared" si="1"/>
        <v>44736</v>
      </c>
      <c r="L10" s="1036">
        <f t="shared" si="1"/>
        <v>175115.5</v>
      </c>
      <c r="M10" s="514">
        <f>+M11</f>
        <v>0</v>
      </c>
      <c r="N10" s="515">
        <f>+N11</f>
        <v>0.39825030265652483</v>
      </c>
      <c r="O10" s="515">
        <f>+O14</f>
        <v>0.99997764713771597</v>
      </c>
      <c r="P10" s="515">
        <f>+P14</f>
        <v>0.60174684209324103</v>
      </c>
      <c r="Q10" s="1081" t="s">
        <v>0</v>
      </c>
    </row>
    <row r="11" spans="1:20" ht="18" customHeight="1">
      <c r="A11" s="664">
        <v>1</v>
      </c>
      <c r="B11" s="441" t="s">
        <v>733</v>
      </c>
      <c r="C11" s="357"/>
      <c r="D11" s="357"/>
      <c r="E11" s="357"/>
      <c r="F11" s="21"/>
      <c r="G11" s="21"/>
      <c r="H11" s="21"/>
      <c r="I11" s="970"/>
      <c r="J11" s="971">
        <f>SUM(J12:J13)</f>
        <v>69740</v>
      </c>
      <c r="K11" s="971">
        <f t="shared" ref="K11" si="2">SUM(K12)</f>
        <v>0</v>
      </c>
      <c r="L11" s="1037">
        <f>SUM(L12:L13)</f>
        <v>69740</v>
      </c>
      <c r="M11" s="512">
        <f>SUM(M12:M13)</f>
        <v>0</v>
      </c>
      <c r="N11" s="520">
        <f>SUM(N12:N13)</f>
        <v>0.39825030265652483</v>
      </c>
      <c r="O11" s="517"/>
      <c r="P11" s="517"/>
      <c r="Q11" s="697"/>
    </row>
    <row r="12" spans="1:20" ht="18" customHeight="1">
      <c r="A12" s="691" t="s">
        <v>701</v>
      </c>
      <c r="B12" s="669" t="s">
        <v>734</v>
      </c>
      <c r="C12" s="179"/>
      <c r="D12" s="179"/>
      <c r="E12" s="179"/>
      <c r="F12" s="20"/>
      <c r="G12" s="20"/>
      <c r="H12" s="20"/>
      <c r="I12" s="973"/>
      <c r="J12" s="974">
        <f>+K12+L12</f>
        <v>35000</v>
      </c>
      <c r="K12" s="974">
        <v>0</v>
      </c>
      <c r="L12" s="552">
        <f>VLOOKUP(B12,'1'!$B$10:$G$68,5,0)</f>
        <v>35000</v>
      </c>
      <c r="M12" s="518"/>
      <c r="N12" s="532">
        <f>L12/$H$10</f>
        <v>0.19986751638913636</v>
      </c>
      <c r="O12" s="519"/>
      <c r="P12" s="519"/>
      <c r="Q12" s="697"/>
    </row>
    <row r="13" spans="1:20">
      <c r="A13" s="691" t="s">
        <v>701</v>
      </c>
      <c r="B13" s="669" t="s">
        <v>1915</v>
      </c>
      <c r="C13" s="179"/>
      <c r="D13" s="179"/>
      <c r="E13" s="179"/>
      <c r="F13" s="20"/>
      <c r="G13" s="20"/>
      <c r="H13" s="20"/>
      <c r="I13" s="973"/>
      <c r="J13" s="974">
        <f>+K13+L13</f>
        <v>34740</v>
      </c>
      <c r="K13" s="974"/>
      <c r="L13" s="552">
        <f>VLOOKUP(B13,'1'!$B$10:$G$68,5,0)</f>
        <v>34740</v>
      </c>
      <c r="M13" s="518"/>
      <c r="N13" s="532">
        <f>L13/$H$10</f>
        <v>0.19838278626738848</v>
      </c>
      <c r="O13" s="519"/>
      <c r="P13" s="519"/>
      <c r="Q13" s="697"/>
    </row>
    <row r="14" spans="1:20" ht="18" customHeight="1">
      <c r="A14" s="664">
        <v>2</v>
      </c>
      <c r="B14" s="441" t="s">
        <v>901</v>
      </c>
      <c r="C14" s="357"/>
      <c r="D14" s="357"/>
      <c r="E14" s="357"/>
      <c r="F14" s="21"/>
      <c r="G14" s="21"/>
      <c r="H14" s="21"/>
      <c r="I14" s="970"/>
      <c r="J14" s="971">
        <f>SUM(J15:J22)</f>
        <v>150111.5</v>
      </c>
      <c r="K14" s="971">
        <f t="shared" ref="K14" si="3">SUM(K15:K22)</f>
        <v>44736</v>
      </c>
      <c r="L14" s="1037">
        <f t="shared" ref="L14" si="4">SUM(L15:L22)</f>
        <v>105375.5</v>
      </c>
      <c r="M14" s="517"/>
      <c r="N14" s="517"/>
      <c r="O14" s="520">
        <f>+K14/G10</f>
        <v>0.99997764713771597</v>
      </c>
      <c r="P14" s="520">
        <f>+L14/H10</f>
        <v>0.60174684209324103</v>
      </c>
      <c r="Q14" s="697"/>
    </row>
    <row r="15" spans="1:20" ht="18" customHeight="1">
      <c r="A15" s="691"/>
      <c r="B15" s="673" t="s">
        <v>25</v>
      </c>
      <c r="C15" s="631"/>
      <c r="D15" s="631"/>
      <c r="E15" s="631"/>
      <c r="F15" s="641"/>
      <c r="G15" s="641"/>
      <c r="H15" s="641"/>
      <c r="I15" s="975"/>
      <c r="J15" s="976">
        <f t="shared" ref="J15:J22" si="5">+K15+L15</f>
        <v>3235</v>
      </c>
      <c r="K15" s="976">
        <f>+'1'!G39+'1'!G48</f>
        <v>20</v>
      </c>
      <c r="L15" s="1038">
        <f>+'1'!F12+'1'!F21+'1'!F30+'1'!F61</f>
        <v>3215</v>
      </c>
      <c r="M15" s="522"/>
      <c r="N15" s="522"/>
      <c r="O15" s="522"/>
      <c r="P15" s="522"/>
      <c r="Q15" s="697"/>
    </row>
    <row r="16" spans="1:20" ht="18" customHeight="1">
      <c r="A16" s="691"/>
      <c r="B16" s="673" t="s">
        <v>23</v>
      </c>
      <c r="C16" s="631"/>
      <c r="D16" s="631"/>
      <c r="E16" s="631"/>
      <c r="F16" s="641"/>
      <c r="G16" s="641"/>
      <c r="H16" s="641"/>
      <c r="I16" s="975"/>
      <c r="J16" s="976">
        <f t="shared" si="5"/>
        <v>21960.5</v>
      </c>
      <c r="K16" s="976">
        <f>+'1'!G40+'1'!G49</f>
        <v>6680</v>
      </c>
      <c r="L16" s="1038">
        <f>+'1'!F13+'1'!F22+'1'!F31+'1'!F62</f>
        <v>15280.5</v>
      </c>
      <c r="M16" s="522"/>
      <c r="N16" s="522"/>
      <c r="O16" s="522"/>
      <c r="P16" s="522"/>
      <c r="Q16" s="697"/>
    </row>
    <row r="17" spans="1:17" ht="18" customHeight="1">
      <c r="A17" s="691"/>
      <c r="B17" s="673" t="s">
        <v>21</v>
      </c>
      <c r="C17" s="631"/>
      <c r="D17" s="631"/>
      <c r="E17" s="631"/>
      <c r="F17" s="641"/>
      <c r="G17" s="641"/>
      <c r="H17" s="641"/>
      <c r="I17" s="975"/>
      <c r="J17" s="976">
        <f t="shared" si="5"/>
        <v>6866.5</v>
      </c>
      <c r="K17" s="976">
        <f>+'1'!G41+'1'!G50</f>
        <v>800</v>
      </c>
      <c r="L17" s="1038">
        <f>+'1'!F14+'1'!F23+'1'!F32+'1'!F63</f>
        <v>6066.5</v>
      </c>
      <c r="M17" s="522"/>
      <c r="N17" s="522"/>
      <c r="O17" s="522"/>
      <c r="P17" s="522"/>
      <c r="Q17" s="697"/>
    </row>
    <row r="18" spans="1:17" ht="18" customHeight="1">
      <c r="A18" s="691"/>
      <c r="B18" s="673" t="s">
        <v>19</v>
      </c>
      <c r="C18" s="631"/>
      <c r="D18" s="631"/>
      <c r="E18" s="631"/>
      <c r="F18" s="641"/>
      <c r="G18" s="641"/>
      <c r="H18" s="641"/>
      <c r="I18" s="975"/>
      <c r="J18" s="976">
        <f t="shared" si="5"/>
        <v>11880.5</v>
      </c>
      <c r="K18" s="976">
        <f>+'1'!G42+'1'!G51</f>
        <v>1182</v>
      </c>
      <c r="L18" s="1038">
        <f>+'1'!F15+'1'!F24+'1'!F33+'1'!F64</f>
        <v>10698.5</v>
      </c>
      <c r="M18" s="522"/>
      <c r="N18" s="522"/>
      <c r="O18" s="522"/>
      <c r="P18" s="522"/>
      <c r="Q18" s="697"/>
    </row>
    <row r="19" spans="1:17" ht="18" customHeight="1">
      <c r="A19" s="691"/>
      <c r="B19" s="673" t="s">
        <v>17</v>
      </c>
      <c r="C19" s="631"/>
      <c r="D19" s="631"/>
      <c r="E19" s="631"/>
      <c r="F19" s="641"/>
      <c r="G19" s="641"/>
      <c r="H19" s="641"/>
      <c r="I19" s="975"/>
      <c r="J19" s="976">
        <f t="shared" si="5"/>
        <v>29576.5</v>
      </c>
      <c r="K19" s="976">
        <f>+'1'!G43+'1'!G52</f>
        <v>9518</v>
      </c>
      <c r="L19" s="1038">
        <f>+'1'!F16+'1'!F25+'1'!F34+'1'!F65</f>
        <v>20058.5</v>
      </c>
      <c r="M19" s="522"/>
      <c r="N19" s="522"/>
      <c r="O19" s="522"/>
      <c r="P19" s="522"/>
      <c r="Q19" s="697"/>
    </row>
    <row r="20" spans="1:17" ht="18" customHeight="1">
      <c r="A20" s="691"/>
      <c r="B20" s="673" t="s">
        <v>15</v>
      </c>
      <c r="C20" s="631"/>
      <c r="D20" s="631"/>
      <c r="E20" s="631"/>
      <c r="F20" s="641"/>
      <c r="G20" s="641"/>
      <c r="H20" s="641"/>
      <c r="I20" s="975"/>
      <c r="J20" s="976">
        <f t="shared" si="5"/>
        <v>46358.5</v>
      </c>
      <c r="K20" s="976">
        <f>+'1'!G44+'1'!G53</f>
        <v>23789</v>
      </c>
      <c r="L20" s="1038">
        <f>+'1'!F17+'1'!F26+'1'!F35+'1'!F66</f>
        <v>22569.5</v>
      </c>
      <c r="M20" s="522"/>
      <c r="N20" s="522"/>
      <c r="O20" s="522"/>
      <c r="P20" s="522"/>
      <c r="Q20" s="697"/>
    </row>
    <row r="21" spans="1:17" ht="18" customHeight="1">
      <c r="A21" s="691"/>
      <c r="B21" s="673" t="s">
        <v>13</v>
      </c>
      <c r="C21" s="631"/>
      <c r="D21" s="631"/>
      <c r="E21" s="631"/>
      <c r="F21" s="641"/>
      <c r="G21" s="641"/>
      <c r="H21" s="641"/>
      <c r="I21" s="975"/>
      <c r="J21" s="976">
        <f t="shared" si="5"/>
        <v>13394</v>
      </c>
      <c r="K21" s="976">
        <f>+'1'!G45+'1'!G54</f>
        <v>1287</v>
      </c>
      <c r="L21" s="1038">
        <f>+'1'!F18+'1'!F27+'1'!F36+'1'!F67</f>
        <v>12107</v>
      </c>
      <c r="M21" s="522"/>
      <c r="N21" s="522"/>
      <c r="O21" s="522"/>
      <c r="P21" s="522"/>
      <c r="Q21" s="697"/>
    </row>
    <row r="22" spans="1:17" ht="18" customHeight="1">
      <c r="A22" s="691"/>
      <c r="B22" s="673" t="s">
        <v>11</v>
      </c>
      <c r="C22" s="631"/>
      <c r="D22" s="631"/>
      <c r="E22" s="631"/>
      <c r="F22" s="641"/>
      <c r="G22" s="641"/>
      <c r="H22" s="641"/>
      <c r="I22" s="975"/>
      <c r="J22" s="976">
        <f t="shared" si="5"/>
        <v>16840</v>
      </c>
      <c r="K22" s="976">
        <f>+'1'!G46+'1'!G55</f>
        <v>1460</v>
      </c>
      <c r="L22" s="1038">
        <f>+'1'!F19+'1'!F28+'1'!F37+'1'!F68</f>
        <v>15380</v>
      </c>
      <c r="M22" s="522"/>
      <c r="N22" s="522"/>
      <c r="O22" s="522"/>
      <c r="P22" s="522"/>
      <c r="Q22" s="697"/>
    </row>
    <row r="23" spans="1:17" ht="18" customHeight="1">
      <c r="A23" s="664" t="s">
        <v>26</v>
      </c>
      <c r="B23" s="441" t="s">
        <v>97</v>
      </c>
      <c r="C23" s="357">
        <v>150624</v>
      </c>
      <c r="D23" s="357">
        <v>1178</v>
      </c>
      <c r="E23" s="357">
        <v>149446</v>
      </c>
      <c r="F23" s="21">
        <f>+G23+H23</f>
        <v>150624</v>
      </c>
      <c r="G23" s="21">
        <v>1178</v>
      </c>
      <c r="H23" s="177">
        <v>149446</v>
      </c>
      <c r="I23" s="970">
        <f>+H23-E23</f>
        <v>0</v>
      </c>
      <c r="J23" s="971">
        <f t="shared" ref="J23:L23" si="6">+J24+J26</f>
        <v>150624</v>
      </c>
      <c r="K23" s="971">
        <f t="shared" si="6"/>
        <v>1178</v>
      </c>
      <c r="L23" s="1035">
        <f t="shared" si="6"/>
        <v>149446</v>
      </c>
      <c r="M23" s="517"/>
      <c r="N23" s="517"/>
      <c r="O23" s="520">
        <f>+K23/G23</f>
        <v>1</v>
      </c>
      <c r="P23" s="520">
        <f>+L23/H23</f>
        <v>1</v>
      </c>
      <c r="Q23" s="697" t="s">
        <v>83</v>
      </c>
    </row>
    <row r="24" spans="1:17" s="511" customFormat="1" ht="18" hidden="1" customHeight="1">
      <c r="A24" s="373">
        <v>1</v>
      </c>
      <c r="B24" s="516" t="s">
        <v>733</v>
      </c>
      <c r="C24" s="357"/>
      <c r="D24" s="357"/>
      <c r="E24" s="357"/>
      <c r="F24" s="21"/>
      <c r="G24" s="21"/>
      <c r="H24" s="21"/>
      <c r="I24" s="21"/>
      <c r="J24" s="177">
        <f t="shared" ref="J24" si="7">SUM(J25)</f>
        <v>0</v>
      </c>
      <c r="K24" s="177">
        <f t="shared" ref="K24:L24" si="8">SUM(K25)</f>
        <v>0</v>
      </c>
      <c r="L24" s="177">
        <f t="shared" si="8"/>
        <v>0</v>
      </c>
      <c r="M24" s="517"/>
      <c r="N24" s="517"/>
      <c r="O24" s="517"/>
      <c r="P24" s="517"/>
      <c r="Q24" s="186" t="s">
        <v>1774</v>
      </c>
    </row>
    <row r="25" spans="1:17" s="381" customFormat="1" ht="18" hidden="1" customHeight="1">
      <c r="A25" s="565"/>
      <c r="B25" s="566"/>
      <c r="C25" s="179"/>
      <c r="D25" s="179"/>
      <c r="E25" s="179"/>
      <c r="F25" s="212"/>
      <c r="G25" s="20"/>
      <c r="H25" s="212"/>
      <c r="I25" s="212"/>
      <c r="J25" s="458">
        <f>+K25+L25</f>
        <v>0</v>
      </c>
      <c r="K25" s="458"/>
      <c r="L25" s="458"/>
      <c r="M25" s="567"/>
      <c r="N25" s="567"/>
      <c r="O25" s="567"/>
      <c r="P25" s="567"/>
      <c r="Q25" s="186" t="s">
        <v>1774</v>
      </c>
    </row>
    <row r="26" spans="1:17" ht="18" customHeight="1">
      <c r="A26" s="664">
        <v>2</v>
      </c>
      <c r="B26" s="441" t="s">
        <v>901</v>
      </c>
      <c r="C26" s="357"/>
      <c r="D26" s="357"/>
      <c r="E26" s="357"/>
      <c r="F26" s="21"/>
      <c r="G26" s="21"/>
      <c r="H26" s="21"/>
      <c r="I26" s="970"/>
      <c r="J26" s="971">
        <f>SUM(J27:J34)</f>
        <v>150624</v>
      </c>
      <c r="K26" s="971">
        <f t="shared" ref="K26:L26" si="9">SUM(K27:K34)</f>
        <v>1178</v>
      </c>
      <c r="L26" s="1035">
        <f t="shared" si="9"/>
        <v>149446</v>
      </c>
      <c r="M26" s="517"/>
      <c r="N26" s="517"/>
      <c r="O26" s="520">
        <f>+K26/G23</f>
        <v>1</v>
      </c>
      <c r="P26" s="520">
        <f>+L26/H23</f>
        <v>1</v>
      </c>
      <c r="Q26" s="697"/>
    </row>
    <row r="27" spans="1:17" ht="18" customHeight="1">
      <c r="A27" s="691"/>
      <c r="B27" s="673" t="s">
        <v>25</v>
      </c>
      <c r="C27" s="631"/>
      <c r="D27" s="631"/>
      <c r="E27" s="631"/>
      <c r="F27" s="641"/>
      <c r="G27" s="641"/>
      <c r="H27" s="641"/>
      <c r="I27" s="975"/>
      <c r="J27" s="976">
        <f t="shared" ref="J27:J34" si="10">+K27+L27</f>
        <v>8179</v>
      </c>
      <c r="K27" s="976">
        <f>VLOOKUP(B27,'2'!B10:I28,8,0)</f>
        <v>61</v>
      </c>
      <c r="L27" s="1038">
        <f>VLOOKUP(B27,'2'!B10:I28,7,0)</f>
        <v>8118</v>
      </c>
      <c r="M27" s="522"/>
      <c r="N27" s="522"/>
      <c r="O27" s="522"/>
      <c r="P27" s="522"/>
      <c r="Q27" s="697"/>
    </row>
    <row r="28" spans="1:17" ht="18" customHeight="1">
      <c r="A28" s="691"/>
      <c r="B28" s="673" t="s">
        <v>23</v>
      </c>
      <c r="C28" s="631"/>
      <c r="D28" s="631"/>
      <c r="E28" s="631"/>
      <c r="F28" s="641"/>
      <c r="G28" s="641"/>
      <c r="H28" s="641"/>
      <c r="I28" s="975"/>
      <c r="J28" s="976">
        <f t="shared" si="10"/>
        <v>5801</v>
      </c>
      <c r="K28" s="976">
        <f>VLOOKUP(B28,'2'!$B$11:$I$28,8,0)</f>
        <v>61</v>
      </c>
      <c r="L28" s="1038">
        <f>VLOOKUP(B28,'2'!$B$11:$I$28,7,0)</f>
        <v>5740</v>
      </c>
      <c r="M28" s="522"/>
      <c r="N28" s="522"/>
      <c r="O28" s="522"/>
      <c r="P28" s="522"/>
      <c r="Q28" s="697"/>
    </row>
    <row r="29" spans="1:17" ht="18" customHeight="1">
      <c r="A29" s="691"/>
      <c r="B29" s="673" t="s">
        <v>21</v>
      </c>
      <c r="C29" s="631"/>
      <c r="D29" s="631"/>
      <c r="E29" s="631"/>
      <c r="F29" s="641"/>
      <c r="G29" s="641"/>
      <c r="H29" s="641"/>
      <c r="I29" s="975"/>
      <c r="J29" s="976">
        <f t="shared" si="10"/>
        <v>11225</v>
      </c>
      <c r="K29" s="976">
        <f>VLOOKUP(B29,'2'!$B$11:$I$28,8,0)</f>
        <v>89</v>
      </c>
      <c r="L29" s="1038">
        <f>VLOOKUP(B29,'2'!$B$11:$I$28,7,0)</f>
        <v>11136</v>
      </c>
      <c r="M29" s="522"/>
      <c r="N29" s="522"/>
      <c r="O29" s="522"/>
      <c r="P29" s="522"/>
      <c r="Q29" s="697"/>
    </row>
    <row r="30" spans="1:17" ht="18" customHeight="1">
      <c r="A30" s="691"/>
      <c r="B30" s="673" t="s">
        <v>19</v>
      </c>
      <c r="C30" s="631"/>
      <c r="D30" s="631"/>
      <c r="E30" s="631"/>
      <c r="F30" s="641"/>
      <c r="G30" s="641"/>
      <c r="H30" s="641"/>
      <c r="I30" s="975"/>
      <c r="J30" s="976">
        <f t="shared" si="10"/>
        <v>20822</v>
      </c>
      <c r="K30" s="976">
        <f>VLOOKUP(B30,'2'!$B$11:$I$28,8,0)</f>
        <v>157</v>
      </c>
      <c r="L30" s="1038">
        <f>VLOOKUP(B30,'2'!$B$11:$I$28,7,0)</f>
        <v>20665</v>
      </c>
      <c r="M30" s="522"/>
      <c r="N30" s="522"/>
      <c r="O30" s="522"/>
      <c r="P30" s="522"/>
      <c r="Q30" s="697"/>
    </row>
    <row r="31" spans="1:17" ht="18" customHeight="1">
      <c r="A31" s="691"/>
      <c r="B31" s="673" t="s">
        <v>17</v>
      </c>
      <c r="C31" s="631"/>
      <c r="D31" s="631"/>
      <c r="E31" s="631"/>
      <c r="F31" s="641"/>
      <c r="G31" s="641"/>
      <c r="H31" s="641"/>
      <c r="I31" s="975"/>
      <c r="J31" s="976">
        <f t="shared" si="10"/>
        <v>43586</v>
      </c>
      <c r="K31" s="976">
        <f>VLOOKUP(B31,'2'!$B$11:$I$28,8,0)</f>
        <v>328</v>
      </c>
      <c r="L31" s="1038">
        <f>VLOOKUP(B31,'2'!$B$11:$I$28,7,0)</f>
        <v>43258</v>
      </c>
      <c r="M31" s="522"/>
      <c r="N31" s="522"/>
      <c r="O31" s="522"/>
      <c r="P31" s="522"/>
      <c r="Q31" s="697"/>
    </row>
    <row r="32" spans="1:17" ht="18" customHeight="1">
      <c r="A32" s="691"/>
      <c r="B32" s="673" t="s">
        <v>15</v>
      </c>
      <c r="C32" s="631"/>
      <c r="D32" s="631"/>
      <c r="E32" s="631"/>
      <c r="F32" s="641"/>
      <c r="G32" s="641"/>
      <c r="H32" s="641"/>
      <c r="I32" s="975"/>
      <c r="J32" s="976">
        <f t="shared" si="10"/>
        <v>11568</v>
      </c>
      <c r="K32" s="976">
        <f>VLOOKUP(B32,'2'!$B$11:$I$28,8,0)</f>
        <v>87</v>
      </c>
      <c r="L32" s="1038">
        <f>VLOOKUP(B32,'2'!$B$11:$I$28,7,0)</f>
        <v>11481</v>
      </c>
      <c r="M32" s="522"/>
      <c r="N32" s="522"/>
      <c r="O32" s="522"/>
      <c r="P32" s="522"/>
      <c r="Q32" s="697"/>
    </row>
    <row r="33" spans="1:17" ht="18" customHeight="1">
      <c r="A33" s="691"/>
      <c r="B33" s="673" t="s">
        <v>13</v>
      </c>
      <c r="C33" s="631"/>
      <c r="D33" s="631"/>
      <c r="E33" s="631"/>
      <c r="F33" s="641"/>
      <c r="G33" s="641"/>
      <c r="H33" s="641"/>
      <c r="I33" s="975"/>
      <c r="J33" s="976">
        <f t="shared" si="10"/>
        <v>29845</v>
      </c>
      <c r="K33" s="976">
        <f>VLOOKUP(B33,'2'!$B$11:$I$28,8,0)</f>
        <v>225</v>
      </c>
      <c r="L33" s="1038">
        <f>VLOOKUP(B33,'2'!$B$11:$I$28,7,0)</f>
        <v>29620</v>
      </c>
      <c r="M33" s="522"/>
      <c r="N33" s="522"/>
      <c r="O33" s="522"/>
      <c r="P33" s="522"/>
      <c r="Q33" s="697"/>
    </row>
    <row r="34" spans="1:17" ht="18" customHeight="1">
      <c r="A34" s="691"/>
      <c r="B34" s="673" t="s">
        <v>11</v>
      </c>
      <c r="C34" s="631"/>
      <c r="D34" s="631"/>
      <c r="E34" s="631"/>
      <c r="F34" s="641"/>
      <c r="G34" s="641"/>
      <c r="H34" s="641"/>
      <c r="I34" s="975"/>
      <c r="J34" s="976">
        <f t="shared" si="10"/>
        <v>19598</v>
      </c>
      <c r="K34" s="976">
        <f>VLOOKUP(B34,'2'!$B$11:$I$28,8,0)</f>
        <v>170</v>
      </c>
      <c r="L34" s="1038">
        <f>VLOOKUP(B34,'2'!$B$11:$I$28,7,0)</f>
        <v>19428</v>
      </c>
      <c r="M34" s="522"/>
      <c r="N34" s="522"/>
      <c r="O34" s="522"/>
      <c r="P34" s="522"/>
      <c r="Q34" s="697"/>
    </row>
    <row r="35" spans="1:17" ht="18" customHeight="1">
      <c r="A35" s="664" t="s">
        <v>28</v>
      </c>
      <c r="B35" s="441" t="s">
        <v>98</v>
      </c>
      <c r="C35" s="357">
        <v>1179623</v>
      </c>
      <c r="D35" s="357">
        <v>1150890</v>
      </c>
      <c r="E35" s="357">
        <v>28733</v>
      </c>
      <c r="F35" s="21">
        <f t="shared" ref="F35:G35" si="11">F36+F48</f>
        <v>1179623</v>
      </c>
      <c r="G35" s="21">
        <f t="shared" si="11"/>
        <v>1150890</v>
      </c>
      <c r="H35" s="177">
        <f>H36+H48</f>
        <v>28733</v>
      </c>
      <c r="I35" s="970">
        <f>+H35-E35</f>
        <v>0</v>
      </c>
      <c r="J35" s="971">
        <f>+J36+J48</f>
        <v>1041078.3200000001</v>
      </c>
      <c r="K35" s="971">
        <f>+K36+K48</f>
        <v>1012345.3200000001</v>
      </c>
      <c r="L35" s="1035">
        <f>+L36+L48</f>
        <v>28733</v>
      </c>
      <c r="M35" s="520">
        <f>(K37+K50+K64)/G35</f>
        <v>1.7881813205432317E-2</v>
      </c>
      <c r="N35" s="520">
        <f>(L37+L50+L64)/H35</f>
        <v>0</v>
      </c>
      <c r="O35" s="520">
        <f>(K38+K53+K65)/G35</f>
        <v>0.86173771602846494</v>
      </c>
      <c r="P35" s="520">
        <f>(L38+L53+L65)/H35</f>
        <v>1</v>
      </c>
      <c r="Q35" s="697" t="s">
        <v>39</v>
      </c>
    </row>
    <row r="36" spans="1:17" s="694" customFormat="1" ht="18" customHeight="1">
      <c r="A36" s="692" t="s">
        <v>1916</v>
      </c>
      <c r="B36" s="693" t="s">
        <v>1917</v>
      </c>
      <c r="C36" s="635">
        <v>917405</v>
      </c>
      <c r="D36" s="635">
        <v>917405</v>
      </c>
      <c r="E36" s="635"/>
      <c r="F36" s="392">
        <f>+G36+H36</f>
        <v>917405</v>
      </c>
      <c r="G36" s="392">
        <v>917405</v>
      </c>
      <c r="H36" s="392"/>
      <c r="I36" s="977"/>
      <c r="J36" s="978">
        <f>+J37+J38+J47</f>
        <v>778860</v>
      </c>
      <c r="K36" s="978">
        <f>+K37+K38+K47</f>
        <v>778860</v>
      </c>
      <c r="L36" s="1039">
        <f>+L37+L38</f>
        <v>0</v>
      </c>
      <c r="M36" s="524"/>
      <c r="N36" s="524"/>
      <c r="O36" s="525">
        <f>+O38</f>
        <v>0.84898163842577701</v>
      </c>
      <c r="P36" s="524"/>
      <c r="Q36" s="1082"/>
    </row>
    <row r="37" spans="1:17" s="694" customFormat="1" ht="18" hidden="1" customHeight="1">
      <c r="A37" s="664">
        <v>1</v>
      </c>
      <c r="B37" s="441" t="s">
        <v>733</v>
      </c>
      <c r="C37" s="357"/>
      <c r="D37" s="357"/>
      <c r="E37" s="357"/>
      <c r="F37" s="21"/>
      <c r="G37" s="21"/>
      <c r="H37" s="21"/>
      <c r="I37" s="970"/>
      <c r="J37" s="971"/>
      <c r="K37" s="971"/>
      <c r="L37" s="1035"/>
      <c r="M37" s="524"/>
      <c r="N37" s="524"/>
      <c r="O37" s="524"/>
      <c r="P37" s="524"/>
      <c r="Q37" s="474"/>
    </row>
    <row r="38" spans="1:17" s="694" customFormat="1" ht="18" hidden="1" customHeight="1">
      <c r="A38" s="664">
        <v>2</v>
      </c>
      <c r="B38" s="441" t="s">
        <v>901</v>
      </c>
      <c r="C38" s="357"/>
      <c r="D38" s="357"/>
      <c r="E38" s="357"/>
      <c r="F38" s="21"/>
      <c r="G38" s="21"/>
      <c r="H38" s="21"/>
      <c r="I38" s="970"/>
      <c r="J38" s="971">
        <f>SUM(J39:J46)</f>
        <v>778860</v>
      </c>
      <c r="K38" s="971">
        <f t="shared" ref="K38:L38" si="12">SUM(K39:K46)</f>
        <v>778860</v>
      </c>
      <c r="L38" s="1035">
        <f t="shared" si="12"/>
        <v>0</v>
      </c>
      <c r="M38" s="524"/>
      <c r="N38" s="524"/>
      <c r="O38" s="520">
        <f>+K38/G36</f>
        <v>0.84898163842577701</v>
      </c>
      <c r="P38" s="524"/>
      <c r="Q38" s="474"/>
    </row>
    <row r="39" spans="1:17" ht="18" hidden="1" customHeight="1">
      <c r="A39" s="691"/>
      <c r="B39" s="673" t="s">
        <v>25</v>
      </c>
      <c r="C39" s="631"/>
      <c r="D39" s="631"/>
      <c r="E39" s="631"/>
      <c r="F39" s="641"/>
      <c r="G39" s="641"/>
      <c r="H39" s="641"/>
      <c r="I39" s="641"/>
      <c r="J39" s="521">
        <f t="shared" ref="J39:J46" si="13">+K39+L39</f>
        <v>2190</v>
      </c>
      <c r="K39" s="521">
        <f>VLOOKUP(B39,'3'!$B$11:$I$20,3,0)</f>
        <v>2190</v>
      </c>
      <c r="L39" s="1038"/>
      <c r="M39" s="522"/>
      <c r="N39" s="522"/>
      <c r="O39" s="522"/>
      <c r="P39" s="522"/>
      <c r="Q39" s="95"/>
    </row>
    <row r="40" spans="1:17" ht="18" hidden="1" customHeight="1">
      <c r="A40" s="691"/>
      <c r="B40" s="673" t="s">
        <v>23</v>
      </c>
      <c r="C40" s="631"/>
      <c r="D40" s="631"/>
      <c r="E40" s="631"/>
      <c r="F40" s="641"/>
      <c r="G40" s="641"/>
      <c r="H40" s="641"/>
      <c r="I40" s="641"/>
      <c r="J40" s="521">
        <f t="shared" si="13"/>
        <v>15398</v>
      </c>
      <c r="K40" s="521">
        <f>VLOOKUP(B40,'3'!$B$11:$I$20,3,0)</f>
        <v>15398</v>
      </c>
      <c r="L40" s="1038"/>
      <c r="M40" s="522"/>
      <c r="N40" s="522"/>
      <c r="O40" s="522"/>
      <c r="P40" s="522"/>
      <c r="Q40" s="95"/>
    </row>
    <row r="41" spans="1:17" ht="18" hidden="1" customHeight="1">
      <c r="A41" s="691"/>
      <c r="B41" s="673" t="s">
        <v>21</v>
      </c>
      <c r="C41" s="631"/>
      <c r="D41" s="631"/>
      <c r="E41" s="631"/>
      <c r="F41" s="641"/>
      <c r="G41" s="641"/>
      <c r="H41" s="641"/>
      <c r="I41" s="641"/>
      <c r="J41" s="521">
        <f t="shared" si="13"/>
        <v>0</v>
      </c>
      <c r="K41" s="521">
        <f>VLOOKUP(B41,'3'!$B$11:$I$20,3,0)</f>
        <v>0</v>
      </c>
      <c r="L41" s="1038"/>
      <c r="M41" s="522"/>
      <c r="N41" s="522"/>
      <c r="O41" s="522"/>
      <c r="P41" s="522"/>
      <c r="Q41" s="95"/>
    </row>
    <row r="42" spans="1:17" ht="18" hidden="1" customHeight="1">
      <c r="A42" s="691"/>
      <c r="B42" s="673" t="s">
        <v>19</v>
      </c>
      <c r="C42" s="631"/>
      <c r="D42" s="631"/>
      <c r="E42" s="631"/>
      <c r="F42" s="641"/>
      <c r="G42" s="641"/>
      <c r="H42" s="641"/>
      <c r="I42" s="641"/>
      <c r="J42" s="521">
        <f t="shared" si="13"/>
        <v>11829</v>
      </c>
      <c r="K42" s="521">
        <f>VLOOKUP(B42,'3'!$B$11:$I$20,3,0)</f>
        <v>11829</v>
      </c>
      <c r="L42" s="1038"/>
      <c r="M42" s="522"/>
      <c r="N42" s="522"/>
      <c r="O42" s="522"/>
      <c r="P42" s="522"/>
      <c r="Q42" s="95"/>
    </row>
    <row r="43" spans="1:17" ht="18" hidden="1" customHeight="1">
      <c r="A43" s="691"/>
      <c r="B43" s="673" t="s">
        <v>17</v>
      </c>
      <c r="C43" s="631"/>
      <c r="D43" s="631"/>
      <c r="E43" s="631"/>
      <c r="F43" s="641"/>
      <c r="G43" s="641"/>
      <c r="H43" s="641"/>
      <c r="I43" s="641"/>
      <c r="J43" s="521">
        <f t="shared" si="13"/>
        <v>99282.8</v>
      </c>
      <c r="K43" s="521">
        <f>VLOOKUP(B43,'3'!$B$11:$I$20,3,0)</f>
        <v>99282.8</v>
      </c>
      <c r="L43" s="1038"/>
      <c r="M43" s="522"/>
      <c r="N43" s="522"/>
      <c r="O43" s="522"/>
      <c r="P43" s="522"/>
      <c r="Q43" s="95"/>
    </row>
    <row r="44" spans="1:17" ht="18" hidden="1" customHeight="1">
      <c r="A44" s="691"/>
      <c r="B44" s="673" t="s">
        <v>15</v>
      </c>
      <c r="C44" s="631"/>
      <c r="D44" s="631"/>
      <c r="E44" s="631"/>
      <c r="F44" s="641"/>
      <c r="G44" s="641"/>
      <c r="H44" s="641"/>
      <c r="I44" s="641"/>
      <c r="J44" s="521">
        <f t="shared" si="13"/>
        <v>184566</v>
      </c>
      <c r="K44" s="521">
        <f>VLOOKUP(B44,'3'!$B$11:$I$20,3,0)</f>
        <v>184566</v>
      </c>
      <c r="L44" s="1038"/>
      <c r="M44" s="522"/>
      <c r="N44" s="522"/>
      <c r="O44" s="522"/>
      <c r="P44" s="522"/>
      <c r="Q44" s="95"/>
    </row>
    <row r="45" spans="1:17" ht="18" hidden="1" customHeight="1">
      <c r="A45" s="691"/>
      <c r="B45" s="673" t="s">
        <v>13</v>
      </c>
      <c r="C45" s="631"/>
      <c r="D45" s="631"/>
      <c r="E45" s="631"/>
      <c r="F45" s="641"/>
      <c r="G45" s="641"/>
      <c r="H45" s="641"/>
      <c r="I45" s="641"/>
      <c r="J45" s="521">
        <f t="shared" si="13"/>
        <v>226919.40000000002</v>
      </c>
      <c r="K45" s="521">
        <f>VLOOKUP(B45,'3'!$B$11:$I$20,3,0)</f>
        <v>226919.40000000002</v>
      </c>
      <c r="L45" s="1038"/>
      <c r="M45" s="522"/>
      <c r="N45" s="522"/>
      <c r="O45" s="522"/>
      <c r="P45" s="522"/>
      <c r="Q45" s="95"/>
    </row>
    <row r="46" spans="1:17" ht="18" hidden="1" customHeight="1">
      <c r="A46" s="691"/>
      <c r="B46" s="673" t="s">
        <v>11</v>
      </c>
      <c r="C46" s="631"/>
      <c r="D46" s="631"/>
      <c r="E46" s="631"/>
      <c r="F46" s="641"/>
      <c r="G46" s="641"/>
      <c r="H46" s="641"/>
      <c r="I46" s="641"/>
      <c r="J46" s="521">
        <f t="shared" si="13"/>
        <v>238674.8</v>
      </c>
      <c r="K46" s="521">
        <f>VLOOKUP(B46,'3'!$B$11:$I$20,3,0)</f>
        <v>238674.8</v>
      </c>
      <c r="L46" s="1038"/>
      <c r="M46" s="522"/>
      <c r="N46" s="522"/>
      <c r="O46" s="522"/>
      <c r="P46" s="522"/>
      <c r="Q46" s="95"/>
    </row>
    <row r="47" spans="1:17" s="175" customFormat="1" ht="18" hidden="1" customHeight="1">
      <c r="A47" s="664" t="s">
        <v>14</v>
      </c>
      <c r="B47" s="1034" t="s">
        <v>1912</v>
      </c>
      <c r="C47" s="636"/>
      <c r="D47" s="636"/>
      <c r="E47" s="636"/>
      <c r="F47" s="642"/>
      <c r="G47" s="642"/>
      <c r="H47" s="642"/>
      <c r="I47" s="642"/>
      <c r="J47" s="526">
        <f>+K47+L47</f>
        <v>0</v>
      </c>
      <c r="K47" s="526">
        <f>+'3'!D20</f>
        <v>0</v>
      </c>
      <c r="L47" s="1040"/>
      <c r="M47" s="528"/>
      <c r="N47" s="528"/>
      <c r="O47" s="528"/>
      <c r="P47" s="528"/>
      <c r="Q47" s="93"/>
    </row>
    <row r="48" spans="1:17" s="694" customFormat="1" ht="18" customHeight="1">
      <c r="A48" s="692" t="s">
        <v>1918</v>
      </c>
      <c r="B48" s="693" t="s">
        <v>1919</v>
      </c>
      <c r="C48" s="635">
        <v>262218</v>
      </c>
      <c r="D48" s="635">
        <v>233485</v>
      </c>
      <c r="E48" s="635">
        <v>28733</v>
      </c>
      <c r="F48" s="392">
        <f t="shared" ref="F48:G48" si="14">F49+F63</f>
        <v>262218</v>
      </c>
      <c r="G48" s="392">
        <f t="shared" si="14"/>
        <v>233485</v>
      </c>
      <c r="H48" s="523">
        <f>H49+H63</f>
        <v>28733</v>
      </c>
      <c r="I48" s="970">
        <f>+H48-E48</f>
        <v>0</v>
      </c>
      <c r="J48" s="978">
        <f>+J49+J63</f>
        <v>262218.32</v>
      </c>
      <c r="K48" s="978">
        <f>+K49+K63</f>
        <v>233485.32</v>
      </c>
      <c r="L48" s="1039">
        <f>+L49+L63</f>
        <v>28733</v>
      </c>
      <c r="M48" s="512">
        <f>(K50+K64)/G48</f>
        <v>8.8142707240293813E-2</v>
      </c>
      <c r="N48" s="520">
        <f>(L53+L65)/H48</f>
        <v>1</v>
      </c>
      <c r="O48" s="512">
        <f>(K53+K65)/G48</f>
        <v>0.91185866329742815</v>
      </c>
      <c r="P48" s="520">
        <f>(L53+L65)/H48</f>
        <v>1</v>
      </c>
      <c r="Q48" s="1082"/>
    </row>
    <row r="49" spans="1:17" s="694" customFormat="1" ht="18" customHeight="1">
      <c r="A49" s="692" t="s">
        <v>927</v>
      </c>
      <c r="B49" s="693" t="s">
        <v>1920</v>
      </c>
      <c r="C49" s="635">
        <v>205804</v>
      </c>
      <c r="D49" s="635">
        <v>205804</v>
      </c>
      <c r="E49" s="635"/>
      <c r="F49" s="392">
        <f>+G49+H49</f>
        <v>205804</v>
      </c>
      <c r="G49" s="392">
        <v>205804</v>
      </c>
      <c r="H49" s="392"/>
      <c r="I49" s="977"/>
      <c r="J49" s="978">
        <f>+J50+J53+J62</f>
        <v>205804.32</v>
      </c>
      <c r="K49" s="978">
        <f>+K50+K53+K62</f>
        <v>205804.32</v>
      </c>
      <c r="L49" s="1039">
        <f>+L50+L53+L62</f>
        <v>0</v>
      </c>
      <c r="M49" s="529">
        <f>+M50</f>
        <v>8.8142707240293813E-2</v>
      </c>
      <c r="N49" s="529"/>
      <c r="O49" s="529">
        <f>+O53</f>
        <v>0.79330286742189005</v>
      </c>
      <c r="P49" s="525"/>
      <c r="Q49" s="1082"/>
    </row>
    <row r="50" spans="1:17" ht="18" hidden="1" customHeight="1">
      <c r="A50" s="664">
        <v>1</v>
      </c>
      <c r="B50" s="441" t="s">
        <v>733</v>
      </c>
      <c r="C50" s="357"/>
      <c r="D50" s="357"/>
      <c r="E50" s="357"/>
      <c r="F50" s="21"/>
      <c r="G50" s="21"/>
      <c r="H50" s="21"/>
      <c r="I50" s="970"/>
      <c r="J50" s="971">
        <f>SUM(J51:J52)</f>
        <v>20580</v>
      </c>
      <c r="K50" s="971">
        <f>SUM(K51:K52)</f>
        <v>20580</v>
      </c>
      <c r="L50" s="1035">
        <f t="shared" ref="L50" si="15">SUM(L51)</f>
        <v>0</v>
      </c>
      <c r="M50" s="512">
        <f>SUM(M51:M52)</f>
        <v>8.8142707240293813E-2</v>
      </c>
      <c r="N50" s="519"/>
      <c r="O50" s="519"/>
      <c r="P50" s="519"/>
      <c r="Q50" s="95"/>
    </row>
    <row r="51" spans="1:17" ht="18" hidden="1" customHeight="1">
      <c r="A51" s="691"/>
      <c r="B51" s="669" t="s">
        <v>734</v>
      </c>
      <c r="C51" s="631"/>
      <c r="D51" s="631"/>
      <c r="E51" s="631"/>
      <c r="F51" s="641"/>
      <c r="G51" s="641"/>
      <c r="H51" s="641"/>
      <c r="I51" s="641"/>
      <c r="J51" s="201">
        <f>+K51+L51</f>
        <v>19789</v>
      </c>
      <c r="K51" s="201">
        <f>VLOOKUP(B51,'3'!$B$21:$I$35,3,0)</f>
        <v>19789</v>
      </c>
      <c r="L51" s="555"/>
      <c r="M51" s="518">
        <f>K51/$G$48</f>
        <v>8.4754909308949189E-2</v>
      </c>
      <c r="N51" s="519"/>
      <c r="O51" s="519"/>
      <c r="P51" s="519"/>
      <c r="Q51" s="95"/>
    </row>
    <row r="52" spans="1:17" ht="18" hidden="1" customHeight="1">
      <c r="A52" s="691"/>
      <c r="B52" s="669" t="s">
        <v>735</v>
      </c>
      <c r="C52" s="631"/>
      <c r="D52" s="631"/>
      <c r="E52" s="631"/>
      <c r="F52" s="641"/>
      <c r="G52" s="641"/>
      <c r="H52" s="641"/>
      <c r="I52" s="641"/>
      <c r="J52" s="201">
        <f>+K52+L52</f>
        <v>791</v>
      </c>
      <c r="K52" s="201">
        <f>VLOOKUP(B52,'3'!$B$21:$I$35,3,0)</f>
        <v>791</v>
      </c>
      <c r="L52" s="555"/>
      <c r="M52" s="518">
        <f>K52/$G$48</f>
        <v>3.3877979313446261E-3</v>
      </c>
      <c r="N52" s="519"/>
      <c r="O52" s="519"/>
      <c r="P52" s="519"/>
      <c r="Q52" s="95"/>
    </row>
    <row r="53" spans="1:17" ht="18" hidden="1" customHeight="1">
      <c r="A53" s="664">
        <v>2</v>
      </c>
      <c r="B53" s="441" t="s">
        <v>901</v>
      </c>
      <c r="C53" s="357"/>
      <c r="D53" s="357"/>
      <c r="E53" s="357"/>
      <c r="F53" s="21"/>
      <c r="G53" s="21"/>
      <c r="H53" s="21"/>
      <c r="I53" s="970"/>
      <c r="J53" s="971">
        <f>SUM(J54:J61)</f>
        <v>185224.32000000001</v>
      </c>
      <c r="K53" s="971">
        <f t="shared" ref="K53:L53" si="16">SUM(K54:K61)</f>
        <v>185224.32000000001</v>
      </c>
      <c r="L53" s="1035">
        <f t="shared" si="16"/>
        <v>0</v>
      </c>
      <c r="M53" s="519"/>
      <c r="N53" s="519"/>
      <c r="O53" s="512">
        <f>+K53/G48</f>
        <v>0.79330286742189005</v>
      </c>
      <c r="P53" s="519"/>
      <c r="Q53" s="95"/>
    </row>
    <row r="54" spans="1:17" ht="18" hidden="1" customHeight="1">
      <c r="A54" s="691"/>
      <c r="B54" s="673" t="s">
        <v>25</v>
      </c>
      <c r="C54" s="631"/>
      <c r="D54" s="631"/>
      <c r="E54" s="631"/>
      <c r="F54" s="641"/>
      <c r="G54" s="641"/>
      <c r="H54" s="641"/>
      <c r="I54" s="641"/>
      <c r="J54" s="521">
        <f t="shared" ref="J54:J62" si="17">+K54+L54</f>
        <v>1795</v>
      </c>
      <c r="K54" s="521">
        <f>VLOOKUP(B54,'3'!$B$21:$I$35,3,0)</f>
        <v>1795</v>
      </c>
      <c r="L54" s="1038"/>
      <c r="M54" s="522"/>
      <c r="N54" s="522"/>
      <c r="O54" s="522"/>
      <c r="P54" s="522"/>
      <c r="Q54" s="95"/>
    </row>
    <row r="55" spans="1:17" ht="18" hidden="1" customHeight="1">
      <c r="A55" s="691"/>
      <c r="B55" s="673" t="s">
        <v>23</v>
      </c>
      <c r="C55" s="631"/>
      <c r="D55" s="631"/>
      <c r="E55" s="631"/>
      <c r="F55" s="641"/>
      <c r="G55" s="641"/>
      <c r="H55" s="641"/>
      <c r="I55" s="641"/>
      <c r="J55" s="521">
        <f t="shared" si="17"/>
        <v>18086</v>
      </c>
      <c r="K55" s="521">
        <f>VLOOKUP(B55,'3'!$B$21:$I$35,3,0)</f>
        <v>18086</v>
      </c>
      <c r="L55" s="1038"/>
      <c r="M55" s="522"/>
      <c r="N55" s="522"/>
      <c r="O55" s="522"/>
      <c r="P55" s="522"/>
      <c r="Q55" s="95"/>
    </row>
    <row r="56" spans="1:17" ht="18" hidden="1" customHeight="1">
      <c r="A56" s="691"/>
      <c r="B56" s="673" t="s">
        <v>21</v>
      </c>
      <c r="C56" s="631"/>
      <c r="D56" s="631"/>
      <c r="E56" s="631"/>
      <c r="F56" s="641"/>
      <c r="G56" s="641"/>
      <c r="H56" s="641"/>
      <c r="I56" s="641"/>
      <c r="J56" s="521">
        <f t="shared" si="17"/>
        <v>6732</v>
      </c>
      <c r="K56" s="521">
        <f>VLOOKUP(B56,'3'!$B$21:$I$35,3,0)</f>
        <v>6732</v>
      </c>
      <c r="L56" s="1038"/>
      <c r="M56" s="522"/>
      <c r="N56" s="522"/>
      <c r="O56" s="522"/>
      <c r="P56" s="522"/>
      <c r="Q56" s="95"/>
    </row>
    <row r="57" spans="1:17" ht="18" hidden="1" customHeight="1">
      <c r="A57" s="691"/>
      <c r="B57" s="673" t="s">
        <v>19</v>
      </c>
      <c r="C57" s="631"/>
      <c r="D57" s="631"/>
      <c r="E57" s="631"/>
      <c r="F57" s="641"/>
      <c r="G57" s="641"/>
      <c r="H57" s="641"/>
      <c r="I57" s="641"/>
      <c r="J57" s="521">
        <f t="shared" si="17"/>
        <v>25253</v>
      </c>
      <c r="K57" s="521">
        <f>VLOOKUP(B57,'3'!$B$21:$I$35,3,0)</f>
        <v>25253</v>
      </c>
      <c r="L57" s="1038"/>
      <c r="M57" s="522"/>
      <c r="N57" s="522"/>
      <c r="O57" s="522"/>
      <c r="P57" s="522"/>
      <c r="Q57" s="95"/>
    </row>
    <row r="58" spans="1:17" ht="18" hidden="1" customHeight="1">
      <c r="A58" s="691"/>
      <c r="B58" s="673" t="s">
        <v>17</v>
      </c>
      <c r="C58" s="631"/>
      <c r="D58" s="631"/>
      <c r="E58" s="631"/>
      <c r="F58" s="641"/>
      <c r="G58" s="641"/>
      <c r="H58" s="641"/>
      <c r="I58" s="641"/>
      <c r="J58" s="521">
        <f t="shared" si="17"/>
        <v>36410.32</v>
      </c>
      <c r="K58" s="521">
        <f>VLOOKUP(B58,'3'!$B$21:$I$35,3,0)</f>
        <v>36410.32</v>
      </c>
      <c r="L58" s="1038"/>
      <c r="M58" s="522"/>
      <c r="N58" s="522"/>
      <c r="O58" s="522"/>
      <c r="P58" s="522"/>
      <c r="Q58" s="95"/>
    </row>
    <row r="59" spans="1:17" ht="18" hidden="1" customHeight="1">
      <c r="A59" s="691"/>
      <c r="B59" s="673" t="s">
        <v>15</v>
      </c>
      <c r="C59" s="631"/>
      <c r="D59" s="631"/>
      <c r="E59" s="631"/>
      <c r="F59" s="641"/>
      <c r="G59" s="641"/>
      <c r="H59" s="641"/>
      <c r="I59" s="641"/>
      <c r="J59" s="521">
        <f t="shared" si="17"/>
        <v>47325</v>
      </c>
      <c r="K59" s="521">
        <f>VLOOKUP(B59,'3'!$B$21:$I$35,3,0)</f>
        <v>47325</v>
      </c>
      <c r="L59" s="1038"/>
      <c r="M59" s="522"/>
      <c r="N59" s="522"/>
      <c r="O59" s="522"/>
      <c r="P59" s="522"/>
      <c r="Q59" s="95"/>
    </row>
    <row r="60" spans="1:17" ht="18" hidden="1" customHeight="1">
      <c r="A60" s="691"/>
      <c r="B60" s="673" t="s">
        <v>13</v>
      </c>
      <c r="C60" s="631"/>
      <c r="D60" s="631"/>
      <c r="E60" s="631"/>
      <c r="F60" s="641"/>
      <c r="G60" s="641"/>
      <c r="H60" s="641"/>
      <c r="I60" s="641"/>
      <c r="J60" s="521">
        <f t="shared" si="17"/>
        <v>19410</v>
      </c>
      <c r="K60" s="521">
        <f>VLOOKUP(B60,'3'!$B$21:$I$35,3,0)</f>
        <v>19410</v>
      </c>
      <c r="L60" s="1038"/>
      <c r="M60" s="522"/>
      <c r="N60" s="522"/>
      <c r="O60" s="522"/>
      <c r="P60" s="522"/>
      <c r="Q60" s="95"/>
    </row>
    <row r="61" spans="1:17" ht="18" hidden="1" customHeight="1">
      <c r="A61" s="691"/>
      <c r="B61" s="673" t="s">
        <v>11</v>
      </c>
      <c r="C61" s="631"/>
      <c r="D61" s="631"/>
      <c r="E61" s="631"/>
      <c r="F61" s="641"/>
      <c r="G61" s="641"/>
      <c r="H61" s="641"/>
      <c r="I61" s="641"/>
      <c r="J61" s="521">
        <f t="shared" si="17"/>
        <v>30213</v>
      </c>
      <c r="K61" s="521">
        <f>VLOOKUP(B61,'3'!$B$21:$I$35,3,0)</f>
        <v>30213</v>
      </c>
      <c r="L61" s="1038"/>
      <c r="M61" s="522"/>
      <c r="N61" s="522"/>
      <c r="O61" s="522"/>
      <c r="P61" s="522"/>
      <c r="Q61" s="95"/>
    </row>
    <row r="62" spans="1:17" s="564" customFormat="1" ht="18" hidden="1" customHeight="1">
      <c r="A62" s="560" t="s">
        <v>14</v>
      </c>
      <c r="B62" s="561" t="s">
        <v>1912</v>
      </c>
      <c r="C62" s="636"/>
      <c r="D62" s="636"/>
      <c r="E62" s="636"/>
      <c r="F62" s="643"/>
      <c r="G62" s="642"/>
      <c r="H62" s="643"/>
      <c r="I62" s="643"/>
      <c r="J62" s="527">
        <f t="shared" si="17"/>
        <v>0</v>
      </c>
      <c r="K62" s="527">
        <f>+'3'!D35</f>
        <v>0</v>
      </c>
      <c r="L62" s="527"/>
      <c r="M62" s="562"/>
      <c r="N62" s="562"/>
      <c r="O62" s="562"/>
      <c r="P62" s="562"/>
      <c r="Q62" s="563" t="s">
        <v>1774</v>
      </c>
    </row>
    <row r="63" spans="1:17" s="694" customFormat="1" ht="18" customHeight="1">
      <c r="A63" s="692" t="s">
        <v>927</v>
      </c>
      <c r="B63" s="693" t="s">
        <v>1921</v>
      </c>
      <c r="C63" s="635">
        <v>56414</v>
      </c>
      <c r="D63" s="635">
        <v>27681</v>
      </c>
      <c r="E63" s="635">
        <v>28733</v>
      </c>
      <c r="F63" s="392">
        <f>+G63+H63</f>
        <v>56414</v>
      </c>
      <c r="G63" s="392">
        <v>27681</v>
      </c>
      <c r="H63" s="523">
        <v>28733</v>
      </c>
      <c r="I63" s="970">
        <f>+H63-E63</f>
        <v>0</v>
      </c>
      <c r="J63" s="978">
        <f>+J64+J65</f>
        <v>56414</v>
      </c>
      <c r="K63" s="978">
        <f>+K64+K65</f>
        <v>27681</v>
      </c>
      <c r="L63" s="1039">
        <f>+L64+L65</f>
        <v>28733</v>
      </c>
      <c r="M63" s="525"/>
      <c r="N63" s="525"/>
      <c r="O63" s="529">
        <f>+O65</f>
        <v>0.11855579587553804</v>
      </c>
      <c r="P63" s="525">
        <f>+P65</f>
        <v>1</v>
      </c>
      <c r="Q63" s="1083" t="s">
        <v>1922</v>
      </c>
    </row>
    <row r="64" spans="1:17" s="694" customFormat="1" ht="18" customHeight="1">
      <c r="A64" s="664">
        <v>1</v>
      </c>
      <c r="B64" s="441" t="s">
        <v>733</v>
      </c>
      <c r="C64" s="357"/>
      <c r="D64" s="357"/>
      <c r="E64" s="357"/>
      <c r="F64" s="21"/>
      <c r="G64" s="21"/>
      <c r="H64" s="21"/>
      <c r="I64" s="970"/>
      <c r="J64" s="971"/>
      <c r="K64" s="971"/>
      <c r="L64" s="1035">
        <v>0</v>
      </c>
      <c r="M64" s="524"/>
      <c r="N64" s="524"/>
      <c r="O64" s="524"/>
      <c r="P64" s="524"/>
      <c r="Q64" s="1082"/>
    </row>
    <row r="65" spans="1:17" ht="18" customHeight="1">
      <c r="A65" s="664">
        <v>2</v>
      </c>
      <c r="B65" s="441" t="s">
        <v>901</v>
      </c>
      <c r="C65" s="357"/>
      <c r="D65" s="357"/>
      <c r="E65" s="357"/>
      <c r="F65" s="21"/>
      <c r="G65" s="21"/>
      <c r="H65" s="21"/>
      <c r="I65" s="970"/>
      <c r="J65" s="971">
        <f>SUM(J66:J73)</f>
        <v>56414</v>
      </c>
      <c r="K65" s="971">
        <f t="shared" ref="K65:L65" si="18">SUM(K66:K73)</f>
        <v>27681</v>
      </c>
      <c r="L65" s="1035">
        <f t="shared" si="18"/>
        <v>28733</v>
      </c>
      <c r="M65" s="517"/>
      <c r="N65" s="517"/>
      <c r="O65" s="512">
        <f>+K65/G48</f>
        <v>0.11855579587553804</v>
      </c>
      <c r="P65" s="520">
        <f>+L65/H48</f>
        <v>1</v>
      </c>
      <c r="Q65" s="1053"/>
    </row>
    <row r="66" spans="1:17" ht="18" customHeight="1">
      <c r="A66" s="691"/>
      <c r="B66" s="673" t="s">
        <v>25</v>
      </c>
      <c r="C66" s="631">
        <v>0</v>
      </c>
      <c r="D66" s="631"/>
      <c r="E66" s="631"/>
      <c r="F66" s="641">
        <v>0</v>
      </c>
      <c r="G66" s="641"/>
      <c r="H66" s="641"/>
      <c r="I66" s="975"/>
      <c r="J66" s="976">
        <f t="shared" ref="J66:J73" si="19">+K66+L66</f>
        <v>0</v>
      </c>
      <c r="K66" s="976">
        <f>VLOOKUP(B66,'3'!$B$37:$I$44,3,0)</f>
        <v>0</v>
      </c>
      <c r="L66" s="1038">
        <f>VLOOKUP(B66,'3'!$B$37:$I$44,2,0)</f>
        <v>0</v>
      </c>
      <c r="M66" s="522"/>
      <c r="N66" s="522"/>
      <c r="O66" s="522"/>
      <c r="P66" s="522"/>
      <c r="Q66" s="697"/>
    </row>
    <row r="67" spans="1:17" ht="18" customHeight="1">
      <c r="A67" s="691"/>
      <c r="B67" s="673" t="s">
        <v>23</v>
      </c>
      <c r="C67" s="631">
        <v>0</v>
      </c>
      <c r="D67" s="631"/>
      <c r="E67" s="631"/>
      <c r="F67" s="641">
        <v>0</v>
      </c>
      <c r="G67" s="641"/>
      <c r="H67" s="641"/>
      <c r="I67" s="975"/>
      <c r="J67" s="976">
        <f t="shared" si="19"/>
        <v>0</v>
      </c>
      <c r="K67" s="976">
        <f>VLOOKUP(B67,'3'!$B$37:$I$44,3,0)</f>
        <v>0</v>
      </c>
      <c r="L67" s="1038">
        <f>VLOOKUP(B67,'3'!$B$37:$I$44,2,0)</f>
        <v>0</v>
      </c>
      <c r="M67" s="522"/>
      <c r="N67" s="522"/>
      <c r="O67" s="522"/>
      <c r="P67" s="522"/>
      <c r="Q67" s="697"/>
    </row>
    <row r="68" spans="1:17" ht="18" customHeight="1">
      <c r="A68" s="691"/>
      <c r="B68" s="673" t="s">
        <v>21</v>
      </c>
      <c r="C68" s="631">
        <v>0</v>
      </c>
      <c r="D68" s="631"/>
      <c r="E68" s="631"/>
      <c r="F68" s="641">
        <v>0</v>
      </c>
      <c r="G68" s="641"/>
      <c r="H68" s="641"/>
      <c r="I68" s="975"/>
      <c r="J68" s="976">
        <f t="shared" si="19"/>
        <v>3526</v>
      </c>
      <c r="K68" s="976">
        <f>VLOOKUP(B68,'3'!$B$37:$I$44,3,0)</f>
        <v>1730</v>
      </c>
      <c r="L68" s="1038">
        <f>VLOOKUP(B68,'3'!$B$37:$I$44,2,0)</f>
        <v>1796</v>
      </c>
      <c r="M68" s="522"/>
      <c r="N68" s="522"/>
      <c r="O68" s="522"/>
      <c r="P68" s="522"/>
      <c r="Q68" s="697"/>
    </row>
    <row r="69" spans="1:17" ht="18" customHeight="1">
      <c r="A69" s="691"/>
      <c r="B69" s="673" t="s">
        <v>19</v>
      </c>
      <c r="C69" s="631">
        <v>0</v>
      </c>
      <c r="D69" s="631"/>
      <c r="E69" s="631"/>
      <c r="F69" s="641">
        <v>0</v>
      </c>
      <c r="G69" s="641"/>
      <c r="H69" s="641"/>
      <c r="I69" s="975"/>
      <c r="J69" s="976">
        <f t="shared" si="19"/>
        <v>10577</v>
      </c>
      <c r="K69" s="976">
        <f>VLOOKUP(B69,'3'!$B$37:$I$44,3,0)</f>
        <v>5190</v>
      </c>
      <c r="L69" s="1038">
        <f>VLOOKUP(B69,'3'!$B$37:$I$44,2,0)</f>
        <v>5387</v>
      </c>
      <c r="M69" s="522"/>
      <c r="N69" s="522"/>
      <c r="O69" s="522"/>
      <c r="P69" s="522"/>
      <c r="Q69" s="697"/>
    </row>
    <row r="70" spans="1:17" ht="18" customHeight="1">
      <c r="A70" s="691"/>
      <c r="B70" s="673" t="s">
        <v>17</v>
      </c>
      <c r="C70" s="631">
        <v>0</v>
      </c>
      <c r="D70" s="631"/>
      <c r="E70" s="631"/>
      <c r="F70" s="641">
        <v>0</v>
      </c>
      <c r="G70" s="641"/>
      <c r="H70" s="641"/>
      <c r="I70" s="975"/>
      <c r="J70" s="976">
        <f t="shared" si="19"/>
        <v>10577</v>
      </c>
      <c r="K70" s="976">
        <f>VLOOKUP(B70,'3'!$B$37:$I$44,3,0)</f>
        <v>5190</v>
      </c>
      <c r="L70" s="1038">
        <f>VLOOKUP(B70,'3'!$B$37:$I$44,2,0)</f>
        <v>5387</v>
      </c>
      <c r="M70" s="522"/>
      <c r="N70" s="522"/>
      <c r="O70" s="522"/>
      <c r="P70" s="522"/>
      <c r="Q70" s="697"/>
    </row>
    <row r="71" spans="1:17" ht="18" customHeight="1">
      <c r="A71" s="691"/>
      <c r="B71" s="673" t="s">
        <v>15</v>
      </c>
      <c r="C71" s="631">
        <v>0</v>
      </c>
      <c r="D71" s="631"/>
      <c r="E71" s="631"/>
      <c r="F71" s="641">
        <v>0</v>
      </c>
      <c r="G71" s="641"/>
      <c r="H71" s="641"/>
      <c r="I71" s="975"/>
      <c r="J71" s="976">
        <f t="shared" si="19"/>
        <v>10577</v>
      </c>
      <c r="K71" s="976">
        <f>VLOOKUP(B71,'3'!$B$37:$I$44,3,0)</f>
        <v>5190</v>
      </c>
      <c r="L71" s="1038">
        <f>VLOOKUP(B71,'3'!$B$37:$I$44,2,0)</f>
        <v>5387</v>
      </c>
      <c r="M71" s="522"/>
      <c r="N71" s="522"/>
      <c r="O71" s="522"/>
      <c r="P71" s="522"/>
      <c r="Q71" s="697"/>
    </row>
    <row r="72" spans="1:17" ht="18" customHeight="1">
      <c r="A72" s="691"/>
      <c r="B72" s="673" t="s">
        <v>13</v>
      </c>
      <c r="C72" s="631">
        <v>0</v>
      </c>
      <c r="D72" s="631"/>
      <c r="E72" s="631"/>
      <c r="F72" s="641">
        <v>0</v>
      </c>
      <c r="G72" s="641"/>
      <c r="H72" s="641"/>
      <c r="I72" s="975"/>
      <c r="J72" s="976">
        <f t="shared" si="19"/>
        <v>3526</v>
      </c>
      <c r="K72" s="976">
        <f>VLOOKUP(B72,'3'!$B$37:$I$44,3,0)</f>
        <v>1730</v>
      </c>
      <c r="L72" s="1038">
        <f>VLOOKUP(B72,'3'!$B$37:$I$44,2,0)</f>
        <v>1796</v>
      </c>
      <c r="M72" s="522"/>
      <c r="N72" s="522"/>
      <c r="O72" s="522"/>
      <c r="P72" s="522"/>
      <c r="Q72" s="697"/>
    </row>
    <row r="73" spans="1:17" ht="18" customHeight="1">
      <c r="A73" s="691"/>
      <c r="B73" s="673" t="s">
        <v>11</v>
      </c>
      <c r="C73" s="631">
        <v>0</v>
      </c>
      <c r="D73" s="631"/>
      <c r="E73" s="631"/>
      <c r="F73" s="641">
        <v>0</v>
      </c>
      <c r="G73" s="641"/>
      <c r="H73" s="641"/>
      <c r="I73" s="975"/>
      <c r="J73" s="976">
        <f t="shared" si="19"/>
        <v>17631</v>
      </c>
      <c r="K73" s="976">
        <f>VLOOKUP(B73,'3'!$B$37:$I$44,3,0)</f>
        <v>8651</v>
      </c>
      <c r="L73" s="1038">
        <f>VLOOKUP(B73,'3'!$B$37:$I$44,2,0)</f>
        <v>8980</v>
      </c>
      <c r="M73" s="522"/>
      <c r="N73" s="522"/>
      <c r="O73" s="522"/>
      <c r="P73" s="522"/>
      <c r="Q73" s="697"/>
    </row>
    <row r="74" spans="1:17" ht="18" customHeight="1">
      <c r="A74" s="664" t="s">
        <v>29</v>
      </c>
      <c r="B74" s="441" t="s">
        <v>99</v>
      </c>
      <c r="C74" s="357">
        <v>1046950</v>
      </c>
      <c r="D74" s="357">
        <v>80854</v>
      </c>
      <c r="E74" s="357">
        <v>966096</v>
      </c>
      <c r="F74" s="21">
        <f>+G74+H74</f>
        <v>1047867</v>
      </c>
      <c r="G74" s="21">
        <v>80854</v>
      </c>
      <c r="H74" s="644">
        <v>967013</v>
      </c>
      <c r="I74" s="979">
        <f>+H74-E74</f>
        <v>917</v>
      </c>
      <c r="J74" s="971">
        <f>+J75+J78</f>
        <v>1047868</v>
      </c>
      <c r="K74" s="971">
        <f t="shared" ref="K74:L74" si="20">+K75+K78</f>
        <v>80855</v>
      </c>
      <c r="L74" s="1035">
        <f t="shared" si="20"/>
        <v>967013</v>
      </c>
      <c r="M74" s="512">
        <f>+M75</f>
        <v>4.9471887599871374E-2</v>
      </c>
      <c r="N74" s="512">
        <f>+N75</f>
        <v>1.6545796178541551E-2</v>
      </c>
      <c r="O74" s="512">
        <f>+O78</f>
        <v>0.95054048037202854</v>
      </c>
      <c r="P74" s="512">
        <f>+P78</f>
        <v>0.98345420382145843</v>
      </c>
      <c r="Q74" s="697" t="s">
        <v>41</v>
      </c>
    </row>
    <row r="75" spans="1:17" ht="18" customHeight="1">
      <c r="A75" s="664">
        <v>1</v>
      </c>
      <c r="B75" s="441" t="s">
        <v>733</v>
      </c>
      <c r="C75" s="357"/>
      <c r="D75" s="357"/>
      <c r="E75" s="357"/>
      <c r="F75" s="21"/>
      <c r="G75" s="21"/>
      <c r="H75" s="21"/>
      <c r="I75" s="970"/>
      <c r="J75" s="971">
        <f>SUM(J76:J77)</f>
        <v>20000</v>
      </c>
      <c r="K75" s="971">
        <f>SUM(K76:K77)</f>
        <v>4000</v>
      </c>
      <c r="L75" s="1035">
        <f>SUM(L76:L77)</f>
        <v>16000</v>
      </c>
      <c r="M75" s="512">
        <f>SUM(M76:M77)</f>
        <v>4.9471887599871374E-2</v>
      </c>
      <c r="N75" s="512">
        <f>SUM(N76:N77)</f>
        <v>1.6545796178541551E-2</v>
      </c>
      <c r="O75" s="188"/>
      <c r="P75" s="188"/>
      <c r="Q75" s="697"/>
    </row>
    <row r="76" spans="1:17" ht="18" hidden="1" customHeight="1">
      <c r="A76" s="691"/>
      <c r="B76" s="669" t="s">
        <v>697</v>
      </c>
      <c r="C76" s="179"/>
      <c r="D76" s="179"/>
      <c r="E76" s="179"/>
      <c r="F76" s="20"/>
      <c r="G76" s="20"/>
      <c r="H76" s="20"/>
      <c r="I76" s="973"/>
      <c r="J76" s="974">
        <f>+K76+L76</f>
        <v>4000</v>
      </c>
      <c r="K76" s="974">
        <f>VLOOKUP(B76,'4'!$C$12:$J$14,8,0)</f>
        <v>4000</v>
      </c>
      <c r="L76" s="555"/>
      <c r="M76" s="518">
        <f>K76/$G$74</f>
        <v>4.9471887599871374E-2</v>
      </c>
      <c r="N76" s="518">
        <f>L76/$H$74</f>
        <v>0</v>
      </c>
      <c r="O76" s="518"/>
      <c r="P76" s="518"/>
      <c r="Q76" s="95"/>
    </row>
    <row r="77" spans="1:17">
      <c r="A77" s="691"/>
      <c r="B77" s="669" t="s">
        <v>1483</v>
      </c>
      <c r="C77" s="179"/>
      <c r="D77" s="179"/>
      <c r="E77" s="179"/>
      <c r="F77" s="20"/>
      <c r="G77" s="20"/>
      <c r="H77" s="20"/>
      <c r="I77" s="973"/>
      <c r="J77" s="974">
        <f>+K77+L77</f>
        <v>16000</v>
      </c>
      <c r="K77" s="974"/>
      <c r="L77" s="555">
        <f>VLOOKUP(B77,'4'!$C$12:$J$14,7,0)</f>
        <v>16000</v>
      </c>
      <c r="M77" s="518"/>
      <c r="N77" s="518">
        <f>L77/$H$74</f>
        <v>1.6545796178541551E-2</v>
      </c>
      <c r="O77" s="518"/>
      <c r="P77" s="518"/>
      <c r="Q77" s="697"/>
    </row>
    <row r="78" spans="1:17" ht="18" customHeight="1">
      <c r="A78" s="664">
        <v>2</v>
      </c>
      <c r="B78" s="441" t="s">
        <v>901</v>
      </c>
      <c r="C78" s="357"/>
      <c r="D78" s="357"/>
      <c r="E78" s="357"/>
      <c r="F78" s="21"/>
      <c r="G78" s="21"/>
      <c r="H78" s="21"/>
      <c r="I78" s="970"/>
      <c r="J78" s="971">
        <f>SUM(J79:J86)</f>
        <v>1027868</v>
      </c>
      <c r="K78" s="971">
        <f t="shared" ref="K78:L78" si="21">SUM(K79:K86)</f>
        <v>76855</v>
      </c>
      <c r="L78" s="1035">
        <f t="shared" si="21"/>
        <v>951013</v>
      </c>
      <c r="M78" s="188"/>
      <c r="N78" s="188"/>
      <c r="O78" s="512">
        <f>+K78/G74</f>
        <v>0.95054048037202854</v>
      </c>
      <c r="P78" s="512">
        <f>+L78/H74</f>
        <v>0.98345420382145843</v>
      </c>
      <c r="Q78" s="697"/>
    </row>
    <row r="79" spans="1:17" ht="18" customHeight="1">
      <c r="A79" s="691"/>
      <c r="B79" s="673" t="s">
        <v>25</v>
      </c>
      <c r="C79" s="631"/>
      <c r="D79" s="631"/>
      <c r="E79" s="631"/>
      <c r="F79" s="641"/>
      <c r="G79" s="641"/>
      <c r="H79" s="641"/>
      <c r="I79" s="975"/>
      <c r="J79" s="976">
        <f t="shared" ref="J79:J86" si="22">+K79+L79</f>
        <v>6334</v>
      </c>
      <c r="K79" s="976">
        <f>VLOOKUP(B79,'4'!$C$16:$J$23,8,0)</f>
        <v>810</v>
      </c>
      <c r="L79" s="1038">
        <f>VLOOKUP(B79,'4'!$C$16:$J$23,7,0)</f>
        <v>5524</v>
      </c>
      <c r="M79" s="522"/>
      <c r="N79" s="522"/>
      <c r="O79" s="522"/>
      <c r="P79" s="522"/>
      <c r="Q79" s="697"/>
    </row>
    <row r="80" spans="1:17" ht="18" customHeight="1">
      <c r="A80" s="691"/>
      <c r="B80" s="673" t="s">
        <v>23</v>
      </c>
      <c r="C80" s="631"/>
      <c r="D80" s="631"/>
      <c r="E80" s="631"/>
      <c r="F80" s="641"/>
      <c r="G80" s="641"/>
      <c r="H80" s="641"/>
      <c r="I80" s="975"/>
      <c r="J80" s="976">
        <f t="shared" si="22"/>
        <v>81607</v>
      </c>
      <c r="K80" s="976">
        <f>VLOOKUP(B80,'4'!$C$16:$J$23,8,0)</f>
        <v>7590</v>
      </c>
      <c r="L80" s="1038">
        <f>VLOOKUP(B80,'4'!$C$16:$J$23,7,0)</f>
        <v>74017</v>
      </c>
      <c r="M80" s="522"/>
      <c r="N80" s="522"/>
      <c r="O80" s="522"/>
      <c r="P80" s="522"/>
      <c r="Q80" s="697"/>
    </row>
    <row r="81" spans="1:17" ht="18" customHeight="1">
      <c r="A81" s="691"/>
      <c r="B81" s="673" t="s">
        <v>21</v>
      </c>
      <c r="C81" s="631"/>
      <c r="D81" s="631"/>
      <c r="E81" s="631"/>
      <c r="F81" s="641"/>
      <c r="G81" s="641"/>
      <c r="H81" s="641"/>
      <c r="I81" s="975"/>
      <c r="J81" s="976">
        <f t="shared" si="22"/>
        <v>23750</v>
      </c>
      <c r="K81" s="976">
        <f>VLOOKUP(B81,'4'!$C$16:$J$23,8,0)</f>
        <v>3036</v>
      </c>
      <c r="L81" s="1038">
        <f>VLOOKUP(B81,'4'!$C$16:$J$23,7,0)</f>
        <v>20714</v>
      </c>
      <c r="M81" s="522"/>
      <c r="N81" s="522"/>
      <c r="O81" s="522"/>
      <c r="P81" s="522"/>
      <c r="Q81" s="697"/>
    </row>
    <row r="82" spans="1:17" ht="18" customHeight="1">
      <c r="A82" s="691"/>
      <c r="B82" s="673" t="s">
        <v>19</v>
      </c>
      <c r="C82" s="631"/>
      <c r="D82" s="631"/>
      <c r="E82" s="631"/>
      <c r="F82" s="641"/>
      <c r="G82" s="641"/>
      <c r="H82" s="641"/>
      <c r="I82" s="975"/>
      <c r="J82" s="976">
        <f t="shared" si="22"/>
        <v>112431</v>
      </c>
      <c r="K82" s="976">
        <f>VLOOKUP(B82,'4'!$C$16:$J$23,8,0)</f>
        <v>10824</v>
      </c>
      <c r="L82" s="1038">
        <f>VLOOKUP(B82,'4'!$C$16:$J$23,7,0)</f>
        <v>101607</v>
      </c>
      <c r="M82" s="522"/>
      <c r="N82" s="522"/>
      <c r="O82" s="522"/>
      <c r="P82" s="522"/>
      <c r="Q82" s="697"/>
    </row>
    <row r="83" spans="1:17" ht="18" customHeight="1">
      <c r="A83" s="691"/>
      <c r="B83" s="673" t="s">
        <v>17</v>
      </c>
      <c r="C83" s="631"/>
      <c r="D83" s="631"/>
      <c r="E83" s="631"/>
      <c r="F83" s="641"/>
      <c r="G83" s="641"/>
      <c r="H83" s="641"/>
      <c r="I83" s="975"/>
      <c r="J83" s="976">
        <f t="shared" si="22"/>
        <v>207814</v>
      </c>
      <c r="K83" s="976">
        <f>VLOOKUP(B83,'4'!$C$16:$J$23,8,0)</f>
        <v>15194</v>
      </c>
      <c r="L83" s="1038">
        <f>VLOOKUP(B83,'4'!$C$16:$J$23,7,0)</f>
        <v>192620</v>
      </c>
      <c r="M83" s="522"/>
      <c r="N83" s="522"/>
      <c r="O83" s="522"/>
      <c r="P83" s="522"/>
      <c r="Q83" s="697"/>
    </row>
    <row r="84" spans="1:17" ht="18" customHeight="1">
      <c r="A84" s="691"/>
      <c r="B84" s="673" t="s">
        <v>15</v>
      </c>
      <c r="C84" s="631"/>
      <c r="D84" s="631"/>
      <c r="E84" s="631"/>
      <c r="F84" s="641"/>
      <c r="G84" s="641"/>
      <c r="H84" s="641"/>
      <c r="I84" s="975"/>
      <c r="J84" s="976">
        <f t="shared" si="22"/>
        <v>236268</v>
      </c>
      <c r="K84" s="976">
        <f>VLOOKUP(B84,'4'!$C$16:$J$23,8,0)</f>
        <v>19233</v>
      </c>
      <c r="L84" s="1038">
        <f>VLOOKUP(B84,'4'!$C$16:$J$23,7,0)</f>
        <v>217035</v>
      </c>
      <c r="M84" s="522"/>
      <c r="N84" s="522"/>
      <c r="O84" s="522"/>
      <c r="P84" s="522"/>
      <c r="Q84" s="697"/>
    </row>
    <row r="85" spans="1:17" ht="18" customHeight="1">
      <c r="A85" s="691"/>
      <c r="B85" s="673" t="s">
        <v>13</v>
      </c>
      <c r="C85" s="631"/>
      <c r="D85" s="631"/>
      <c r="E85" s="631"/>
      <c r="F85" s="641"/>
      <c r="G85" s="641"/>
      <c r="H85" s="641"/>
      <c r="I85" s="975"/>
      <c r="J85" s="976">
        <f t="shared" si="22"/>
        <v>149006</v>
      </c>
      <c r="K85" s="976">
        <f>VLOOKUP(B85,'4'!$C$16:$J$23,8,0)</f>
        <v>7921</v>
      </c>
      <c r="L85" s="1038">
        <f>VLOOKUP(B85,'4'!$C$16:$J$23,7,0)</f>
        <v>141085</v>
      </c>
      <c r="M85" s="522"/>
      <c r="N85" s="522"/>
      <c r="O85" s="522"/>
      <c r="P85" s="522"/>
      <c r="Q85" s="697"/>
    </row>
    <row r="86" spans="1:17" ht="18" customHeight="1">
      <c r="A86" s="691"/>
      <c r="B86" s="673" t="s">
        <v>11</v>
      </c>
      <c r="C86" s="631"/>
      <c r="D86" s="631"/>
      <c r="E86" s="631"/>
      <c r="F86" s="641"/>
      <c r="G86" s="641"/>
      <c r="H86" s="641"/>
      <c r="I86" s="975"/>
      <c r="J86" s="976">
        <f t="shared" si="22"/>
        <v>210658</v>
      </c>
      <c r="K86" s="976">
        <f>VLOOKUP(B86,'4'!$C$16:$J$23,8,0)</f>
        <v>12247</v>
      </c>
      <c r="L86" s="1038">
        <f>VLOOKUP(B86,'4'!$C$16:$J$23,7,0)</f>
        <v>198411</v>
      </c>
      <c r="M86" s="522"/>
      <c r="N86" s="522"/>
      <c r="O86" s="522"/>
      <c r="P86" s="522"/>
      <c r="Q86" s="697"/>
    </row>
    <row r="87" spans="1:17" ht="18" customHeight="1">
      <c r="A87" s="664" t="s">
        <v>30</v>
      </c>
      <c r="B87" s="441" t="s">
        <v>100</v>
      </c>
      <c r="C87" s="357">
        <v>789624</v>
      </c>
      <c r="D87" s="357">
        <v>364448</v>
      </c>
      <c r="E87" s="357">
        <v>425176</v>
      </c>
      <c r="F87" s="21">
        <f t="shared" ref="F87:G87" si="23">+F88+F101+F118+F131</f>
        <v>789706</v>
      </c>
      <c r="G87" s="21">
        <f t="shared" si="23"/>
        <v>364448</v>
      </c>
      <c r="H87" s="177">
        <f>+H88+H101+H118+H131</f>
        <v>425258</v>
      </c>
      <c r="I87" s="971">
        <f>+H87-E87</f>
        <v>82</v>
      </c>
      <c r="J87" s="971">
        <f>+J88+J101+J118+J131</f>
        <v>789706</v>
      </c>
      <c r="K87" s="971">
        <f>+K88+K101+K118+K131</f>
        <v>364448</v>
      </c>
      <c r="L87" s="1035">
        <f>+L88+L101+L118+L131</f>
        <v>425258</v>
      </c>
      <c r="M87" s="512">
        <f>(K89+K103+K115+K119+K132)/G87</f>
        <v>0.34930909210641847</v>
      </c>
      <c r="N87" s="512">
        <f>(L89+L103+L115+L119+L132)/H87</f>
        <v>0.79926538712969541</v>
      </c>
      <c r="O87" s="512">
        <f>(K92+K105+K122+K117+K134)/G87</f>
        <v>0.65069090789358153</v>
      </c>
      <c r="P87" s="512">
        <f>(L92+L105+L117+L122+L134)/H87</f>
        <v>0.20073461287030461</v>
      </c>
      <c r="Q87" s="697" t="s">
        <v>2078</v>
      </c>
    </row>
    <row r="88" spans="1:17" s="175" customFormat="1" ht="18" customHeight="1">
      <c r="A88" s="692" t="s">
        <v>1923</v>
      </c>
      <c r="B88" s="693" t="s">
        <v>1917</v>
      </c>
      <c r="C88" s="635">
        <v>489251</v>
      </c>
      <c r="D88" s="635">
        <v>64075</v>
      </c>
      <c r="E88" s="635">
        <v>425176</v>
      </c>
      <c r="F88" s="392">
        <f>+G88+H88</f>
        <v>489333</v>
      </c>
      <c r="G88" s="392">
        <v>64075</v>
      </c>
      <c r="H88" s="523">
        <v>425258</v>
      </c>
      <c r="I88" s="978"/>
      <c r="J88" s="978">
        <f t="shared" ref="J88:L88" si="24">+J89+J92</f>
        <v>489333</v>
      </c>
      <c r="K88" s="978">
        <f t="shared" si="24"/>
        <v>64075</v>
      </c>
      <c r="L88" s="1039">
        <f t="shared" si="24"/>
        <v>425258</v>
      </c>
      <c r="M88" s="529">
        <f>+M89</f>
        <v>0.14428404213811938</v>
      </c>
      <c r="N88" s="529">
        <f>+N89</f>
        <v>0.79926538712969541</v>
      </c>
      <c r="O88" s="529">
        <f>+O92</f>
        <v>0.85571595786188059</v>
      </c>
      <c r="P88" s="529">
        <f>+P92</f>
        <v>0.20073461287030461</v>
      </c>
      <c r="Q88" s="1082"/>
    </row>
    <row r="89" spans="1:17" ht="18" customHeight="1">
      <c r="A89" s="664">
        <v>1</v>
      </c>
      <c r="B89" s="441" t="s">
        <v>733</v>
      </c>
      <c r="C89" s="357"/>
      <c r="D89" s="357"/>
      <c r="E89" s="357"/>
      <c r="F89" s="21"/>
      <c r="G89" s="21"/>
      <c r="H89" s="21"/>
      <c r="I89" s="970"/>
      <c r="J89" s="971">
        <f>SUM(J90:J91)</f>
        <v>349139</v>
      </c>
      <c r="K89" s="971">
        <f>SUM(K90:K91)</f>
        <v>9245</v>
      </c>
      <c r="L89" s="1035">
        <f>SUM(L90:L91)</f>
        <v>339894</v>
      </c>
      <c r="M89" s="512">
        <f>+SUM(M90:M91)</f>
        <v>0.14428404213811938</v>
      </c>
      <c r="N89" s="512">
        <f>+SUM(N90:N91)</f>
        <v>0.79926538712969541</v>
      </c>
      <c r="O89" s="530"/>
      <c r="P89" s="530"/>
      <c r="Q89" s="1083"/>
    </row>
    <row r="90" spans="1:17" ht="18" hidden="1" customHeight="1">
      <c r="A90" s="691"/>
      <c r="B90" s="669" t="s">
        <v>1723</v>
      </c>
      <c r="C90" s="631"/>
      <c r="D90" s="179"/>
      <c r="E90" s="179"/>
      <c r="F90" s="641"/>
      <c r="G90" s="20"/>
      <c r="H90" s="20"/>
      <c r="I90" s="973"/>
      <c r="J90" s="974">
        <f>+K90+L90</f>
        <v>9245</v>
      </c>
      <c r="K90" s="974">
        <f>VLOOKUP(B90,'5'!$B$11:$I$23,3,0)</f>
        <v>9245</v>
      </c>
      <c r="L90" s="555"/>
      <c r="M90" s="518">
        <f>K90/$G$88</f>
        <v>0.14428404213811938</v>
      </c>
      <c r="N90" s="518">
        <f>L90/$H$88</f>
        <v>0</v>
      </c>
      <c r="O90" s="518"/>
      <c r="P90" s="518"/>
      <c r="Q90" s="95"/>
    </row>
    <row r="91" spans="1:17">
      <c r="A91" s="691"/>
      <c r="B91" s="669" t="s">
        <v>1483</v>
      </c>
      <c r="C91" s="631"/>
      <c r="D91" s="179"/>
      <c r="E91" s="179"/>
      <c r="F91" s="641"/>
      <c r="G91" s="20"/>
      <c r="H91" s="20"/>
      <c r="I91" s="973"/>
      <c r="J91" s="974">
        <f>+K91+L91</f>
        <v>339894</v>
      </c>
      <c r="K91" s="974"/>
      <c r="L91" s="555">
        <f>VLOOKUP(B91,'5'!$B$11:$I$23,2,0)</f>
        <v>339894</v>
      </c>
      <c r="M91" s="518"/>
      <c r="N91" s="518">
        <f>L91/$H$88</f>
        <v>0.79926538712969541</v>
      </c>
      <c r="O91" s="518"/>
      <c r="P91" s="518"/>
      <c r="Q91" s="697"/>
    </row>
    <row r="92" spans="1:17" ht="18" customHeight="1">
      <c r="A92" s="664">
        <v>2</v>
      </c>
      <c r="B92" s="441" t="s">
        <v>901</v>
      </c>
      <c r="C92" s="357"/>
      <c r="D92" s="357"/>
      <c r="E92" s="357"/>
      <c r="F92" s="21"/>
      <c r="G92" s="21"/>
      <c r="H92" s="21"/>
      <c r="I92" s="970"/>
      <c r="J92" s="971">
        <f>SUM(J93:J100)</f>
        <v>140194</v>
      </c>
      <c r="K92" s="971">
        <f t="shared" ref="K92:L92" si="25">SUM(K93:K100)</f>
        <v>54830</v>
      </c>
      <c r="L92" s="1035">
        <f t="shared" si="25"/>
        <v>85364</v>
      </c>
      <c r="M92" s="518"/>
      <c r="N92" s="518"/>
      <c r="O92" s="512">
        <f>+K92/G88</f>
        <v>0.85571595786188059</v>
      </c>
      <c r="P92" s="512">
        <f>+L92/H88</f>
        <v>0.20073461287030461</v>
      </c>
      <c r="Q92" s="697"/>
    </row>
    <row r="93" spans="1:17" ht="18" customHeight="1">
      <c r="A93" s="691"/>
      <c r="B93" s="673" t="s">
        <v>25</v>
      </c>
      <c r="C93" s="631"/>
      <c r="D93" s="631"/>
      <c r="E93" s="631"/>
      <c r="F93" s="641"/>
      <c r="G93" s="641"/>
      <c r="H93" s="641"/>
      <c r="I93" s="975"/>
      <c r="J93" s="976">
        <f t="shared" ref="J93:J100" si="26">+K93+L93</f>
        <v>2521</v>
      </c>
      <c r="K93" s="974">
        <f>VLOOKUP(B93,'5'!$B$11:$I$23,3,0)</f>
        <v>2521</v>
      </c>
      <c r="L93" s="555">
        <f>VLOOKUP(B93,'5'!$B$11:$I$23,2,0)</f>
        <v>0</v>
      </c>
      <c r="M93" s="522"/>
      <c r="N93" s="522"/>
      <c r="O93" s="522"/>
      <c r="P93" s="522"/>
      <c r="Q93" s="697"/>
    </row>
    <row r="94" spans="1:17" ht="18" customHeight="1">
      <c r="A94" s="691"/>
      <c r="B94" s="673" t="s">
        <v>23</v>
      </c>
      <c r="C94" s="631"/>
      <c r="D94" s="631"/>
      <c r="E94" s="631"/>
      <c r="F94" s="641"/>
      <c r="G94" s="641"/>
      <c r="H94" s="641"/>
      <c r="I94" s="975"/>
      <c r="J94" s="976">
        <f t="shared" si="26"/>
        <v>17681</v>
      </c>
      <c r="K94" s="974">
        <f>VLOOKUP(B94,'5'!$B$11:$I$23,3,0)</f>
        <v>9798</v>
      </c>
      <c r="L94" s="555">
        <f>VLOOKUP(B94,'5'!$B$11:$I$23,2,0)</f>
        <v>7883</v>
      </c>
      <c r="M94" s="522"/>
      <c r="N94" s="522"/>
      <c r="O94" s="522"/>
      <c r="P94" s="522"/>
      <c r="Q94" s="697"/>
    </row>
    <row r="95" spans="1:17" ht="18" customHeight="1">
      <c r="A95" s="691"/>
      <c r="B95" s="673" t="s">
        <v>21</v>
      </c>
      <c r="C95" s="631"/>
      <c r="D95" s="631"/>
      <c r="E95" s="631"/>
      <c r="F95" s="641"/>
      <c r="G95" s="641"/>
      <c r="H95" s="641"/>
      <c r="I95" s="975"/>
      <c r="J95" s="976">
        <f t="shared" si="26"/>
        <v>10547</v>
      </c>
      <c r="K95" s="974">
        <f>VLOOKUP(B95,'5'!$B$11:$I$23,3,0)</f>
        <v>6710</v>
      </c>
      <c r="L95" s="555">
        <f>VLOOKUP(B95,'5'!$B$11:$I$23,2,0)</f>
        <v>3837</v>
      </c>
      <c r="M95" s="522"/>
      <c r="N95" s="522"/>
      <c r="O95" s="522"/>
      <c r="P95" s="522"/>
      <c r="Q95" s="697"/>
    </row>
    <row r="96" spans="1:17" ht="18" customHeight="1">
      <c r="A96" s="691"/>
      <c r="B96" s="673" t="s">
        <v>19</v>
      </c>
      <c r="C96" s="631"/>
      <c r="D96" s="631"/>
      <c r="E96" s="631"/>
      <c r="F96" s="641"/>
      <c r="G96" s="641"/>
      <c r="H96" s="641"/>
      <c r="I96" s="975"/>
      <c r="J96" s="976">
        <f t="shared" si="26"/>
        <v>13681</v>
      </c>
      <c r="K96" s="974">
        <f>VLOOKUP(B96,'5'!$B$11:$I$23,3,0)</f>
        <v>5489</v>
      </c>
      <c r="L96" s="555">
        <f>VLOOKUP(B96,'5'!$B$11:$I$23,2,0)</f>
        <v>8192</v>
      </c>
      <c r="M96" s="522"/>
      <c r="N96" s="522"/>
      <c r="O96" s="522"/>
      <c r="P96" s="522"/>
      <c r="Q96" s="697"/>
    </row>
    <row r="97" spans="1:17" ht="18" customHeight="1">
      <c r="A97" s="691"/>
      <c r="B97" s="673" t="s">
        <v>17</v>
      </c>
      <c r="C97" s="631"/>
      <c r="D97" s="631"/>
      <c r="E97" s="631"/>
      <c r="F97" s="641"/>
      <c r="G97" s="641"/>
      <c r="H97" s="641"/>
      <c r="I97" s="975"/>
      <c r="J97" s="976">
        <f t="shared" si="26"/>
        <v>20937</v>
      </c>
      <c r="K97" s="974">
        <f>VLOOKUP(B97,'5'!$B$11:$I$23,3,0)</f>
        <v>6612</v>
      </c>
      <c r="L97" s="555">
        <f>VLOOKUP(B97,'5'!$B$11:$I$23,2,0)</f>
        <v>14325</v>
      </c>
      <c r="M97" s="522"/>
      <c r="N97" s="522"/>
      <c r="O97" s="522"/>
      <c r="P97" s="522"/>
      <c r="Q97" s="697"/>
    </row>
    <row r="98" spans="1:17" ht="18" customHeight="1">
      <c r="A98" s="691"/>
      <c r="B98" s="673" t="s">
        <v>15</v>
      </c>
      <c r="C98" s="631"/>
      <c r="D98" s="631"/>
      <c r="E98" s="631"/>
      <c r="F98" s="641"/>
      <c r="G98" s="641"/>
      <c r="H98" s="641"/>
      <c r="I98" s="975"/>
      <c r="J98" s="976">
        <f t="shared" si="26"/>
        <v>22178</v>
      </c>
      <c r="K98" s="974">
        <f>VLOOKUP(B98,'5'!$B$11:$I$23,3,0)</f>
        <v>8801</v>
      </c>
      <c r="L98" s="555">
        <f>VLOOKUP(B98,'5'!$B$11:$I$23,2,0)</f>
        <v>13377</v>
      </c>
      <c r="M98" s="522"/>
      <c r="N98" s="522"/>
      <c r="O98" s="522"/>
      <c r="P98" s="522"/>
      <c r="Q98" s="697"/>
    </row>
    <row r="99" spans="1:17" ht="18" customHeight="1">
      <c r="A99" s="691"/>
      <c r="B99" s="673" t="s">
        <v>13</v>
      </c>
      <c r="C99" s="631"/>
      <c r="D99" s="631"/>
      <c r="E99" s="631"/>
      <c r="F99" s="641"/>
      <c r="G99" s="641"/>
      <c r="H99" s="641"/>
      <c r="I99" s="975"/>
      <c r="J99" s="976">
        <f t="shared" si="26"/>
        <v>25593</v>
      </c>
      <c r="K99" s="974">
        <f>VLOOKUP(B99,'5'!$B$11:$I$23,3,0)</f>
        <v>8079</v>
      </c>
      <c r="L99" s="555">
        <f>VLOOKUP(B99,'5'!$B$11:$I$23,2,0)</f>
        <v>17514</v>
      </c>
      <c r="M99" s="522"/>
      <c r="N99" s="522"/>
      <c r="O99" s="522"/>
      <c r="P99" s="522"/>
      <c r="Q99" s="697"/>
    </row>
    <row r="100" spans="1:17" ht="18" customHeight="1">
      <c r="A100" s="691"/>
      <c r="B100" s="673" t="s">
        <v>11</v>
      </c>
      <c r="C100" s="631"/>
      <c r="D100" s="631"/>
      <c r="E100" s="631"/>
      <c r="F100" s="641"/>
      <c r="G100" s="641"/>
      <c r="H100" s="641"/>
      <c r="I100" s="975"/>
      <c r="J100" s="976">
        <f t="shared" si="26"/>
        <v>27056</v>
      </c>
      <c r="K100" s="974">
        <f>VLOOKUP(B100,'5'!$B$11:$I$23,3,0)</f>
        <v>6820</v>
      </c>
      <c r="L100" s="555">
        <f>VLOOKUP(B100,'5'!$B$11:$I$23,2,0)</f>
        <v>20236</v>
      </c>
      <c r="M100" s="522"/>
      <c r="N100" s="522"/>
      <c r="O100" s="522"/>
      <c r="P100" s="522"/>
      <c r="Q100" s="697"/>
    </row>
    <row r="101" spans="1:17" s="175" customFormat="1" ht="18" customHeight="1">
      <c r="A101" s="692" t="s">
        <v>1924</v>
      </c>
      <c r="B101" s="693" t="s">
        <v>1919</v>
      </c>
      <c r="C101" s="635">
        <v>41421</v>
      </c>
      <c r="D101" s="635">
        <v>41421</v>
      </c>
      <c r="E101" s="635">
        <v>0</v>
      </c>
      <c r="F101" s="392">
        <f t="shared" ref="F101:G101" si="27">+F102+F114</f>
        <v>41421</v>
      </c>
      <c r="G101" s="392">
        <f t="shared" si="27"/>
        <v>41421</v>
      </c>
      <c r="H101" s="392">
        <f>+H102+H114</f>
        <v>0</v>
      </c>
      <c r="I101" s="970">
        <f>+H101-E101</f>
        <v>0</v>
      </c>
      <c r="J101" s="978">
        <f t="shared" ref="J101:L101" si="28">+J102+J114</f>
        <v>41421</v>
      </c>
      <c r="K101" s="978">
        <f t="shared" si="28"/>
        <v>41421</v>
      </c>
      <c r="L101" s="1039">
        <f t="shared" si="28"/>
        <v>0</v>
      </c>
      <c r="M101" s="529">
        <f>(K103+K115)/G101</f>
        <v>0.4647883923613626</v>
      </c>
      <c r="N101" s="529"/>
      <c r="O101" s="529">
        <f>(K105+K117)/G101</f>
        <v>0.5352116076386374</v>
      </c>
      <c r="P101" s="529"/>
      <c r="Q101" s="1082"/>
    </row>
    <row r="102" spans="1:17" s="175" customFormat="1" ht="13.5" hidden="1">
      <c r="A102" s="692" t="s">
        <v>701</v>
      </c>
      <c r="B102" s="693" t="s">
        <v>1610</v>
      </c>
      <c r="C102" s="635">
        <v>22349</v>
      </c>
      <c r="D102" s="635">
        <v>22349</v>
      </c>
      <c r="E102" s="635">
        <v>0</v>
      </c>
      <c r="F102" s="392">
        <f>+G102+H102</f>
        <v>22349</v>
      </c>
      <c r="G102" s="392">
        <v>22349</v>
      </c>
      <c r="H102" s="392">
        <v>0</v>
      </c>
      <c r="I102" s="21">
        <f>+H102-E102</f>
        <v>0</v>
      </c>
      <c r="J102" s="523">
        <f t="shared" ref="J102:L102" si="29">+J103+J105</f>
        <v>22349</v>
      </c>
      <c r="K102" s="523">
        <f t="shared" si="29"/>
        <v>22349</v>
      </c>
      <c r="L102" s="1039">
        <f t="shared" si="29"/>
        <v>0</v>
      </c>
      <c r="M102" s="529">
        <f>+M103</f>
        <v>4.3456217860505537E-3</v>
      </c>
      <c r="N102" s="529"/>
      <c r="O102" s="529">
        <f>+O105</f>
        <v>0.5352116076386374</v>
      </c>
      <c r="P102" s="529"/>
      <c r="Q102" s="474"/>
    </row>
    <row r="103" spans="1:17" s="175" customFormat="1" ht="18" hidden="1" customHeight="1">
      <c r="A103" s="664">
        <v>1</v>
      </c>
      <c r="B103" s="441" t="s">
        <v>733</v>
      </c>
      <c r="C103" s="357"/>
      <c r="D103" s="357"/>
      <c r="E103" s="357"/>
      <c r="F103" s="21"/>
      <c r="G103" s="21"/>
      <c r="H103" s="21"/>
      <c r="I103" s="21"/>
      <c r="J103" s="177">
        <f t="shared" ref="J103" si="30">SUM(J104)</f>
        <v>180</v>
      </c>
      <c r="K103" s="177">
        <f t="shared" ref="K103:L103" si="31">SUM(K104)</f>
        <v>180</v>
      </c>
      <c r="L103" s="1035">
        <f t="shared" si="31"/>
        <v>0</v>
      </c>
      <c r="M103" s="512">
        <f>+M104</f>
        <v>4.3456217860505537E-3</v>
      </c>
      <c r="N103" s="524"/>
      <c r="O103" s="524"/>
      <c r="P103" s="524"/>
      <c r="Q103" s="474"/>
    </row>
    <row r="104" spans="1:17" ht="18" hidden="1" customHeight="1">
      <c r="A104" s="691"/>
      <c r="B104" s="669" t="s">
        <v>886</v>
      </c>
      <c r="C104" s="631"/>
      <c r="D104" s="179"/>
      <c r="E104" s="179"/>
      <c r="F104" s="641"/>
      <c r="G104" s="20"/>
      <c r="H104" s="20"/>
      <c r="I104" s="20"/>
      <c r="J104" s="201">
        <f>+K104+L104</f>
        <v>180</v>
      </c>
      <c r="K104" s="201">
        <f>VLOOKUP(B104,'5'!$B$26:$I$36,3,0)</f>
        <v>180</v>
      </c>
      <c r="L104" s="555"/>
      <c r="M104" s="518">
        <f>+K104/G101</f>
        <v>4.3456217860505537E-3</v>
      </c>
      <c r="N104" s="518"/>
      <c r="O104" s="518"/>
      <c r="P104" s="518"/>
      <c r="Q104" s="95"/>
    </row>
    <row r="105" spans="1:17" ht="18" hidden="1" customHeight="1">
      <c r="A105" s="664">
        <v>2</v>
      </c>
      <c r="B105" s="441" t="s">
        <v>901</v>
      </c>
      <c r="C105" s="357"/>
      <c r="D105" s="357"/>
      <c r="E105" s="357"/>
      <c r="F105" s="21"/>
      <c r="G105" s="21"/>
      <c r="H105" s="21"/>
      <c r="I105" s="21"/>
      <c r="J105" s="177">
        <f>SUM(J106:J113)</f>
        <v>22169</v>
      </c>
      <c r="K105" s="177">
        <f t="shared" ref="K105:L105" si="32">SUM(K106:K113)</f>
        <v>22169</v>
      </c>
      <c r="L105" s="1035">
        <f t="shared" si="32"/>
        <v>0</v>
      </c>
      <c r="M105" s="512"/>
      <c r="N105" s="512"/>
      <c r="O105" s="512">
        <f>+K105/G101</f>
        <v>0.5352116076386374</v>
      </c>
      <c r="P105" s="512"/>
      <c r="Q105" s="93"/>
    </row>
    <row r="106" spans="1:17" ht="18" hidden="1" customHeight="1">
      <c r="A106" s="691"/>
      <c r="B106" s="673" t="s">
        <v>25</v>
      </c>
      <c r="C106" s="631"/>
      <c r="D106" s="631"/>
      <c r="E106" s="631"/>
      <c r="F106" s="641"/>
      <c r="G106" s="641"/>
      <c r="H106" s="641"/>
      <c r="I106" s="641"/>
      <c r="J106" s="521">
        <f t="shared" ref="J106:J113" si="33">+K106+L106</f>
        <v>1464</v>
      </c>
      <c r="K106" s="201">
        <f>VLOOKUP(B106,'5'!$B$26:$I$36,3,0)</f>
        <v>1464</v>
      </c>
      <c r="L106" s="1038"/>
      <c r="M106" s="522"/>
      <c r="N106" s="522"/>
      <c r="O106" s="522"/>
      <c r="P106" s="522"/>
      <c r="Q106" s="95"/>
    </row>
    <row r="107" spans="1:17" ht="18" hidden="1" customHeight="1">
      <c r="A107" s="691"/>
      <c r="B107" s="673" t="s">
        <v>23</v>
      </c>
      <c r="C107" s="631"/>
      <c r="D107" s="631"/>
      <c r="E107" s="631"/>
      <c r="F107" s="641"/>
      <c r="G107" s="641"/>
      <c r="H107" s="641"/>
      <c r="I107" s="641"/>
      <c r="J107" s="521">
        <f t="shared" si="33"/>
        <v>2510</v>
      </c>
      <c r="K107" s="201">
        <f>VLOOKUP(B107,'5'!$B$26:$I$36,3,0)</f>
        <v>2510</v>
      </c>
      <c r="L107" s="1038"/>
      <c r="M107" s="522"/>
      <c r="N107" s="522"/>
      <c r="O107" s="522"/>
      <c r="P107" s="522"/>
      <c r="Q107" s="95"/>
    </row>
    <row r="108" spans="1:17" ht="18" hidden="1" customHeight="1">
      <c r="A108" s="691"/>
      <c r="B108" s="673" t="s">
        <v>21</v>
      </c>
      <c r="C108" s="631"/>
      <c r="D108" s="631"/>
      <c r="E108" s="631"/>
      <c r="F108" s="641"/>
      <c r="G108" s="641"/>
      <c r="H108" s="641"/>
      <c r="I108" s="641"/>
      <c r="J108" s="521">
        <f t="shared" si="33"/>
        <v>2091</v>
      </c>
      <c r="K108" s="201">
        <f>VLOOKUP(B108,'5'!$B$26:$I$36,3,0)</f>
        <v>2091</v>
      </c>
      <c r="L108" s="1038"/>
      <c r="M108" s="522"/>
      <c r="N108" s="522"/>
      <c r="O108" s="522"/>
      <c r="P108" s="522"/>
      <c r="Q108" s="95"/>
    </row>
    <row r="109" spans="1:17" ht="18" hidden="1" customHeight="1">
      <c r="A109" s="691"/>
      <c r="B109" s="673" t="s">
        <v>19</v>
      </c>
      <c r="C109" s="631"/>
      <c r="D109" s="631"/>
      <c r="E109" s="631"/>
      <c r="F109" s="641"/>
      <c r="G109" s="641"/>
      <c r="H109" s="641"/>
      <c r="I109" s="641"/>
      <c r="J109" s="521">
        <f t="shared" si="33"/>
        <v>2719</v>
      </c>
      <c r="K109" s="201">
        <f>VLOOKUP(B109,'5'!$B$26:$I$36,3,0)</f>
        <v>2719</v>
      </c>
      <c r="L109" s="1038"/>
      <c r="M109" s="522"/>
      <c r="N109" s="522"/>
      <c r="O109" s="522"/>
      <c r="P109" s="522"/>
      <c r="Q109" s="95"/>
    </row>
    <row r="110" spans="1:17" ht="18" hidden="1" customHeight="1">
      <c r="A110" s="691"/>
      <c r="B110" s="673" t="s">
        <v>17</v>
      </c>
      <c r="C110" s="631"/>
      <c r="D110" s="631"/>
      <c r="E110" s="631"/>
      <c r="F110" s="641"/>
      <c r="G110" s="641"/>
      <c r="H110" s="641"/>
      <c r="I110" s="641"/>
      <c r="J110" s="521">
        <f t="shared" si="33"/>
        <v>3555</v>
      </c>
      <c r="K110" s="201">
        <f>VLOOKUP(B110,'5'!$B$26:$I$36,3,0)</f>
        <v>3555</v>
      </c>
      <c r="L110" s="1038"/>
      <c r="M110" s="522"/>
      <c r="N110" s="522"/>
      <c r="O110" s="522"/>
      <c r="P110" s="522"/>
      <c r="Q110" s="95"/>
    </row>
    <row r="111" spans="1:17" ht="18" hidden="1" customHeight="1">
      <c r="A111" s="691"/>
      <c r="B111" s="673" t="s">
        <v>15</v>
      </c>
      <c r="C111" s="631"/>
      <c r="D111" s="631"/>
      <c r="E111" s="631"/>
      <c r="F111" s="641"/>
      <c r="G111" s="641"/>
      <c r="H111" s="641"/>
      <c r="I111" s="641"/>
      <c r="J111" s="521">
        <f t="shared" si="33"/>
        <v>4601</v>
      </c>
      <c r="K111" s="201">
        <f>VLOOKUP(B111,'5'!$B$26:$I$36,3,0)</f>
        <v>4601</v>
      </c>
      <c r="L111" s="1038"/>
      <c r="M111" s="522"/>
      <c r="N111" s="522"/>
      <c r="O111" s="522"/>
      <c r="P111" s="522"/>
      <c r="Q111" s="95"/>
    </row>
    <row r="112" spans="1:17" ht="18" hidden="1" customHeight="1">
      <c r="A112" s="691"/>
      <c r="B112" s="673" t="s">
        <v>13</v>
      </c>
      <c r="C112" s="631"/>
      <c r="D112" s="631"/>
      <c r="E112" s="631"/>
      <c r="F112" s="641"/>
      <c r="G112" s="641"/>
      <c r="H112" s="641"/>
      <c r="I112" s="641"/>
      <c r="J112" s="521">
        <f t="shared" si="33"/>
        <v>2301</v>
      </c>
      <c r="K112" s="201">
        <f>VLOOKUP(B112,'5'!$B$26:$I$36,3,0)</f>
        <v>2301</v>
      </c>
      <c r="L112" s="1038"/>
      <c r="M112" s="522"/>
      <c r="N112" s="522"/>
      <c r="O112" s="522"/>
      <c r="P112" s="522"/>
      <c r="Q112" s="95"/>
    </row>
    <row r="113" spans="1:17" ht="18" hidden="1" customHeight="1">
      <c r="A113" s="691"/>
      <c r="B113" s="673" t="s">
        <v>11</v>
      </c>
      <c r="C113" s="631"/>
      <c r="D113" s="631"/>
      <c r="E113" s="631"/>
      <c r="F113" s="641"/>
      <c r="G113" s="641"/>
      <c r="H113" s="641"/>
      <c r="I113" s="641"/>
      <c r="J113" s="521">
        <f t="shared" si="33"/>
        <v>2928</v>
      </c>
      <c r="K113" s="201">
        <f>VLOOKUP(B113,'5'!$B$26:$I$36,3,0)</f>
        <v>2928</v>
      </c>
      <c r="L113" s="1038"/>
      <c r="M113" s="522"/>
      <c r="N113" s="522"/>
      <c r="O113" s="522"/>
      <c r="P113" s="522"/>
      <c r="Q113" s="95"/>
    </row>
    <row r="114" spans="1:17" ht="13.5" hidden="1">
      <c r="A114" s="692" t="s">
        <v>701</v>
      </c>
      <c r="B114" s="693" t="s">
        <v>1925</v>
      </c>
      <c r="C114" s="635">
        <v>19072</v>
      </c>
      <c r="D114" s="635">
        <v>19072</v>
      </c>
      <c r="E114" s="635">
        <v>0</v>
      </c>
      <c r="F114" s="392">
        <f>+G114+H114</f>
        <v>19072</v>
      </c>
      <c r="G114" s="392">
        <v>19072</v>
      </c>
      <c r="H114" s="392">
        <v>0</v>
      </c>
      <c r="I114" s="21">
        <f>+H114-E114</f>
        <v>0</v>
      </c>
      <c r="J114" s="523">
        <f t="shared" ref="J114:L114" si="34">+J115+J117</f>
        <v>19072</v>
      </c>
      <c r="K114" s="523">
        <f t="shared" si="34"/>
        <v>19072</v>
      </c>
      <c r="L114" s="1039">
        <f t="shared" si="34"/>
        <v>0</v>
      </c>
      <c r="M114" s="525">
        <f>+M115</f>
        <v>0.46044277057531202</v>
      </c>
      <c r="N114" s="525"/>
      <c r="O114" s="525">
        <f>+O117</f>
        <v>0</v>
      </c>
      <c r="P114" s="525"/>
      <c r="Q114" s="474"/>
    </row>
    <row r="115" spans="1:17" ht="18" hidden="1" customHeight="1">
      <c r="A115" s="664">
        <v>1</v>
      </c>
      <c r="B115" s="441" t="s">
        <v>733</v>
      </c>
      <c r="C115" s="357"/>
      <c r="D115" s="357"/>
      <c r="E115" s="357"/>
      <c r="F115" s="21"/>
      <c r="G115" s="21"/>
      <c r="H115" s="21"/>
      <c r="I115" s="21"/>
      <c r="J115" s="177">
        <f t="shared" ref="J115" si="35">SUM(J116)</f>
        <v>19072</v>
      </c>
      <c r="K115" s="177">
        <f t="shared" ref="K115:L115" si="36">SUM(K116)</f>
        <v>19072</v>
      </c>
      <c r="L115" s="1035">
        <f t="shared" si="36"/>
        <v>0</v>
      </c>
      <c r="M115" s="520">
        <f>+M116</f>
        <v>0.46044277057531202</v>
      </c>
      <c r="N115" s="524"/>
      <c r="O115" s="524"/>
      <c r="P115" s="524"/>
      <c r="Q115" s="474"/>
    </row>
    <row r="116" spans="1:17" ht="18" hidden="1" customHeight="1">
      <c r="A116" s="691"/>
      <c r="B116" s="669" t="s">
        <v>1723</v>
      </c>
      <c r="C116" s="631"/>
      <c r="D116" s="179"/>
      <c r="E116" s="179"/>
      <c r="F116" s="641"/>
      <c r="G116" s="20"/>
      <c r="H116" s="20"/>
      <c r="I116" s="20"/>
      <c r="J116" s="201">
        <f>+K116+L116</f>
        <v>19072</v>
      </c>
      <c r="K116" s="201">
        <f>+'5'!D39</f>
        <v>19072</v>
      </c>
      <c r="L116" s="555"/>
      <c r="M116" s="531">
        <f>K116/G101</f>
        <v>0.46044277057531202</v>
      </c>
      <c r="N116" s="519"/>
      <c r="O116" s="519"/>
      <c r="P116" s="519"/>
      <c r="Q116" s="95"/>
    </row>
    <row r="117" spans="1:17" ht="18" hidden="1" customHeight="1">
      <c r="A117" s="664">
        <v>2</v>
      </c>
      <c r="B117" s="441" t="s">
        <v>901</v>
      </c>
      <c r="C117" s="357"/>
      <c r="D117" s="357"/>
      <c r="E117" s="357"/>
      <c r="F117" s="21"/>
      <c r="G117" s="21"/>
      <c r="H117" s="21"/>
      <c r="I117" s="21"/>
      <c r="J117" s="177"/>
      <c r="K117" s="177"/>
      <c r="L117" s="1035"/>
      <c r="M117" s="519"/>
      <c r="N117" s="519"/>
      <c r="O117" s="532"/>
      <c r="P117" s="519"/>
      <c r="Q117" s="95"/>
    </row>
    <row r="118" spans="1:17" s="175" customFormat="1" ht="18" customHeight="1">
      <c r="A118" s="692" t="s">
        <v>1926</v>
      </c>
      <c r="B118" s="693" t="s">
        <v>1927</v>
      </c>
      <c r="C118" s="635">
        <v>214545</v>
      </c>
      <c r="D118" s="635">
        <v>214545</v>
      </c>
      <c r="E118" s="635">
        <v>0</v>
      </c>
      <c r="F118" s="392">
        <f>+G118+H118</f>
        <v>214545</v>
      </c>
      <c r="G118" s="392">
        <v>214545</v>
      </c>
      <c r="H118" s="392">
        <v>0</v>
      </c>
      <c r="I118" s="970">
        <f>+H118-E118</f>
        <v>0</v>
      </c>
      <c r="J118" s="978">
        <f t="shared" ref="J118:L118" si="37">+J119+J122</f>
        <v>214545</v>
      </c>
      <c r="K118" s="978">
        <f t="shared" si="37"/>
        <v>214545</v>
      </c>
      <c r="L118" s="1039">
        <f t="shared" si="37"/>
        <v>0</v>
      </c>
      <c r="M118" s="529">
        <f>+M119</f>
        <v>0.25356452026381415</v>
      </c>
      <c r="N118" s="525"/>
      <c r="O118" s="525">
        <f>+O122</f>
        <v>0.74643547973618585</v>
      </c>
      <c r="P118" s="525"/>
      <c r="Q118" s="1082"/>
    </row>
    <row r="119" spans="1:17" ht="18" hidden="1" customHeight="1">
      <c r="A119" s="664">
        <v>1</v>
      </c>
      <c r="B119" s="441" t="s">
        <v>733</v>
      </c>
      <c r="C119" s="357"/>
      <c r="D119" s="357"/>
      <c r="E119" s="357"/>
      <c r="F119" s="21"/>
      <c r="G119" s="21"/>
      <c r="H119" s="21"/>
      <c r="I119" s="21"/>
      <c r="J119" s="177">
        <f t="shared" ref="J119:L119" si="38">SUM(J120:J121)</f>
        <v>54401</v>
      </c>
      <c r="K119" s="177">
        <f t="shared" si="38"/>
        <v>54401</v>
      </c>
      <c r="L119" s="1035">
        <f t="shared" si="38"/>
        <v>0</v>
      </c>
      <c r="M119" s="512">
        <f>+SUM(M120:M121)</f>
        <v>0.25356452026381415</v>
      </c>
      <c r="N119" s="530"/>
      <c r="O119" s="530"/>
      <c r="P119" s="530"/>
      <c r="Q119" s="442"/>
    </row>
    <row r="120" spans="1:17" hidden="1">
      <c r="A120" s="691"/>
      <c r="B120" s="669" t="s">
        <v>910</v>
      </c>
      <c r="C120" s="631"/>
      <c r="D120" s="631"/>
      <c r="E120" s="631"/>
      <c r="F120" s="641"/>
      <c r="G120" s="641"/>
      <c r="H120" s="641"/>
      <c r="I120" s="641"/>
      <c r="J120" s="201">
        <f>+K120+L120</f>
        <v>12290</v>
      </c>
      <c r="K120" s="521">
        <f>VLOOKUP(B120,'5'!$B$41:$I$53,3,0)</f>
        <v>12290</v>
      </c>
      <c r="L120" s="1038"/>
      <c r="M120" s="533">
        <f>K120/G118</f>
        <v>5.7284019669533198E-2</v>
      </c>
      <c r="N120" s="531"/>
      <c r="O120" s="531"/>
      <c r="P120" s="531"/>
      <c r="Q120" s="95"/>
    </row>
    <row r="121" spans="1:17" s="50" customFormat="1" ht="18" hidden="1" customHeight="1">
      <c r="A121" s="13"/>
      <c r="B121" s="669" t="s">
        <v>1928</v>
      </c>
      <c r="C121" s="179"/>
      <c r="D121" s="179"/>
      <c r="E121" s="179"/>
      <c r="F121" s="20"/>
      <c r="G121" s="20"/>
      <c r="H121" s="20"/>
      <c r="I121" s="20"/>
      <c r="J121" s="201">
        <f>+K121+L121</f>
        <v>42111</v>
      </c>
      <c r="K121" s="521">
        <f>VLOOKUP(B121,'5'!$B$41:$I$53,3,0)</f>
        <v>42111</v>
      </c>
      <c r="L121" s="555"/>
      <c r="M121" s="533">
        <f>K121/G118</f>
        <v>0.19628050059428093</v>
      </c>
      <c r="N121" s="531"/>
      <c r="O121" s="531"/>
      <c r="P121" s="531"/>
      <c r="Q121" s="95"/>
    </row>
    <row r="122" spans="1:17" s="50" customFormat="1" ht="18" hidden="1" customHeight="1">
      <c r="A122" s="664">
        <v>2</v>
      </c>
      <c r="B122" s="441" t="s">
        <v>901</v>
      </c>
      <c r="C122" s="357"/>
      <c r="D122" s="357"/>
      <c r="E122" s="357"/>
      <c r="F122" s="21"/>
      <c r="G122" s="21"/>
      <c r="H122" s="21"/>
      <c r="I122" s="21"/>
      <c r="J122" s="177">
        <f>SUM(J123:J130)</f>
        <v>160144</v>
      </c>
      <c r="K122" s="177">
        <f t="shared" ref="K122:L122" si="39">SUM(K123:K130)</f>
        <v>160144</v>
      </c>
      <c r="L122" s="1035">
        <f t="shared" si="39"/>
        <v>0</v>
      </c>
      <c r="M122" s="531"/>
      <c r="N122" s="531"/>
      <c r="O122" s="512">
        <f>+K122/G118</f>
        <v>0.74643547973618585</v>
      </c>
      <c r="P122" s="520"/>
      <c r="Q122" s="95"/>
    </row>
    <row r="123" spans="1:17" ht="18" hidden="1" customHeight="1">
      <c r="A123" s="691"/>
      <c r="B123" s="673" t="s">
        <v>25</v>
      </c>
      <c r="C123" s="631"/>
      <c r="D123" s="631"/>
      <c r="E123" s="631"/>
      <c r="F123" s="641"/>
      <c r="G123" s="641"/>
      <c r="H123" s="641"/>
      <c r="I123" s="641"/>
      <c r="J123" s="521">
        <f t="shared" ref="J123:J130" si="40">+K123+L123</f>
        <v>7735</v>
      </c>
      <c r="K123" s="521">
        <f>VLOOKUP(B123,'5'!$B$41:$I$53,3,0)</f>
        <v>7735</v>
      </c>
      <c r="L123" s="1038">
        <v>0</v>
      </c>
      <c r="M123" s="522"/>
      <c r="N123" s="522"/>
      <c r="O123" s="522"/>
      <c r="P123" s="522"/>
      <c r="Q123" s="95"/>
    </row>
    <row r="124" spans="1:17" ht="18" hidden="1" customHeight="1">
      <c r="A124" s="691"/>
      <c r="B124" s="673" t="s">
        <v>23</v>
      </c>
      <c r="C124" s="631"/>
      <c r="D124" s="631"/>
      <c r="E124" s="631"/>
      <c r="F124" s="641"/>
      <c r="G124" s="641"/>
      <c r="H124" s="641"/>
      <c r="I124" s="641"/>
      <c r="J124" s="521">
        <f t="shared" si="40"/>
        <v>23633</v>
      </c>
      <c r="K124" s="521">
        <f>VLOOKUP(B124,'5'!$B$41:$I$53,3,0)</f>
        <v>23633</v>
      </c>
      <c r="L124" s="1038">
        <v>0</v>
      </c>
      <c r="M124" s="522"/>
      <c r="N124" s="522"/>
      <c r="O124" s="522"/>
      <c r="P124" s="522"/>
      <c r="Q124" s="95"/>
    </row>
    <row r="125" spans="1:17" ht="18" hidden="1" customHeight="1">
      <c r="A125" s="691"/>
      <c r="B125" s="673" t="s">
        <v>21</v>
      </c>
      <c r="C125" s="631"/>
      <c r="D125" s="631"/>
      <c r="E125" s="631"/>
      <c r="F125" s="641"/>
      <c r="G125" s="641"/>
      <c r="H125" s="641"/>
      <c r="I125" s="641"/>
      <c r="J125" s="521">
        <f t="shared" si="40"/>
        <v>21484</v>
      </c>
      <c r="K125" s="521">
        <f>VLOOKUP(B125,'5'!$B$41:$I$53,3,0)</f>
        <v>21484</v>
      </c>
      <c r="L125" s="1038">
        <v>0</v>
      </c>
      <c r="M125" s="522"/>
      <c r="N125" s="522"/>
      <c r="O125" s="522"/>
      <c r="P125" s="522"/>
      <c r="Q125" s="95"/>
    </row>
    <row r="126" spans="1:17" ht="18" hidden="1" customHeight="1">
      <c r="A126" s="691"/>
      <c r="B126" s="673" t="s">
        <v>19</v>
      </c>
      <c r="C126" s="631"/>
      <c r="D126" s="631"/>
      <c r="E126" s="631"/>
      <c r="F126" s="641"/>
      <c r="G126" s="641"/>
      <c r="H126" s="641"/>
      <c r="I126" s="641"/>
      <c r="J126" s="521">
        <f t="shared" si="40"/>
        <v>21484</v>
      </c>
      <c r="K126" s="521">
        <f>VLOOKUP(B126,'5'!$B$41:$I$53,3,0)</f>
        <v>21484</v>
      </c>
      <c r="L126" s="1038">
        <v>0</v>
      </c>
      <c r="M126" s="522"/>
      <c r="N126" s="522"/>
      <c r="O126" s="522"/>
      <c r="P126" s="522"/>
      <c r="Q126" s="95"/>
    </row>
    <row r="127" spans="1:17" ht="18" hidden="1" customHeight="1">
      <c r="A127" s="691"/>
      <c r="B127" s="673" t="s">
        <v>17</v>
      </c>
      <c r="C127" s="631"/>
      <c r="D127" s="631"/>
      <c r="E127" s="631"/>
      <c r="F127" s="641"/>
      <c r="G127" s="641"/>
      <c r="H127" s="641"/>
      <c r="I127" s="641"/>
      <c r="J127" s="521">
        <f t="shared" si="40"/>
        <v>25652</v>
      </c>
      <c r="K127" s="521">
        <f>VLOOKUP(B127,'5'!$B$41:$I$53,3,0)</f>
        <v>25652</v>
      </c>
      <c r="L127" s="1038">
        <v>0</v>
      </c>
      <c r="M127" s="522"/>
      <c r="N127" s="522"/>
      <c r="O127" s="522"/>
      <c r="P127" s="522"/>
      <c r="Q127" s="95"/>
    </row>
    <row r="128" spans="1:17" ht="18" hidden="1" customHeight="1">
      <c r="A128" s="691"/>
      <c r="B128" s="673" t="s">
        <v>15</v>
      </c>
      <c r="C128" s="631"/>
      <c r="D128" s="631"/>
      <c r="E128" s="631"/>
      <c r="F128" s="641"/>
      <c r="G128" s="641"/>
      <c r="H128" s="641"/>
      <c r="I128" s="641"/>
      <c r="J128" s="521">
        <f t="shared" si="40"/>
        <v>25781</v>
      </c>
      <c r="K128" s="521">
        <f>VLOOKUP(B128,'5'!$B$41:$I$53,3,0)</f>
        <v>25781</v>
      </c>
      <c r="L128" s="1038">
        <v>0</v>
      </c>
      <c r="M128" s="522"/>
      <c r="N128" s="522"/>
      <c r="O128" s="522"/>
      <c r="P128" s="522"/>
      <c r="Q128" s="95"/>
    </row>
    <row r="129" spans="1:18" ht="18" hidden="1" customHeight="1">
      <c r="A129" s="691"/>
      <c r="B129" s="673" t="s">
        <v>13</v>
      </c>
      <c r="C129" s="631"/>
      <c r="D129" s="631"/>
      <c r="E129" s="631"/>
      <c r="F129" s="641"/>
      <c r="G129" s="641"/>
      <c r="H129" s="641"/>
      <c r="I129" s="641"/>
      <c r="J129" s="521">
        <f t="shared" si="40"/>
        <v>12891</v>
      </c>
      <c r="K129" s="521">
        <f>VLOOKUP(B129,'5'!$B$41:$I$53,3,0)</f>
        <v>12891</v>
      </c>
      <c r="L129" s="1038">
        <v>0</v>
      </c>
      <c r="M129" s="522"/>
      <c r="N129" s="522"/>
      <c r="O129" s="522"/>
      <c r="P129" s="522"/>
      <c r="Q129" s="95"/>
    </row>
    <row r="130" spans="1:18" ht="18" hidden="1" customHeight="1">
      <c r="A130" s="691"/>
      <c r="B130" s="673" t="s">
        <v>11</v>
      </c>
      <c r="C130" s="631"/>
      <c r="D130" s="631"/>
      <c r="E130" s="631"/>
      <c r="F130" s="641"/>
      <c r="G130" s="641"/>
      <c r="H130" s="641"/>
      <c r="I130" s="641"/>
      <c r="J130" s="521">
        <f t="shared" si="40"/>
        <v>21484</v>
      </c>
      <c r="K130" s="521">
        <f>VLOOKUP(B130,'5'!$B$41:$I$53,3,0)</f>
        <v>21484</v>
      </c>
      <c r="L130" s="1038">
        <v>0</v>
      </c>
      <c r="M130" s="522"/>
      <c r="N130" s="522"/>
      <c r="O130" s="522"/>
      <c r="P130" s="522"/>
      <c r="Q130" s="95"/>
    </row>
    <row r="131" spans="1:18" s="175" customFormat="1" ht="18" customHeight="1">
      <c r="A131" s="692" t="s">
        <v>1929</v>
      </c>
      <c r="B131" s="693" t="s">
        <v>1930</v>
      </c>
      <c r="C131" s="635">
        <v>44407</v>
      </c>
      <c r="D131" s="635">
        <v>44407</v>
      </c>
      <c r="E131" s="635">
        <v>0</v>
      </c>
      <c r="F131" s="392">
        <v>44407</v>
      </c>
      <c r="G131" s="392">
        <v>44407</v>
      </c>
      <c r="H131" s="392">
        <v>0</v>
      </c>
      <c r="I131" s="970">
        <f>+H131-E131</f>
        <v>0</v>
      </c>
      <c r="J131" s="978">
        <f t="shared" ref="J131:L131" si="41">+J132+J134</f>
        <v>44407</v>
      </c>
      <c r="K131" s="978">
        <f t="shared" si="41"/>
        <v>44407</v>
      </c>
      <c r="L131" s="1039">
        <f t="shared" si="41"/>
        <v>0</v>
      </c>
      <c r="M131" s="525">
        <f>+M132</f>
        <v>1</v>
      </c>
      <c r="N131" s="525"/>
      <c r="O131" s="525">
        <f>+K131/G131</f>
        <v>1</v>
      </c>
      <c r="P131" s="520"/>
      <c r="Q131" s="1082"/>
    </row>
    <row r="132" spans="1:18" ht="18" hidden="1" customHeight="1">
      <c r="A132" s="664">
        <v>1</v>
      </c>
      <c r="B132" s="441" t="s">
        <v>733</v>
      </c>
      <c r="C132" s="357"/>
      <c r="D132" s="357"/>
      <c r="E132" s="357"/>
      <c r="F132" s="21"/>
      <c r="G132" s="21"/>
      <c r="H132" s="21"/>
      <c r="I132" s="21"/>
      <c r="J132" s="177">
        <f t="shared" ref="J132:L132" si="42">SUM(J133)</f>
        <v>44407</v>
      </c>
      <c r="K132" s="177">
        <f t="shared" si="42"/>
        <v>44407</v>
      </c>
      <c r="L132" s="1035">
        <f t="shared" si="42"/>
        <v>0</v>
      </c>
      <c r="M132" s="520">
        <f>+M133</f>
        <v>1</v>
      </c>
      <c r="N132" s="517"/>
      <c r="O132" s="517"/>
      <c r="P132" s="517"/>
      <c r="Q132" s="442"/>
    </row>
    <row r="133" spans="1:18" ht="18" hidden="1" customHeight="1">
      <c r="A133" s="691"/>
      <c r="B133" s="669" t="s">
        <v>893</v>
      </c>
      <c r="C133" s="631"/>
      <c r="D133" s="179"/>
      <c r="E133" s="179"/>
      <c r="F133" s="641"/>
      <c r="G133" s="20"/>
      <c r="H133" s="20"/>
      <c r="I133" s="20"/>
      <c r="J133" s="201">
        <f>+K133+L133</f>
        <v>44407</v>
      </c>
      <c r="K133" s="201">
        <f>+'5'!D56</f>
        <v>44407</v>
      </c>
      <c r="L133" s="555"/>
      <c r="M133" s="532">
        <f>K133/G131</f>
        <v>1</v>
      </c>
      <c r="N133" s="519"/>
      <c r="O133" s="519"/>
      <c r="P133" s="519"/>
      <c r="Q133" s="95"/>
    </row>
    <row r="134" spans="1:18" ht="18" hidden="1" customHeight="1">
      <c r="A134" s="664">
        <v>2</v>
      </c>
      <c r="B134" s="441" t="s">
        <v>901</v>
      </c>
      <c r="C134" s="357"/>
      <c r="D134" s="357"/>
      <c r="E134" s="357"/>
      <c r="F134" s="21"/>
      <c r="G134" s="21"/>
      <c r="H134" s="21"/>
      <c r="I134" s="21"/>
      <c r="J134" s="177"/>
      <c r="K134" s="177"/>
      <c r="L134" s="1035"/>
      <c r="M134" s="517"/>
      <c r="N134" s="517"/>
      <c r="O134" s="520"/>
      <c r="P134" s="517"/>
      <c r="Q134" s="95"/>
    </row>
    <row r="135" spans="1:18" ht="18" customHeight="1">
      <c r="A135" s="664" t="s">
        <v>31</v>
      </c>
      <c r="B135" s="441" t="s">
        <v>101</v>
      </c>
      <c r="C135" s="357">
        <v>114113</v>
      </c>
      <c r="D135" s="357">
        <v>60154</v>
      </c>
      <c r="E135" s="357">
        <v>53959</v>
      </c>
      <c r="F135" s="21">
        <f>+G135+H135</f>
        <v>114650</v>
      </c>
      <c r="G135" s="21">
        <v>60154</v>
      </c>
      <c r="H135" s="177">
        <v>54496</v>
      </c>
      <c r="I135" s="971">
        <f>+H135-E135</f>
        <v>537</v>
      </c>
      <c r="J135" s="971">
        <f t="shared" ref="J135:L135" si="43">+J136+J138</f>
        <v>114650</v>
      </c>
      <c r="K135" s="971">
        <f t="shared" si="43"/>
        <v>60154</v>
      </c>
      <c r="L135" s="1035">
        <f t="shared" si="43"/>
        <v>54496</v>
      </c>
      <c r="M135" s="520">
        <f>+M136</f>
        <v>0.35098247830568208</v>
      </c>
      <c r="N135" s="520">
        <f>+N136</f>
        <v>0</v>
      </c>
      <c r="O135" s="520">
        <f>+O138</f>
        <v>0.64901752169431792</v>
      </c>
      <c r="P135" s="520">
        <f>+P138</f>
        <v>1</v>
      </c>
      <c r="Q135" s="697" t="s">
        <v>2093</v>
      </c>
    </row>
    <row r="136" spans="1:18" ht="18" customHeight="1">
      <c r="A136" s="664">
        <v>1</v>
      </c>
      <c r="B136" s="441" t="s">
        <v>733</v>
      </c>
      <c r="C136" s="357"/>
      <c r="D136" s="357"/>
      <c r="E136" s="357"/>
      <c r="F136" s="21"/>
      <c r="G136" s="21"/>
      <c r="H136" s="21"/>
      <c r="I136" s="970"/>
      <c r="J136" s="971">
        <f t="shared" ref="J136" si="44">SUM(J137)</f>
        <v>21113</v>
      </c>
      <c r="K136" s="971">
        <f t="shared" ref="K136:L136" si="45">SUM(K137)</f>
        <v>21113</v>
      </c>
      <c r="L136" s="1035">
        <f t="shared" si="45"/>
        <v>0</v>
      </c>
      <c r="M136" s="520">
        <f>+M137</f>
        <v>0.35098247830568208</v>
      </c>
      <c r="N136" s="520">
        <f>+N137</f>
        <v>0</v>
      </c>
      <c r="O136" s="517"/>
      <c r="P136" s="517"/>
      <c r="Q136" s="697"/>
    </row>
    <row r="137" spans="1:18" s="50" customFormat="1">
      <c r="A137" s="13"/>
      <c r="B137" s="669" t="s">
        <v>1981</v>
      </c>
      <c r="C137" s="179"/>
      <c r="D137" s="179"/>
      <c r="E137" s="179"/>
      <c r="F137" s="20"/>
      <c r="G137" s="20"/>
      <c r="H137" s="20"/>
      <c r="I137" s="20"/>
      <c r="J137" s="201">
        <f>+K137+L137</f>
        <v>21113</v>
      </c>
      <c r="K137" s="201">
        <f>VLOOKUP(B137,'6'!B11:D21,3,0)</f>
        <v>21113</v>
      </c>
      <c r="L137" s="555"/>
      <c r="M137" s="532">
        <f>K137/G135</f>
        <v>0.35098247830568208</v>
      </c>
      <c r="N137" s="532">
        <f>L137/H135</f>
        <v>0</v>
      </c>
      <c r="O137" s="519"/>
      <c r="P137" s="519"/>
      <c r="Q137" s="697"/>
      <c r="R137" s="50">
        <f>+G135*0.35</f>
        <v>21053.899999999998</v>
      </c>
    </row>
    <row r="138" spans="1:18" s="50" customFormat="1" ht="18" customHeight="1">
      <c r="A138" s="664">
        <v>2</v>
      </c>
      <c r="B138" s="441" t="s">
        <v>901</v>
      </c>
      <c r="C138" s="357"/>
      <c r="D138" s="357"/>
      <c r="E138" s="357"/>
      <c r="F138" s="21"/>
      <c r="G138" s="21"/>
      <c r="H138" s="21"/>
      <c r="I138" s="970"/>
      <c r="J138" s="971">
        <f>SUM(J139:J146)</f>
        <v>93537</v>
      </c>
      <c r="K138" s="971">
        <f t="shared" ref="K138:L138" si="46">SUM(K139:K146)</f>
        <v>39041</v>
      </c>
      <c r="L138" s="1035">
        <f t="shared" si="46"/>
        <v>54496</v>
      </c>
      <c r="M138" s="519"/>
      <c r="N138" s="519"/>
      <c r="O138" s="520">
        <f>+K138/G135</f>
        <v>0.64901752169431792</v>
      </c>
      <c r="P138" s="520">
        <f>+L138/H135</f>
        <v>1</v>
      </c>
      <c r="Q138" s="1053"/>
    </row>
    <row r="139" spans="1:18" ht="18" customHeight="1">
      <c r="A139" s="691"/>
      <c r="B139" s="673" t="s">
        <v>25</v>
      </c>
      <c r="C139" s="631"/>
      <c r="D139" s="179"/>
      <c r="E139" s="179"/>
      <c r="F139" s="641"/>
      <c r="G139" s="20"/>
      <c r="H139" s="20"/>
      <c r="I139" s="973"/>
      <c r="J139" s="976">
        <f t="shared" ref="J139:J146" si="47">+K139+L139</f>
        <v>13232</v>
      </c>
      <c r="K139" s="974">
        <f>VLOOKUP(B139,'6'!B13:D23,3,0)</f>
        <v>3902</v>
      </c>
      <c r="L139" s="1038">
        <f>VLOOKUP(B139,'6'!$B$11:$E$21,2,0)</f>
        <v>9330</v>
      </c>
      <c r="M139" s="522"/>
      <c r="N139" s="522"/>
      <c r="O139" s="522"/>
      <c r="P139" s="522"/>
      <c r="Q139" s="697"/>
    </row>
    <row r="140" spans="1:18" ht="18" customHeight="1">
      <c r="A140" s="691"/>
      <c r="B140" s="673" t="s">
        <v>23</v>
      </c>
      <c r="C140" s="631"/>
      <c r="D140" s="179"/>
      <c r="E140" s="179"/>
      <c r="F140" s="641"/>
      <c r="G140" s="20"/>
      <c r="H140" s="20"/>
      <c r="I140" s="973"/>
      <c r="J140" s="976">
        <f t="shared" si="47"/>
        <v>7475</v>
      </c>
      <c r="K140" s="974">
        <f>VLOOKUP(B140,'6'!B14:D24,3,0)</f>
        <v>4625</v>
      </c>
      <c r="L140" s="1038">
        <f>VLOOKUP(B140,'6'!$B$11:$E$21,2,0)</f>
        <v>2850</v>
      </c>
      <c r="M140" s="522"/>
      <c r="N140" s="522"/>
      <c r="O140" s="522"/>
      <c r="P140" s="522"/>
      <c r="Q140" s="697"/>
    </row>
    <row r="141" spans="1:18" ht="18" customHeight="1">
      <c r="A141" s="691"/>
      <c r="B141" s="673" t="s">
        <v>21</v>
      </c>
      <c r="C141" s="631"/>
      <c r="D141" s="179"/>
      <c r="E141" s="179"/>
      <c r="F141" s="641"/>
      <c r="G141" s="20"/>
      <c r="H141" s="20"/>
      <c r="I141" s="973"/>
      <c r="J141" s="976">
        <f t="shared" si="47"/>
        <v>4669</v>
      </c>
      <c r="K141" s="974">
        <f>VLOOKUP(B141,'6'!B15:D25,3,0)</f>
        <v>2389</v>
      </c>
      <c r="L141" s="1038">
        <f>VLOOKUP(B141,'6'!$B$11:$E$21,2,0)</f>
        <v>2280</v>
      </c>
      <c r="M141" s="522"/>
      <c r="N141" s="522"/>
      <c r="O141" s="522"/>
      <c r="P141" s="522"/>
      <c r="Q141" s="697"/>
    </row>
    <row r="142" spans="1:18" ht="18" customHeight="1">
      <c r="A142" s="691"/>
      <c r="B142" s="673" t="s">
        <v>19</v>
      </c>
      <c r="C142" s="631"/>
      <c r="D142" s="179"/>
      <c r="E142" s="179"/>
      <c r="F142" s="641"/>
      <c r="G142" s="20"/>
      <c r="H142" s="20"/>
      <c r="I142" s="973"/>
      <c r="J142" s="976">
        <f t="shared" si="47"/>
        <v>20569</v>
      </c>
      <c r="K142" s="974">
        <f>VLOOKUP(B142,'6'!B16:D26,3,0)</f>
        <v>5349</v>
      </c>
      <c r="L142" s="1038">
        <f>VLOOKUP(B142,'6'!$B$11:$E$21,2,0)</f>
        <v>15220</v>
      </c>
      <c r="M142" s="522"/>
      <c r="N142" s="522"/>
      <c r="O142" s="522"/>
      <c r="P142" s="522"/>
      <c r="Q142" s="697"/>
    </row>
    <row r="143" spans="1:18" ht="18" customHeight="1">
      <c r="A143" s="691"/>
      <c r="B143" s="673" t="s">
        <v>17</v>
      </c>
      <c r="C143" s="631"/>
      <c r="D143" s="179"/>
      <c r="E143" s="179"/>
      <c r="F143" s="641"/>
      <c r="G143" s="20"/>
      <c r="H143" s="20"/>
      <c r="I143" s="973"/>
      <c r="J143" s="976">
        <f t="shared" si="47"/>
        <v>10705</v>
      </c>
      <c r="K143" s="974">
        <f>VLOOKUP(B143,'6'!B17:D27,3,0)</f>
        <v>7760</v>
      </c>
      <c r="L143" s="1038">
        <f>VLOOKUP(B143,'6'!$B$11:$E$21,2,0)</f>
        <v>2945</v>
      </c>
      <c r="M143" s="522"/>
      <c r="N143" s="522"/>
      <c r="O143" s="522"/>
      <c r="P143" s="522"/>
      <c r="Q143" s="697"/>
    </row>
    <row r="144" spans="1:18" ht="18" customHeight="1">
      <c r="A144" s="691"/>
      <c r="B144" s="673" t="s">
        <v>15</v>
      </c>
      <c r="C144" s="631"/>
      <c r="D144" s="179"/>
      <c r="E144" s="179"/>
      <c r="F144" s="641"/>
      <c r="G144" s="20"/>
      <c r="H144" s="20"/>
      <c r="I144" s="973"/>
      <c r="J144" s="976">
        <f t="shared" si="47"/>
        <v>7059</v>
      </c>
      <c r="K144" s="974">
        <f>VLOOKUP(B144,'6'!B18:D28,3,0)</f>
        <v>4494</v>
      </c>
      <c r="L144" s="1038">
        <f>VLOOKUP(B144,'6'!$B$11:$E$21,2,0)</f>
        <v>2565</v>
      </c>
      <c r="M144" s="522"/>
      <c r="N144" s="522"/>
      <c r="O144" s="522"/>
      <c r="P144" s="522"/>
      <c r="Q144" s="697"/>
    </row>
    <row r="145" spans="1:17" ht="18" customHeight="1">
      <c r="A145" s="691"/>
      <c r="B145" s="673" t="s">
        <v>13</v>
      </c>
      <c r="C145" s="631"/>
      <c r="D145" s="179"/>
      <c r="E145" s="179"/>
      <c r="F145" s="641"/>
      <c r="G145" s="20"/>
      <c r="H145" s="20"/>
      <c r="I145" s="973"/>
      <c r="J145" s="976">
        <f t="shared" si="47"/>
        <v>7959</v>
      </c>
      <c r="K145" s="974">
        <f>VLOOKUP(B145,'6'!B19:D29,3,0)</f>
        <v>4538</v>
      </c>
      <c r="L145" s="1038">
        <f>VLOOKUP(B145,'6'!$B$11:$E$21,2,0)</f>
        <v>3421</v>
      </c>
      <c r="M145" s="522"/>
      <c r="N145" s="522"/>
      <c r="O145" s="522"/>
      <c r="P145" s="522"/>
      <c r="Q145" s="697"/>
    </row>
    <row r="146" spans="1:17" ht="18" customHeight="1">
      <c r="A146" s="691"/>
      <c r="B146" s="673" t="s">
        <v>11</v>
      </c>
      <c r="C146" s="631"/>
      <c r="D146" s="179"/>
      <c r="E146" s="179"/>
      <c r="F146" s="641"/>
      <c r="G146" s="20"/>
      <c r="H146" s="20"/>
      <c r="I146" s="973"/>
      <c r="J146" s="976">
        <f t="shared" si="47"/>
        <v>21869</v>
      </c>
      <c r="K146" s="974">
        <f>VLOOKUP(B146,'6'!B20:D30,3,0)</f>
        <v>5984</v>
      </c>
      <c r="L146" s="1038">
        <f>VLOOKUP(B146,'6'!$B$11:$E$21,2,0)</f>
        <v>15885</v>
      </c>
      <c r="M146" s="522"/>
      <c r="N146" s="522"/>
      <c r="O146" s="522"/>
      <c r="P146" s="522"/>
      <c r="Q146" s="697"/>
    </row>
    <row r="147" spans="1:17" ht="18" customHeight="1">
      <c r="A147" s="664" t="s">
        <v>80</v>
      </c>
      <c r="B147" s="441" t="s">
        <v>102</v>
      </c>
      <c r="C147" s="357">
        <v>61908</v>
      </c>
      <c r="D147" s="357">
        <v>31923</v>
      </c>
      <c r="E147" s="357">
        <v>29985</v>
      </c>
      <c r="F147" s="21">
        <f>+G147+H147</f>
        <v>61908</v>
      </c>
      <c r="G147" s="21">
        <v>31923</v>
      </c>
      <c r="H147" s="177">
        <v>29985</v>
      </c>
      <c r="I147" s="970">
        <f>+H147-E147</f>
        <v>0</v>
      </c>
      <c r="J147" s="971">
        <f t="shared" ref="J147:L147" si="48">+J148+J151</f>
        <v>61909</v>
      </c>
      <c r="K147" s="971">
        <f t="shared" si="48"/>
        <v>31924</v>
      </c>
      <c r="L147" s="1035">
        <f t="shared" si="48"/>
        <v>29985</v>
      </c>
      <c r="M147" s="520">
        <f>+M148</f>
        <v>1.0000313253766877</v>
      </c>
      <c r="N147" s="520">
        <f>+N148</f>
        <v>1</v>
      </c>
      <c r="O147" s="520">
        <f>+O151</f>
        <v>0</v>
      </c>
      <c r="P147" s="520">
        <f>+P151</f>
        <v>0</v>
      </c>
      <c r="Q147" s="697" t="s">
        <v>2124</v>
      </c>
    </row>
    <row r="148" spans="1:17" ht="18" customHeight="1">
      <c r="A148" s="664">
        <v>1</v>
      </c>
      <c r="B148" s="441" t="s">
        <v>733</v>
      </c>
      <c r="C148" s="357"/>
      <c r="D148" s="357"/>
      <c r="E148" s="357"/>
      <c r="F148" s="21"/>
      <c r="G148" s="21"/>
      <c r="H148" s="21"/>
      <c r="I148" s="970"/>
      <c r="J148" s="971">
        <f>SUM(J149:J150)</f>
        <v>61909</v>
      </c>
      <c r="K148" s="971">
        <f>SUM(K149:K150)</f>
        <v>31924</v>
      </c>
      <c r="L148" s="1035">
        <f>SUM(L149:L150)</f>
        <v>29985</v>
      </c>
      <c r="M148" s="520">
        <f>+SUM(M149:M150)</f>
        <v>1.0000313253766877</v>
      </c>
      <c r="N148" s="520">
        <f>+SUM(N149:N150)</f>
        <v>1</v>
      </c>
      <c r="O148" s="517"/>
      <c r="P148" s="517"/>
      <c r="Q148" s="697"/>
    </row>
    <row r="149" spans="1:17" ht="18" hidden="1" customHeight="1">
      <c r="A149" s="691"/>
      <c r="B149" s="673" t="s">
        <v>697</v>
      </c>
      <c r="C149" s="631"/>
      <c r="D149" s="631"/>
      <c r="E149" s="631"/>
      <c r="F149" s="641"/>
      <c r="G149" s="641"/>
      <c r="H149" s="641"/>
      <c r="I149" s="975"/>
      <c r="J149" s="976">
        <f>+K149+L149</f>
        <v>31924</v>
      </c>
      <c r="K149" s="976">
        <f>+'7'!F12</f>
        <v>31924</v>
      </c>
      <c r="L149" s="1038"/>
      <c r="M149" s="534">
        <f>K149/G147</f>
        <v>1.0000313253766877</v>
      </c>
      <c r="N149" s="534">
        <f>L149/H147</f>
        <v>0</v>
      </c>
      <c r="O149" s="522"/>
      <c r="P149" s="522"/>
      <c r="Q149" s="697"/>
    </row>
    <row r="150" spans="1:17">
      <c r="A150" s="691"/>
      <c r="B150" s="669" t="s">
        <v>1483</v>
      </c>
      <c r="C150" s="631"/>
      <c r="D150" s="631"/>
      <c r="E150" s="631"/>
      <c r="F150" s="641"/>
      <c r="G150" s="641"/>
      <c r="H150" s="641"/>
      <c r="I150" s="975"/>
      <c r="J150" s="976">
        <f>+K150+L150</f>
        <v>29985</v>
      </c>
      <c r="K150" s="976"/>
      <c r="L150" s="1038">
        <f>+'7'!G13</f>
        <v>29985</v>
      </c>
      <c r="M150" s="534"/>
      <c r="N150" s="534">
        <f>L150/H147</f>
        <v>1</v>
      </c>
      <c r="O150" s="522"/>
      <c r="P150" s="522"/>
      <c r="Q150" s="697"/>
    </row>
    <row r="151" spans="1:17" ht="18" hidden="1" customHeight="1">
      <c r="A151" s="664">
        <v>2</v>
      </c>
      <c r="B151" s="441" t="s">
        <v>901</v>
      </c>
      <c r="C151" s="357"/>
      <c r="D151" s="357"/>
      <c r="E151" s="357"/>
      <c r="F151" s="21"/>
      <c r="G151" s="21"/>
      <c r="H151" s="21"/>
      <c r="I151" s="970"/>
      <c r="J151" s="971"/>
      <c r="K151" s="971"/>
      <c r="L151" s="1035"/>
      <c r="M151" s="522"/>
      <c r="N151" s="522"/>
      <c r="O151" s="535"/>
      <c r="P151" s="535"/>
      <c r="Q151" s="697"/>
    </row>
    <row r="152" spans="1:17" ht="18" customHeight="1">
      <c r="A152" s="664" t="s">
        <v>81</v>
      </c>
      <c r="B152" s="441" t="s">
        <v>103</v>
      </c>
      <c r="C152" s="357">
        <v>80223</v>
      </c>
      <c r="D152" s="357">
        <v>80223</v>
      </c>
      <c r="E152" s="357"/>
      <c r="F152" s="21">
        <f>+G152+H152</f>
        <v>80223</v>
      </c>
      <c r="G152" s="21">
        <v>80223</v>
      </c>
      <c r="H152" s="21"/>
      <c r="I152" s="970">
        <f>+H152-E152</f>
        <v>0</v>
      </c>
      <c r="J152" s="971">
        <f t="shared" ref="J152:L152" si="49">+J153+J156</f>
        <v>80223</v>
      </c>
      <c r="K152" s="971">
        <f t="shared" si="49"/>
        <v>80223</v>
      </c>
      <c r="L152" s="1035">
        <f t="shared" si="49"/>
        <v>0</v>
      </c>
      <c r="M152" s="512">
        <f>+M153</f>
        <v>0.22481083978410182</v>
      </c>
      <c r="N152" s="512"/>
      <c r="O152" s="512">
        <f>+O156</f>
        <v>0.77518916021589823</v>
      </c>
      <c r="P152" s="512"/>
      <c r="Q152" s="697" t="s">
        <v>45</v>
      </c>
    </row>
    <row r="153" spans="1:17" ht="18" hidden="1" customHeight="1">
      <c r="A153" s="664">
        <v>1</v>
      </c>
      <c r="B153" s="441" t="s">
        <v>733</v>
      </c>
      <c r="C153" s="357"/>
      <c r="D153" s="357"/>
      <c r="E153" s="357"/>
      <c r="F153" s="21"/>
      <c r="G153" s="21"/>
      <c r="H153" s="21"/>
      <c r="I153" s="21"/>
      <c r="J153" s="177">
        <f>SUM(J154:J155)</f>
        <v>18035</v>
      </c>
      <c r="K153" s="177">
        <f>SUM(K154:K155)</f>
        <v>18035</v>
      </c>
      <c r="L153" s="1035">
        <f>SUM(L154:L155)</f>
        <v>0</v>
      </c>
      <c r="M153" s="512">
        <f>SUM(M154:M155)</f>
        <v>0.22481083978410182</v>
      </c>
      <c r="N153" s="517"/>
      <c r="O153" s="517"/>
      <c r="P153" s="517"/>
      <c r="Q153" s="95"/>
    </row>
    <row r="154" spans="1:17" ht="18" hidden="1" customHeight="1">
      <c r="A154" s="691"/>
      <c r="B154" s="669" t="s">
        <v>1725</v>
      </c>
      <c r="C154" s="631"/>
      <c r="D154" s="179"/>
      <c r="E154" s="179"/>
      <c r="F154" s="641"/>
      <c r="G154" s="20"/>
      <c r="H154" s="20"/>
      <c r="I154" s="20"/>
      <c r="J154" s="201">
        <f>+K154+L154</f>
        <v>14938</v>
      </c>
      <c r="K154" s="201">
        <f>VLOOKUP(B154,'8 SN'!$B$9:$G$673,6,0)</f>
        <v>14938</v>
      </c>
      <c r="L154" s="555"/>
      <c r="M154" s="518">
        <f>+K154/$G$152</f>
        <v>0.18620595091183326</v>
      </c>
      <c r="N154" s="518"/>
      <c r="O154" s="518"/>
      <c r="P154" s="518"/>
      <c r="Q154" s="95"/>
    </row>
    <row r="155" spans="1:17" hidden="1">
      <c r="A155" s="691"/>
      <c r="B155" s="669" t="s">
        <v>910</v>
      </c>
      <c r="C155" s="631"/>
      <c r="D155" s="179"/>
      <c r="E155" s="179"/>
      <c r="F155" s="641"/>
      <c r="G155" s="20"/>
      <c r="H155" s="20"/>
      <c r="I155" s="20"/>
      <c r="J155" s="201">
        <f>+K155+L155</f>
        <v>3097</v>
      </c>
      <c r="K155" s="201">
        <f>VLOOKUP(B155,'8 SN'!$B$9:$G$673,6,0)</f>
        <v>3097</v>
      </c>
      <c r="L155" s="555"/>
      <c r="M155" s="518">
        <f>+K155/$G$152</f>
        <v>3.8604888872268553E-2</v>
      </c>
      <c r="N155" s="518"/>
      <c r="O155" s="518"/>
      <c r="P155" s="518"/>
      <c r="Q155" s="95"/>
    </row>
    <row r="156" spans="1:17" ht="18" hidden="1" customHeight="1">
      <c r="A156" s="664">
        <v>2</v>
      </c>
      <c r="B156" s="441" t="s">
        <v>901</v>
      </c>
      <c r="C156" s="357"/>
      <c r="D156" s="357"/>
      <c r="E156" s="357"/>
      <c r="F156" s="21"/>
      <c r="G156" s="21"/>
      <c r="H156" s="21"/>
      <c r="I156" s="21"/>
      <c r="J156" s="177">
        <f>SUM(J157:J164)</f>
        <v>62188</v>
      </c>
      <c r="K156" s="177">
        <f t="shared" ref="K156:L156" si="50">SUM(K157:K164)</f>
        <v>62188</v>
      </c>
      <c r="L156" s="1035">
        <f t="shared" si="50"/>
        <v>0</v>
      </c>
      <c r="M156" s="518"/>
      <c r="N156" s="518"/>
      <c r="O156" s="512">
        <f>+K156/G152</f>
        <v>0.77518916021589823</v>
      </c>
      <c r="P156" s="512"/>
      <c r="Q156" s="95"/>
    </row>
    <row r="157" spans="1:17" ht="18" hidden="1" customHeight="1">
      <c r="A157" s="691"/>
      <c r="B157" s="673" t="s">
        <v>25</v>
      </c>
      <c r="C157" s="631"/>
      <c r="D157" s="631"/>
      <c r="E157" s="631"/>
      <c r="F157" s="641"/>
      <c r="G157" s="641"/>
      <c r="H157" s="641"/>
      <c r="I157" s="641"/>
      <c r="J157" s="521">
        <f t="shared" ref="J157:J164" si="51">+K157+L157</f>
        <v>661</v>
      </c>
      <c r="K157" s="201">
        <f>VLOOKUP(B157,'8 SN'!$B$9:$G$673,6,0)</f>
        <v>661</v>
      </c>
      <c r="L157" s="1038"/>
      <c r="M157" s="522"/>
      <c r="N157" s="522"/>
      <c r="O157" s="522"/>
      <c r="P157" s="522"/>
      <c r="Q157" s="95"/>
    </row>
    <row r="158" spans="1:17" ht="18" hidden="1" customHeight="1">
      <c r="A158" s="691"/>
      <c r="B158" s="673" t="s">
        <v>23</v>
      </c>
      <c r="C158" s="631"/>
      <c r="D158" s="631"/>
      <c r="E158" s="631"/>
      <c r="F158" s="641"/>
      <c r="G158" s="641"/>
      <c r="H158" s="641"/>
      <c r="I158" s="641"/>
      <c r="J158" s="521">
        <f t="shared" si="51"/>
        <v>6111</v>
      </c>
      <c r="K158" s="201">
        <f>VLOOKUP(B158,'8 SN'!$B$9:$G$673,6,0)</f>
        <v>6111</v>
      </c>
      <c r="L158" s="1038"/>
      <c r="M158" s="522"/>
      <c r="N158" s="522"/>
      <c r="O158" s="522"/>
      <c r="P158" s="522"/>
      <c r="Q158" s="95"/>
    </row>
    <row r="159" spans="1:17" ht="18" hidden="1" customHeight="1">
      <c r="A159" s="691"/>
      <c r="B159" s="673" t="s">
        <v>21</v>
      </c>
      <c r="C159" s="631"/>
      <c r="D159" s="631"/>
      <c r="E159" s="631"/>
      <c r="F159" s="641"/>
      <c r="G159" s="641"/>
      <c r="H159" s="641"/>
      <c r="I159" s="641"/>
      <c r="J159" s="521">
        <f t="shared" si="51"/>
        <v>2478</v>
      </c>
      <c r="K159" s="201">
        <f>VLOOKUP(B159,'8 SN'!$B$9:$G$673,6,0)</f>
        <v>2478</v>
      </c>
      <c r="L159" s="1038"/>
      <c r="M159" s="522"/>
      <c r="N159" s="522"/>
      <c r="O159" s="522"/>
      <c r="P159" s="522"/>
      <c r="Q159" s="95"/>
    </row>
    <row r="160" spans="1:17" ht="18" hidden="1" customHeight="1">
      <c r="A160" s="691"/>
      <c r="B160" s="673" t="s">
        <v>19</v>
      </c>
      <c r="C160" s="631"/>
      <c r="D160" s="631"/>
      <c r="E160" s="631"/>
      <c r="F160" s="641"/>
      <c r="G160" s="641"/>
      <c r="H160" s="641"/>
      <c r="I160" s="641"/>
      <c r="J160" s="521">
        <f t="shared" si="51"/>
        <v>8754</v>
      </c>
      <c r="K160" s="201">
        <f>VLOOKUP(B160,'8 SN'!$B$9:$G$673,6,0)</f>
        <v>8754</v>
      </c>
      <c r="L160" s="1038"/>
      <c r="M160" s="522"/>
      <c r="N160" s="522"/>
      <c r="O160" s="522"/>
      <c r="P160" s="522"/>
      <c r="Q160" s="95"/>
    </row>
    <row r="161" spans="1:17" ht="18" hidden="1" customHeight="1">
      <c r="A161" s="691"/>
      <c r="B161" s="673" t="s">
        <v>17</v>
      </c>
      <c r="C161" s="631"/>
      <c r="D161" s="631"/>
      <c r="E161" s="631"/>
      <c r="F161" s="641"/>
      <c r="G161" s="641"/>
      <c r="H161" s="641"/>
      <c r="I161" s="641"/>
      <c r="J161" s="521">
        <f t="shared" si="51"/>
        <v>12223</v>
      </c>
      <c r="K161" s="201">
        <f>VLOOKUP(B161,'8 SN'!$B$9:$G$673,6,0)</f>
        <v>12223</v>
      </c>
      <c r="L161" s="1038"/>
      <c r="M161" s="522"/>
      <c r="N161" s="522"/>
      <c r="O161" s="522"/>
      <c r="P161" s="522"/>
      <c r="Q161" s="95"/>
    </row>
    <row r="162" spans="1:17" ht="18" hidden="1" customHeight="1">
      <c r="A162" s="691"/>
      <c r="B162" s="673" t="s">
        <v>15</v>
      </c>
      <c r="C162" s="631"/>
      <c r="D162" s="631"/>
      <c r="E162" s="631"/>
      <c r="F162" s="641"/>
      <c r="G162" s="641"/>
      <c r="H162" s="641"/>
      <c r="I162" s="641"/>
      <c r="J162" s="521">
        <f t="shared" si="51"/>
        <v>15609</v>
      </c>
      <c r="K162" s="201">
        <f>VLOOKUP(B162,'8 SN'!$B$9:$G$673,6,0)</f>
        <v>15609</v>
      </c>
      <c r="L162" s="1038"/>
      <c r="M162" s="522"/>
      <c r="N162" s="522"/>
      <c r="O162" s="522"/>
      <c r="P162" s="522"/>
      <c r="Q162" s="95"/>
    </row>
    <row r="163" spans="1:17" ht="18" hidden="1" customHeight="1">
      <c r="A163" s="691"/>
      <c r="B163" s="673" t="s">
        <v>13</v>
      </c>
      <c r="C163" s="631"/>
      <c r="D163" s="631"/>
      <c r="E163" s="631"/>
      <c r="F163" s="641"/>
      <c r="G163" s="641"/>
      <c r="H163" s="641"/>
      <c r="I163" s="641"/>
      <c r="J163" s="521">
        <f t="shared" si="51"/>
        <v>6359</v>
      </c>
      <c r="K163" s="201">
        <f>VLOOKUP(B163,'8 SN'!$B$9:$G$673,6,0)</f>
        <v>6359</v>
      </c>
      <c r="L163" s="1038"/>
      <c r="M163" s="522"/>
      <c r="N163" s="522"/>
      <c r="O163" s="522"/>
      <c r="P163" s="522"/>
      <c r="Q163" s="95"/>
    </row>
    <row r="164" spans="1:17" ht="18" hidden="1" customHeight="1">
      <c r="A164" s="691"/>
      <c r="B164" s="673" t="s">
        <v>11</v>
      </c>
      <c r="C164" s="631"/>
      <c r="D164" s="631"/>
      <c r="E164" s="631"/>
      <c r="F164" s="641"/>
      <c r="G164" s="641"/>
      <c r="H164" s="641"/>
      <c r="I164" s="641"/>
      <c r="J164" s="521">
        <f t="shared" si="51"/>
        <v>9993</v>
      </c>
      <c r="K164" s="201">
        <f>VLOOKUP(B164,'8 SN'!$B$9:$G$673,6,0)</f>
        <v>9993</v>
      </c>
      <c r="L164" s="1038"/>
      <c r="M164" s="522"/>
      <c r="N164" s="522"/>
      <c r="O164" s="522"/>
      <c r="P164" s="522"/>
      <c r="Q164" s="95"/>
    </row>
    <row r="165" spans="1:17" ht="18" customHeight="1">
      <c r="A165" s="664" t="s">
        <v>1472</v>
      </c>
      <c r="B165" s="441" t="s">
        <v>104</v>
      </c>
      <c r="C165" s="357">
        <v>727227</v>
      </c>
      <c r="D165" s="357">
        <v>409865</v>
      </c>
      <c r="E165" s="357">
        <v>317362</v>
      </c>
      <c r="F165" s="21">
        <f t="shared" ref="F165:G165" si="52">+F166+F179</f>
        <v>727227</v>
      </c>
      <c r="G165" s="21">
        <f t="shared" si="52"/>
        <v>409865</v>
      </c>
      <c r="H165" s="21">
        <f>+H166+H179</f>
        <v>317362</v>
      </c>
      <c r="I165" s="970">
        <f>+H165-E165</f>
        <v>0</v>
      </c>
      <c r="J165" s="971">
        <f t="shared" ref="J165:L165" si="53">+J166+J179</f>
        <v>727227.28499999992</v>
      </c>
      <c r="K165" s="971">
        <f t="shared" si="53"/>
        <v>409865.28499999997</v>
      </c>
      <c r="L165" s="1035">
        <f t="shared" si="53"/>
        <v>317362</v>
      </c>
      <c r="M165" s="512">
        <f>+(K167+K180)/G165</f>
        <v>5.2390421236260719E-2</v>
      </c>
      <c r="N165" s="512">
        <f>+(L167+L180)/H9</f>
        <v>0</v>
      </c>
      <c r="O165" s="512">
        <f>+(K170+K184)/G165</f>
        <v>0.94761027411464749</v>
      </c>
      <c r="P165" s="520">
        <f>+(L170+L184)/H166</f>
        <v>1</v>
      </c>
      <c r="Q165" s="697" t="s">
        <v>2103</v>
      </c>
    </row>
    <row r="166" spans="1:17" s="175" customFormat="1" ht="18" customHeight="1">
      <c r="A166" s="692" t="s">
        <v>1931</v>
      </c>
      <c r="B166" s="693" t="s">
        <v>1917</v>
      </c>
      <c r="C166" s="635">
        <v>709086</v>
      </c>
      <c r="D166" s="635">
        <v>391724</v>
      </c>
      <c r="E166" s="635">
        <v>317362</v>
      </c>
      <c r="F166" s="392">
        <f>+G166+H166</f>
        <v>709086</v>
      </c>
      <c r="G166" s="392">
        <v>391724</v>
      </c>
      <c r="H166" s="392">
        <v>317362</v>
      </c>
      <c r="I166" s="970">
        <f>+H166-E166</f>
        <v>0</v>
      </c>
      <c r="J166" s="978">
        <f t="shared" ref="J166:L166" si="54">++J167+J170</f>
        <v>709086.28499999992</v>
      </c>
      <c r="K166" s="978">
        <f t="shared" si="54"/>
        <v>391724.28499999997</v>
      </c>
      <c r="L166" s="1039">
        <f t="shared" si="54"/>
        <v>317362</v>
      </c>
      <c r="M166" s="529">
        <f>+M167</f>
        <v>3.7677037914449971E-2</v>
      </c>
      <c r="N166" s="529"/>
      <c r="O166" s="529">
        <f>+O170</f>
        <v>0.96232368963862303</v>
      </c>
      <c r="P166" s="525">
        <f>+P170</f>
        <v>1</v>
      </c>
      <c r="Q166" s="1082"/>
    </row>
    <row r="167" spans="1:17" s="175" customFormat="1" ht="18" customHeight="1">
      <c r="A167" s="664">
        <v>1</v>
      </c>
      <c r="B167" s="441" t="s">
        <v>733</v>
      </c>
      <c r="C167" s="357"/>
      <c r="D167" s="357"/>
      <c r="E167" s="357"/>
      <c r="F167" s="21"/>
      <c r="G167" s="21"/>
      <c r="H167" s="21"/>
      <c r="I167" s="970"/>
      <c r="J167" s="971">
        <f>SUM(J168:J169)</f>
        <v>14759</v>
      </c>
      <c r="K167" s="971">
        <f>SUM(K168:K169)</f>
        <v>14759</v>
      </c>
      <c r="L167" s="1035">
        <f>SUM(L168:L169)</f>
        <v>0</v>
      </c>
      <c r="M167" s="512">
        <f>SUM(M168:M169)</f>
        <v>3.7677037914449971E-2</v>
      </c>
      <c r="N167" s="524"/>
      <c r="O167" s="524"/>
      <c r="P167" s="524"/>
      <c r="Q167" s="1082"/>
    </row>
    <row r="168" spans="1:17" ht="18" hidden="1" customHeight="1">
      <c r="A168" s="691"/>
      <c r="B168" s="669" t="s">
        <v>893</v>
      </c>
      <c r="C168" s="179"/>
      <c r="D168" s="179"/>
      <c r="E168" s="179"/>
      <c r="F168" s="20"/>
      <c r="G168" s="20"/>
      <c r="H168" s="20"/>
      <c r="I168" s="20"/>
      <c r="J168" s="201">
        <f>+K168+L168</f>
        <v>10959</v>
      </c>
      <c r="K168" s="201">
        <f>VLOOKUP(B168,'9'!$B$11:$I$23,3,0)</f>
        <v>10959</v>
      </c>
      <c r="L168" s="555"/>
      <c r="M168" s="518">
        <f>K168/$G$166</f>
        <v>2.7976330273355731E-2</v>
      </c>
      <c r="N168" s="519"/>
      <c r="O168" s="519"/>
      <c r="P168" s="519"/>
      <c r="Q168" s="95"/>
    </row>
    <row r="169" spans="1:17" ht="18" hidden="1" customHeight="1">
      <c r="A169" s="691"/>
      <c r="B169" s="669" t="s">
        <v>1576</v>
      </c>
      <c r="C169" s="179"/>
      <c r="D169" s="179"/>
      <c r="E169" s="179"/>
      <c r="F169" s="20"/>
      <c r="G169" s="20"/>
      <c r="H169" s="20"/>
      <c r="I169" s="20"/>
      <c r="J169" s="201">
        <f>+K169+L169</f>
        <v>3800</v>
      </c>
      <c r="K169" s="201">
        <f>VLOOKUP(B169,'9'!$B$11:$I$23,3,0)</f>
        <v>3800</v>
      </c>
      <c r="L169" s="555"/>
      <c r="M169" s="518">
        <f>K169/$G$166</f>
        <v>9.7007076410942396E-3</v>
      </c>
      <c r="N169" s="519"/>
      <c r="O169" s="519"/>
      <c r="P169" s="519"/>
      <c r="Q169" s="95"/>
    </row>
    <row r="170" spans="1:17" ht="18" customHeight="1">
      <c r="A170" s="664">
        <v>2</v>
      </c>
      <c r="B170" s="441" t="s">
        <v>901</v>
      </c>
      <c r="C170" s="357"/>
      <c r="D170" s="357"/>
      <c r="E170" s="357"/>
      <c r="F170" s="21"/>
      <c r="G170" s="21"/>
      <c r="H170" s="21"/>
      <c r="I170" s="970"/>
      <c r="J170" s="971">
        <f>SUM(J171:J178)</f>
        <v>694327.28499999992</v>
      </c>
      <c r="K170" s="971">
        <f t="shared" ref="K170:L170" si="55">SUM(K171:K178)</f>
        <v>376965.28499999997</v>
      </c>
      <c r="L170" s="1035">
        <f t="shared" si="55"/>
        <v>317362</v>
      </c>
      <c r="M170" s="519"/>
      <c r="N170" s="519"/>
      <c r="O170" s="512">
        <f>+K170/G166</f>
        <v>0.96232368963862303</v>
      </c>
      <c r="P170" s="520">
        <f>+L170/H166</f>
        <v>1</v>
      </c>
      <c r="Q170" s="697"/>
    </row>
    <row r="171" spans="1:17" ht="18" customHeight="1">
      <c r="A171" s="691"/>
      <c r="B171" s="673" t="s">
        <v>25</v>
      </c>
      <c r="C171" s="631"/>
      <c r="D171" s="631"/>
      <c r="E171" s="631"/>
      <c r="F171" s="641"/>
      <c r="G171" s="641"/>
      <c r="H171" s="641"/>
      <c r="I171" s="975"/>
      <c r="J171" s="976">
        <f t="shared" ref="J171:J178" si="56">+K171+L171</f>
        <v>2894</v>
      </c>
      <c r="K171" s="974">
        <f>VLOOKUP(B171,'9'!$B$11:$I$23,3,0)</f>
        <v>2894</v>
      </c>
      <c r="L171" s="1038">
        <f>VLOOKUP(B171,'9'!$B$11:$I$23,2,0)</f>
        <v>0</v>
      </c>
      <c r="M171" s="522"/>
      <c r="N171" s="522"/>
      <c r="O171" s="522"/>
      <c r="P171" s="522"/>
      <c r="Q171" s="697"/>
    </row>
    <row r="172" spans="1:17" ht="18" customHeight="1">
      <c r="A172" s="691"/>
      <c r="B172" s="673" t="s">
        <v>23</v>
      </c>
      <c r="C172" s="631"/>
      <c r="D172" s="631"/>
      <c r="E172" s="631"/>
      <c r="F172" s="641"/>
      <c r="G172" s="641"/>
      <c r="H172" s="641"/>
      <c r="I172" s="975"/>
      <c r="J172" s="976">
        <f t="shared" si="56"/>
        <v>12511</v>
      </c>
      <c r="K172" s="974">
        <f>VLOOKUP(B172,'9'!$B$11:$I$23,3,0)</f>
        <v>12511</v>
      </c>
      <c r="L172" s="1038">
        <f>VLOOKUP(B172,'9'!$B$11:$I$23,2,0)</f>
        <v>0</v>
      </c>
      <c r="M172" s="522"/>
      <c r="N172" s="522"/>
      <c r="O172" s="522"/>
      <c r="P172" s="522"/>
      <c r="Q172" s="697"/>
    </row>
    <row r="173" spans="1:17" ht="18" customHeight="1">
      <c r="A173" s="691"/>
      <c r="B173" s="673" t="s">
        <v>21</v>
      </c>
      <c r="C173" s="631"/>
      <c r="D173" s="631"/>
      <c r="E173" s="631"/>
      <c r="F173" s="641"/>
      <c r="G173" s="641"/>
      <c r="H173" s="641"/>
      <c r="I173" s="975"/>
      <c r="J173" s="976">
        <f t="shared" si="56"/>
        <v>11234</v>
      </c>
      <c r="K173" s="974">
        <f>VLOOKUP(B173,'9'!$B$11:$I$23,3,0)</f>
        <v>11234</v>
      </c>
      <c r="L173" s="1038">
        <f>VLOOKUP(B173,'9'!$B$11:$I$23,2,0)</f>
        <v>0</v>
      </c>
      <c r="M173" s="522"/>
      <c r="N173" s="522"/>
      <c r="O173" s="522"/>
      <c r="P173" s="522"/>
      <c r="Q173" s="697"/>
    </row>
    <row r="174" spans="1:17" ht="18" customHeight="1">
      <c r="A174" s="691"/>
      <c r="B174" s="673" t="s">
        <v>19</v>
      </c>
      <c r="C174" s="631"/>
      <c r="D174" s="631"/>
      <c r="E174" s="631"/>
      <c r="F174" s="641"/>
      <c r="G174" s="641"/>
      <c r="H174" s="641"/>
      <c r="I174" s="975"/>
      <c r="J174" s="976">
        <f t="shared" si="56"/>
        <v>85067.095000000001</v>
      </c>
      <c r="K174" s="974">
        <f>VLOOKUP(B174,'9'!$B$11:$I$23,3,0)</f>
        <v>45397.095000000001</v>
      </c>
      <c r="L174" s="1038">
        <f>VLOOKUP(B174,'9'!$B$11:$I$23,2,0)</f>
        <v>39670</v>
      </c>
      <c r="M174" s="522"/>
      <c r="N174" s="522"/>
      <c r="O174" s="522"/>
      <c r="P174" s="522"/>
      <c r="Q174" s="697"/>
    </row>
    <row r="175" spans="1:17" ht="18" customHeight="1">
      <c r="A175" s="691"/>
      <c r="B175" s="673" t="s">
        <v>17</v>
      </c>
      <c r="C175" s="631"/>
      <c r="D175" s="631"/>
      <c r="E175" s="631"/>
      <c r="F175" s="641"/>
      <c r="G175" s="641"/>
      <c r="H175" s="641"/>
      <c r="I175" s="975"/>
      <c r="J175" s="976">
        <f t="shared" si="56"/>
        <v>72851</v>
      </c>
      <c r="K175" s="974">
        <f>VLOOKUP(B175,'9'!$B$11:$I$23,3,0)</f>
        <v>72851</v>
      </c>
      <c r="L175" s="1038">
        <f>VLOOKUP(B175,'9'!$B$11:$I$23,2,0)</f>
        <v>0</v>
      </c>
      <c r="M175" s="522"/>
      <c r="N175" s="522"/>
      <c r="O175" s="522"/>
      <c r="P175" s="522"/>
      <c r="Q175" s="697"/>
    </row>
    <row r="176" spans="1:17" ht="18" customHeight="1">
      <c r="A176" s="691"/>
      <c r="B176" s="673" t="s">
        <v>15</v>
      </c>
      <c r="C176" s="631"/>
      <c r="D176" s="631"/>
      <c r="E176" s="631"/>
      <c r="F176" s="641"/>
      <c r="G176" s="641"/>
      <c r="H176" s="641"/>
      <c r="I176" s="975"/>
      <c r="J176" s="976">
        <f t="shared" si="56"/>
        <v>105179.1425</v>
      </c>
      <c r="K176" s="974">
        <f>VLOOKUP(B176,'9'!$B$11:$I$23,3,0)</f>
        <v>75426.142500000002</v>
      </c>
      <c r="L176" s="1038">
        <f>VLOOKUP(B176,'9'!$B$11:$I$23,2,0)</f>
        <v>29753</v>
      </c>
      <c r="M176" s="522"/>
      <c r="N176" s="522"/>
      <c r="O176" s="522"/>
      <c r="P176" s="522"/>
      <c r="Q176" s="697"/>
    </row>
    <row r="177" spans="1:17" ht="18" customHeight="1">
      <c r="A177" s="691"/>
      <c r="B177" s="673" t="s">
        <v>13</v>
      </c>
      <c r="C177" s="631"/>
      <c r="D177" s="631"/>
      <c r="E177" s="631"/>
      <c r="F177" s="641"/>
      <c r="G177" s="641"/>
      <c r="H177" s="641"/>
      <c r="I177" s="975"/>
      <c r="J177" s="976">
        <f t="shared" si="56"/>
        <v>225504</v>
      </c>
      <c r="K177" s="974">
        <f>VLOOKUP(B177,'9'!$B$11:$I$23,3,0)</f>
        <v>66823</v>
      </c>
      <c r="L177" s="1038">
        <f>VLOOKUP(B177,'9'!$B$11:$I$23,2,0)</f>
        <v>158681</v>
      </c>
      <c r="M177" s="522"/>
      <c r="N177" s="522"/>
      <c r="O177" s="522"/>
      <c r="P177" s="522"/>
      <c r="Q177" s="697"/>
    </row>
    <row r="178" spans="1:17" ht="18" customHeight="1">
      <c r="A178" s="691"/>
      <c r="B178" s="673" t="s">
        <v>11</v>
      </c>
      <c r="C178" s="631"/>
      <c r="D178" s="631"/>
      <c r="E178" s="631"/>
      <c r="F178" s="641"/>
      <c r="G178" s="641"/>
      <c r="H178" s="641"/>
      <c r="I178" s="975"/>
      <c r="J178" s="976">
        <f t="shared" si="56"/>
        <v>179087.04749999999</v>
      </c>
      <c r="K178" s="974">
        <f>VLOOKUP(B178,'9'!$B$11:$I$23,3,0)</f>
        <v>89829.047500000001</v>
      </c>
      <c r="L178" s="1038">
        <f>VLOOKUP(B178,'9'!$B$11:$I$23,2,0)</f>
        <v>89258</v>
      </c>
      <c r="M178" s="522"/>
      <c r="N178" s="522"/>
      <c r="O178" s="522"/>
      <c r="P178" s="522"/>
      <c r="Q178" s="697"/>
    </row>
    <row r="179" spans="1:17" s="175" customFormat="1" ht="18" customHeight="1">
      <c r="A179" s="692" t="s">
        <v>1932</v>
      </c>
      <c r="B179" s="693" t="s">
        <v>1919</v>
      </c>
      <c r="C179" s="635">
        <v>18141</v>
      </c>
      <c r="D179" s="635">
        <v>18141</v>
      </c>
      <c r="E179" s="635">
        <v>0</v>
      </c>
      <c r="F179" s="392">
        <f>+G179+H179</f>
        <v>18141</v>
      </c>
      <c r="G179" s="392">
        <v>18141</v>
      </c>
      <c r="H179" s="392">
        <v>0</v>
      </c>
      <c r="I179" s="970">
        <f>+H179-E179</f>
        <v>0</v>
      </c>
      <c r="J179" s="978">
        <f t="shared" ref="J179:L179" si="57">+J180+J184</f>
        <v>18141</v>
      </c>
      <c r="K179" s="978">
        <f t="shared" si="57"/>
        <v>18141</v>
      </c>
      <c r="L179" s="1039">
        <f t="shared" si="57"/>
        <v>0</v>
      </c>
      <c r="M179" s="529">
        <f>+M180</f>
        <v>0.37010087646766987</v>
      </c>
      <c r="N179" s="525"/>
      <c r="O179" s="525">
        <f>+O184</f>
        <v>0.62989912353233013</v>
      </c>
      <c r="P179" s="529"/>
      <c r="Q179" s="1082"/>
    </row>
    <row r="180" spans="1:17" s="175" customFormat="1" ht="18" hidden="1" customHeight="1">
      <c r="A180" s="664">
        <v>1</v>
      </c>
      <c r="B180" s="441" t="s">
        <v>733</v>
      </c>
      <c r="C180" s="357"/>
      <c r="D180" s="357"/>
      <c r="E180" s="357"/>
      <c r="F180" s="21"/>
      <c r="G180" s="21"/>
      <c r="H180" s="21"/>
      <c r="I180" s="21"/>
      <c r="J180" s="177">
        <f>SUM(J181:J183)</f>
        <v>6714</v>
      </c>
      <c r="K180" s="177">
        <f>SUM(K181:K183)</f>
        <v>6714</v>
      </c>
      <c r="L180" s="1035">
        <f>SUM(L181:L183)</f>
        <v>0</v>
      </c>
      <c r="M180" s="512">
        <f>SUM(M181:M183)</f>
        <v>0.37010087646766987</v>
      </c>
      <c r="N180" s="524"/>
      <c r="O180" s="524"/>
      <c r="P180" s="524"/>
      <c r="Q180" s="474"/>
    </row>
    <row r="181" spans="1:17" ht="18" hidden="1" customHeight="1">
      <c r="A181" s="691"/>
      <c r="B181" s="12" t="s">
        <v>893</v>
      </c>
      <c r="C181" s="179"/>
      <c r="D181" s="179"/>
      <c r="E181" s="179"/>
      <c r="F181" s="20"/>
      <c r="G181" s="20"/>
      <c r="H181" s="20"/>
      <c r="I181" s="20"/>
      <c r="J181" s="201">
        <f>+K181+L181</f>
        <v>4073</v>
      </c>
      <c r="K181" s="201">
        <f>VLOOKUP(B181,'9'!$B$24:$I$37,3,0)</f>
        <v>4073</v>
      </c>
      <c r="L181" s="555"/>
      <c r="M181" s="518">
        <f>+K181/$G$179</f>
        <v>0.22451904525660107</v>
      </c>
      <c r="N181" s="519"/>
      <c r="O181" s="519"/>
      <c r="P181" s="519"/>
      <c r="Q181" s="95"/>
    </row>
    <row r="182" spans="1:17" ht="18" hidden="1" customHeight="1">
      <c r="A182" s="691"/>
      <c r="B182" s="148" t="s">
        <v>1309</v>
      </c>
      <c r="C182" s="179"/>
      <c r="D182" s="179"/>
      <c r="E182" s="179"/>
      <c r="F182" s="20"/>
      <c r="G182" s="20"/>
      <c r="H182" s="20"/>
      <c r="I182" s="20"/>
      <c r="J182" s="201">
        <f>+K182+L182</f>
        <v>1654</v>
      </c>
      <c r="K182" s="201">
        <f>VLOOKUP(B182,'9'!$B$24:$I$37,3,0)</f>
        <v>1654</v>
      </c>
      <c r="L182" s="555"/>
      <c r="M182" s="518">
        <f>+K182/$G$179</f>
        <v>9.1174687172702717E-2</v>
      </c>
      <c r="N182" s="519"/>
      <c r="O182" s="519"/>
      <c r="P182" s="519"/>
      <c r="Q182" s="95"/>
    </row>
    <row r="183" spans="1:17" ht="18" hidden="1" customHeight="1">
      <c r="A183" s="691"/>
      <c r="B183" s="148" t="s">
        <v>1723</v>
      </c>
      <c r="C183" s="179"/>
      <c r="D183" s="179"/>
      <c r="E183" s="179"/>
      <c r="F183" s="20"/>
      <c r="G183" s="20"/>
      <c r="H183" s="20"/>
      <c r="I183" s="20"/>
      <c r="J183" s="201">
        <f>+K183+L183</f>
        <v>987</v>
      </c>
      <c r="K183" s="201">
        <f>VLOOKUP(B183,'9'!$B$24:$I$37,3,0)</f>
        <v>987</v>
      </c>
      <c r="L183" s="555"/>
      <c r="M183" s="518">
        <f>+K183/$G$179</f>
        <v>5.4407144038366134E-2</v>
      </c>
      <c r="N183" s="519"/>
      <c r="O183" s="519"/>
      <c r="P183" s="519"/>
      <c r="Q183" s="95"/>
    </row>
    <row r="184" spans="1:17" ht="18" hidden="1" customHeight="1">
      <c r="A184" s="664">
        <v>2</v>
      </c>
      <c r="B184" s="441" t="s">
        <v>901</v>
      </c>
      <c r="C184" s="357"/>
      <c r="D184" s="357"/>
      <c r="E184" s="357"/>
      <c r="F184" s="21"/>
      <c r="G184" s="21"/>
      <c r="H184" s="21"/>
      <c r="I184" s="21"/>
      <c r="J184" s="177">
        <f>SUM(J185:J192)</f>
        <v>11427</v>
      </c>
      <c r="K184" s="177">
        <f t="shared" ref="K184:L184" si="58">SUM(K185:K192)</f>
        <v>11427</v>
      </c>
      <c r="L184" s="1035">
        <f t="shared" si="58"/>
        <v>0</v>
      </c>
      <c r="M184" s="519"/>
      <c r="N184" s="519"/>
      <c r="O184" s="512">
        <f>+K184/G179</f>
        <v>0.62989912353233013</v>
      </c>
      <c r="P184" s="517"/>
      <c r="Q184" s="95"/>
    </row>
    <row r="185" spans="1:17" ht="18" hidden="1" customHeight="1">
      <c r="A185" s="691"/>
      <c r="B185" s="673" t="s">
        <v>25</v>
      </c>
      <c r="C185" s="631"/>
      <c r="D185" s="631"/>
      <c r="E185" s="631"/>
      <c r="F185" s="641"/>
      <c r="G185" s="641"/>
      <c r="H185" s="641"/>
      <c r="I185" s="641"/>
      <c r="J185" s="521">
        <f t="shared" ref="J185:J192" si="59">+K185+L185</f>
        <v>424</v>
      </c>
      <c r="K185" s="201">
        <f>VLOOKUP(B185,'9'!$B$24:$I$37,3,0)</f>
        <v>424</v>
      </c>
      <c r="L185" s="1038">
        <v>0</v>
      </c>
      <c r="M185" s="522"/>
      <c r="N185" s="522"/>
      <c r="O185" s="522"/>
      <c r="P185" s="522"/>
      <c r="Q185" s="95"/>
    </row>
    <row r="186" spans="1:17" ht="18" hidden="1" customHeight="1">
      <c r="A186" s="691"/>
      <c r="B186" s="673" t="s">
        <v>23</v>
      </c>
      <c r="C186" s="631"/>
      <c r="D186" s="631"/>
      <c r="E186" s="631"/>
      <c r="F186" s="641"/>
      <c r="G186" s="641"/>
      <c r="H186" s="641"/>
      <c r="I186" s="641"/>
      <c r="J186" s="521">
        <f t="shared" si="59"/>
        <v>798</v>
      </c>
      <c r="K186" s="201">
        <f>VLOOKUP(B186,'9'!$B$24:$I$37,3,0)</f>
        <v>798</v>
      </c>
      <c r="L186" s="1038">
        <v>0</v>
      </c>
      <c r="M186" s="522"/>
      <c r="N186" s="522"/>
      <c r="O186" s="522"/>
      <c r="P186" s="522"/>
      <c r="Q186" s="95"/>
    </row>
    <row r="187" spans="1:17" ht="18" hidden="1" customHeight="1">
      <c r="A187" s="691"/>
      <c r="B187" s="673" t="s">
        <v>21</v>
      </c>
      <c r="C187" s="631"/>
      <c r="D187" s="631"/>
      <c r="E187" s="631"/>
      <c r="F187" s="641"/>
      <c r="G187" s="641"/>
      <c r="H187" s="641"/>
      <c r="I187" s="641"/>
      <c r="J187" s="521">
        <f t="shared" si="59"/>
        <v>487</v>
      </c>
      <c r="K187" s="201">
        <f>VLOOKUP(B187,'9'!$B$24:$I$37,3,0)</f>
        <v>487</v>
      </c>
      <c r="L187" s="1038">
        <v>0</v>
      </c>
      <c r="M187" s="522"/>
      <c r="N187" s="522"/>
      <c r="O187" s="522"/>
      <c r="P187" s="522"/>
      <c r="Q187" s="95"/>
    </row>
    <row r="188" spans="1:17" ht="18" hidden="1" customHeight="1">
      <c r="A188" s="691"/>
      <c r="B188" s="673" t="s">
        <v>19</v>
      </c>
      <c r="C188" s="631"/>
      <c r="D188" s="631"/>
      <c r="E188" s="631"/>
      <c r="F188" s="641"/>
      <c r="G188" s="641"/>
      <c r="H188" s="641"/>
      <c r="I188" s="641"/>
      <c r="J188" s="521">
        <f t="shared" si="59"/>
        <v>1247</v>
      </c>
      <c r="K188" s="201">
        <f>VLOOKUP(B188,'9'!$B$24:$I$37,3,0)</f>
        <v>1247</v>
      </c>
      <c r="L188" s="1038">
        <v>0</v>
      </c>
      <c r="M188" s="522"/>
      <c r="N188" s="522"/>
      <c r="O188" s="522"/>
      <c r="P188" s="522"/>
      <c r="Q188" s="95"/>
    </row>
    <row r="189" spans="1:17" ht="18" hidden="1" customHeight="1">
      <c r="A189" s="691"/>
      <c r="B189" s="673" t="s">
        <v>17</v>
      </c>
      <c r="C189" s="631"/>
      <c r="D189" s="631"/>
      <c r="E189" s="631"/>
      <c r="F189" s="641"/>
      <c r="G189" s="641"/>
      <c r="H189" s="641"/>
      <c r="I189" s="641"/>
      <c r="J189" s="521">
        <f t="shared" si="59"/>
        <v>2798</v>
      </c>
      <c r="K189" s="201">
        <f>VLOOKUP(B189,'9'!$B$24:$I$37,3,0)</f>
        <v>2798</v>
      </c>
      <c r="L189" s="1038">
        <v>0</v>
      </c>
      <c r="M189" s="522"/>
      <c r="N189" s="522"/>
      <c r="O189" s="522"/>
      <c r="P189" s="522"/>
      <c r="Q189" s="95"/>
    </row>
    <row r="190" spans="1:17" ht="18" hidden="1" customHeight="1">
      <c r="A190" s="691"/>
      <c r="B190" s="673" t="s">
        <v>15</v>
      </c>
      <c r="C190" s="631"/>
      <c r="D190" s="631"/>
      <c r="E190" s="631"/>
      <c r="F190" s="641"/>
      <c r="G190" s="641"/>
      <c r="H190" s="641"/>
      <c r="I190" s="641"/>
      <c r="J190" s="521">
        <f t="shared" si="59"/>
        <v>3055</v>
      </c>
      <c r="K190" s="201">
        <f>VLOOKUP(B190,'9'!$B$24:$I$37,3,0)</f>
        <v>3055</v>
      </c>
      <c r="L190" s="1038">
        <v>0</v>
      </c>
      <c r="M190" s="522"/>
      <c r="N190" s="522"/>
      <c r="O190" s="522"/>
      <c r="P190" s="522"/>
      <c r="Q190" s="95"/>
    </row>
    <row r="191" spans="1:17" ht="18" hidden="1" customHeight="1">
      <c r="A191" s="691"/>
      <c r="B191" s="673" t="s">
        <v>13</v>
      </c>
      <c r="C191" s="631"/>
      <c r="D191" s="631"/>
      <c r="E191" s="631"/>
      <c r="F191" s="641"/>
      <c r="G191" s="641"/>
      <c r="H191" s="641"/>
      <c r="I191" s="641"/>
      <c r="J191" s="521">
        <f t="shared" si="59"/>
        <v>1601</v>
      </c>
      <c r="K191" s="201">
        <f>VLOOKUP(B191,'9'!$B$24:$I$37,3,0)</f>
        <v>1601</v>
      </c>
      <c r="L191" s="1038">
        <v>0</v>
      </c>
      <c r="M191" s="522"/>
      <c r="N191" s="522"/>
      <c r="O191" s="522"/>
      <c r="P191" s="522"/>
      <c r="Q191" s="95"/>
    </row>
    <row r="192" spans="1:17" ht="18" hidden="1" customHeight="1">
      <c r="A192" s="691"/>
      <c r="B192" s="673" t="s">
        <v>11</v>
      </c>
      <c r="C192" s="631"/>
      <c r="D192" s="631"/>
      <c r="E192" s="631"/>
      <c r="F192" s="641"/>
      <c r="G192" s="641"/>
      <c r="H192" s="641"/>
      <c r="I192" s="641"/>
      <c r="J192" s="521">
        <f t="shared" si="59"/>
        <v>1017</v>
      </c>
      <c r="K192" s="201">
        <f>VLOOKUP(B192,'9'!$B$24:$I$37,3,0)</f>
        <v>1017</v>
      </c>
      <c r="L192" s="1038">
        <v>0</v>
      </c>
      <c r="M192" s="522"/>
      <c r="N192" s="522"/>
      <c r="O192" s="522"/>
      <c r="P192" s="522"/>
      <c r="Q192" s="95"/>
    </row>
    <row r="193" spans="1:17" ht="18" customHeight="1">
      <c r="A193" s="664" t="s">
        <v>1933</v>
      </c>
      <c r="B193" s="441" t="s">
        <v>105</v>
      </c>
      <c r="C193" s="357">
        <v>71187</v>
      </c>
      <c r="D193" s="357">
        <v>43573</v>
      </c>
      <c r="E193" s="357">
        <v>27614</v>
      </c>
      <c r="F193" s="21">
        <f t="shared" ref="F193:G193" si="60">+F194+F209+F213</f>
        <v>71187</v>
      </c>
      <c r="G193" s="21">
        <f t="shared" si="60"/>
        <v>43573</v>
      </c>
      <c r="H193" s="21">
        <f>+H194+H209+H213</f>
        <v>27614</v>
      </c>
      <c r="I193" s="970">
        <f>+H193-E193</f>
        <v>0</v>
      </c>
      <c r="J193" s="971">
        <f>+J194+J209+J213</f>
        <v>71188</v>
      </c>
      <c r="K193" s="971">
        <f>+K194+K209+K213</f>
        <v>43574</v>
      </c>
      <c r="L193" s="1035">
        <f>+L194+L209+L213</f>
        <v>27614</v>
      </c>
      <c r="M193" s="520">
        <f>+(K195+K210+K214)/G193</f>
        <v>0.65425837100957018</v>
      </c>
      <c r="N193" s="520">
        <f>+(L195+L210+L214)/H193</f>
        <v>1</v>
      </c>
      <c r="O193" s="520">
        <f>+(K200+K212+K230)/G193</f>
        <v>0.34576457898239737</v>
      </c>
      <c r="P193" s="520">
        <f>+(L200+L212+L230)/H193</f>
        <v>0</v>
      </c>
      <c r="Q193" s="697" t="s">
        <v>2112</v>
      </c>
    </row>
    <row r="194" spans="1:17" s="175" customFormat="1" ht="18" customHeight="1">
      <c r="A194" s="692" t="s">
        <v>1934</v>
      </c>
      <c r="B194" s="693" t="s">
        <v>1917</v>
      </c>
      <c r="C194" s="635">
        <v>27417</v>
      </c>
      <c r="D194" s="635">
        <v>27417</v>
      </c>
      <c r="E194" s="635">
        <v>0</v>
      </c>
      <c r="F194" s="392">
        <f>+G194+H194</f>
        <v>27417</v>
      </c>
      <c r="G194" s="392">
        <v>27417</v>
      </c>
      <c r="H194" s="392">
        <v>0</v>
      </c>
      <c r="I194" s="977"/>
      <c r="J194" s="978">
        <f t="shared" ref="J194:L194" si="61">+J195+J200</f>
        <v>27416</v>
      </c>
      <c r="K194" s="978">
        <f t="shared" si="61"/>
        <v>27416</v>
      </c>
      <c r="L194" s="1039">
        <f t="shared" si="61"/>
        <v>0</v>
      </c>
      <c r="M194" s="525">
        <f>+M195</f>
        <v>0.60276470802786597</v>
      </c>
      <c r="N194" s="525"/>
      <c r="O194" s="525">
        <f>+O200</f>
        <v>0.39719881825144981</v>
      </c>
      <c r="P194" s="525">
        <v>0</v>
      </c>
      <c r="Q194" s="1082"/>
    </row>
    <row r="195" spans="1:17" s="175" customFormat="1" ht="18" hidden="1" customHeight="1">
      <c r="A195" s="664">
        <v>1</v>
      </c>
      <c r="B195" s="441" t="s">
        <v>733</v>
      </c>
      <c r="C195" s="357"/>
      <c r="D195" s="357"/>
      <c r="E195" s="357"/>
      <c r="F195" s="21"/>
      <c r="G195" s="21"/>
      <c r="H195" s="21"/>
      <c r="I195" s="21"/>
      <c r="J195" s="177">
        <f t="shared" ref="J195:L195" si="62">SUM(J196:J199)</f>
        <v>16526</v>
      </c>
      <c r="K195" s="177">
        <f t="shared" si="62"/>
        <v>16526</v>
      </c>
      <c r="L195" s="1035">
        <f t="shared" si="62"/>
        <v>0</v>
      </c>
      <c r="M195" s="520">
        <f>SUM(M196:M199)</f>
        <v>0.60276470802786597</v>
      </c>
      <c r="N195" s="524"/>
      <c r="O195" s="524"/>
      <c r="P195" s="524"/>
      <c r="Q195" s="474"/>
    </row>
    <row r="196" spans="1:17" ht="18" hidden="1" customHeight="1">
      <c r="A196" s="691"/>
      <c r="B196" s="673" t="s">
        <v>893</v>
      </c>
      <c r="C196" s="631"/>
      <c r="D196" s="631"/>
      <c r="E196" s="631"/>
      <c r="F196" s="641"/>
      <c r="G196" s="641"/>
      <c r="H196" s="641"/>
      <c r="I196" s="641"/>
      <c r="J196" s="521">
        <f>+K196+L196</f>
        <v>5091</v>
      </c>
      <c r="K196" s="521">
        <f>VLOOKUP(B196,'10'!$B$11:$I$25,3,0)</f>
        <v>5091</v>
      </c>
      <c r="L196" s="1038"/>
      <c r="M196" s="533">
        <f>K196/$G$194</f>
        <v>0.18568771200350148</v>
      </c>
      <c r="N196" s="530"/>
      <c r="O196" s="530"/>
      <c r="P196" s="530"/>
      <c r="Q196" s="95"/>
    </row>
    <row r="197" spans="1:17" ht="18" hidden="1" customHeight="1">
      <c r="A197" s="691"/>
      <c r="B197" s="673" t="s">
        <v>1309</v>
      </c>
      <c r="C197" s="631"/>
      <c r="D197" s="631"/>
      <c r="E197" s="631"/>
      <c r="F197" s="641"/>
      <c r="G197" s="641"/>
      <c r="H197" s="641"/>
      <c r="I197" s="641"/>
      <c r="J197" s="521">
        <f>+K197+L197</f>
        <v>5215</v>
      </c>
      <c r="K197" s="521">
        <f>VLOOKUP(B197,'10'!$B$11:$I$25,3,0)</f>
        <v>5215</v>
      </c>
      <c r="L197" s="1038"/>
      <c r="M197" s="533">
        <f>K197/$G$194</f>
        <v>0.1902104533683481</v>
      </c>
      <c r="N197" s="530"/>
      <c r="O197" s="530"/>
      <c r="P197" s="530"/>
      <c r="Q197" s="95"/>
    </row>
    <row r="198" spans="1:17" ht="18" hidden="1" customHeight="1">
      <c r="A198" s="691"/>
      <c r="B198" s="669" t="s">
        <v>1310</v>
      </c>
      <c r="C198" s="631"/>
      <c r="D198" s="631"/>
      <c r="E198" s="631"/>
      <c r="F198" s="641"/>
      <c r="G198" s="641"/>
      <c r="H198" s="641"/>
      <c r="I198" s="641"/>
      <c r="J198" s="521">
        <f>+K198+L198</f>
        <v>5220</v>
      </c>
      <c r="K198" s="521">
        <f>VLOOKUP(B198,'10'!$B$11:$I$25,3,0)</f>
        <v>5220</v>
      </c>
      <c r="L198" s="1038"/>
      <c r="M198" s="533">
        <f>K198/$G$194</f>
        <v>0.19039282197176935</v>
      </c>
      <c r="N198" s="522"/>
      <c r="O198" s="522"/>
      <c r="P198" s="522"/>
      <c r="Q198" s="95"/>
    </row>
    <row r="199" spans="1:17" ht="18" hidden="1" customHeight="1">
      <c r="A199" s="691"/>
      <c r="B199" s="669" t="s">
        <v>1728</v>
      </c>
      <c r="C199" s="631"/>
      <c r="D199" s="631"/>
      <c r="E199" s="631"/>
      <c r="F199" s="641"/>
      <c r="G199" s="641"/>
      <c r="H199" s="641"/>
      <c r="I199" s="641"/>
      <c r="J199" s="521">
        <f>+K199+L199</f>
        <v>1000</v>
      </c>
      <c r="K199" s="521">
        <f>VLOOKUP(B199,'10'!$B$11:$I$25,3,0)</f>
        <v>1000</v>
      </c>
      <c r="L199" s="1038"/>
      <c r="M199" s="533">
        <f>K199/$G$194</f>
        <v>3.6473720684247E-2</v>
      </c>
      <c r="N199" s="522"/>
      <c r="O199" s="522"/>
      <c r="P199" s="522"/>
      <c r="Q199" s="95"/>
    </row>
    <row r="200" spans="1:17" ht="18" hidden="1" customHeight="1">
      <c r="A200" s="664">
        <v>2</v>
      </c>
      <c r="B200" s="441" t="s">
        <v>901</v>
      </c>
      <c r="C200" s="357"/>
      <c r="D200" s="357"/>
      <c r="E200" s="357"/>
      <c r="F200" s="21"/>
      <c r="G200" s="21"/>
      <c r="H200" s="21"/>
      <c r="I200" s="21"/>
      <c r="J200" s="177">
        <f>SUM(J201:J208)</f>
        <v>10890</v>
      </c>
      <c r="K200" s="177">
        <f t="shared" ref="K200:L200" si="63">SUM(K201:K208)</f>
        <v>10890</v>
      </c>
      <c r="L200" s="1035">
        <f t="shared" si="63"/>
        <v>0</v>
      </c>
      <c r="M200" s="522"/>
      <c r="N200" s="522"/>
      <c r="O200" s="535">
        <f>+K200/G194</f>
        <v>0.39719881825144981</v>
      </c>
      <c r="P200" s="535">
        <v>0</v>
      </c>
      <c r="Q200" s="95"/>
    </row>
    <row r="201" spans="1:17" ht="18" hidden="1" customHeight="1">
      <c r="A201" s="691"/>
      <c r="B201" s="673" t="s">
        <v>25</v>
      </c>
      <c r="C201" s="631"/>
      <c r="D201" s="631"/>
      <c r="E201" s="631"/>
      <c r="F201" s="641"/>
      <c r="G201" s="641"/>
      <c r="H201" s="641"/>
      <c r="I201" s="641"/>
      <c r="J201" s="521">
        <f t="shared" ref="J201:J208" si="64">+K201+L201</f>
        <v>719</v>
      </c>
      <c r="K201" s="521">
        <f>VLOOKUP(B201,'10'!$B$11:$I$25,3,0)</f>
        <v>719</v>
      </c>
      <c r="L201" s="1038">
        <v>0</v>
      </c>
      <c r="M201" s="522"/>
      <c r="N201" s="522"/>
      <c r="O201" s="522"/>
      <c r="P201" s="522"/>
      <c r="Q201" s="95"/>
    </row>
    <row r="202" spans="1:17" ht="18" hidden="1" customHeight="1">
      <c r="A202" s="691"/>
      <c r="B202" s="673" t="s">
        <v>23</v>
      </c>
      <c r="C202" s="631"/>
      <c r="D202" s="631"/>
      <c r="E202" s="631"/>
      <c r="F202" s="641"/>
      <c r="G202" s="641"/>
      <c r="H202" s="641"/>
      <c r="I202" s="641"/>
      <c r="J202" s="521">
        <f t="shared" si="64"/>
        <v>1233</v>
      </c>
      <c r="K202" s="521">
        <f>VLOOKUP(B202,'10'!$B$11:$I$25,3,0)</f>
        <v>1233</v>
      </c>
      <c r="L202" s="1038">
        <v>0</v>
      </c>
      <c r="M202" s="522"/>
      <c r="N202" s="522"/>
      <c r="O202" s="522"/>
      <c r="P202" s="522"/>
      <c r="Q202" s="95"/>
    </row>
    <row r="203" spans="1:17" ht="18" hidden="1" customHeight="1">
      <c r="A203" s="691"/>
      <c r="B203" s="673" t="s">
        <v>21</v>
      </c>
      <c r="C203" s="631"/>
      <c r="D203" s="631"/>
      <c r="E203" s="631"/>
      <c r="F203" s="641"/>
      <c r="G203" s="641"/>
      <c r="H203" s="641"/>
      <c r="I203" s="641"/>
      <c r="J203" s="521">
        <f t="shared" si="64"/>
        <v>1027</v>
      </c>
      <c r="K203" s="521">
        <f>VLOOKUP(B203,'10'!$B$11:$I$25,3,0)</f>
        <v>1027</v>
      </c>
      <c r="L203" s="1038">
        <v>0</v>
      </c>
      <c r="M203" s="522"/>
      <c r="N203" s="522"/>
      <c r="O203" s="522"/>
      <c r="P203" s="522"/>
      <c r="Q203" s="95"/>
    </row>
    <row r="204" spans="1:17" ht="18" hidden="1" customHeight="1">
      <c r="A204" s="691"/>
      <c r="B204" s="673" t="s">
        <v>19</v>
      </c>
      <c r="C204" s="631"/>
      <c r="D204" s="631"/>
      <c r="E204" s="631"/>
      <c r="F204" s="641"/>
      <c r="G204" s="641"/>
      <c r="H204" s="641"/>
      <c r="I204" s="641"/>
      <c r="J204" s="521">
        <f t="shared" si="64"/>
        <v>1336</v>
      </c>
      <c r="K204" s="521">
        <f>VLOOKUP(B204,'10'!$B$11:$I$25,3,0)</f>
        <v>1336</v>
      </c>
      <c r="L204" s="1038">
        <v>0</v>
      </c>
      <c r="M204" s="522"/>
      <c r="N204" s="522"/>
      <c r="O204" s="522"/>
      <c r="P204" s="522"/>
      <c r="Q204" s="95"/>
    </row>
    <row r="205" spans="1:17" ht="18" hidden="1" customHeight="1">
      <c r="A205" s="691"/>
      <c r="B205" s="673" t="s">
        <v>17</v>
      </c>
      <c r="C205" s="631"/>
      <c r="D205" s="631"/>
      <c r="E205" s="631"/>
      <c r="F205" s="641"/>
      <c r="G205" s="641"/>
      <c r="H205" s="641"/>
      <c r="I205" s="641"/>
      <c r="J205" s="521">
        <f t="shared" si="64"/>
        <v>1747</v>
      </c>
      <c r="K205" s="521">
        <f>VLOOKUP(B205,'10'!$B$11:$I$25,3,0)</f>
        <v>1747</v>
      </c>
      <c r="L205" s="1038">
        <v>0</v>
      </c>
      <c r="M205" s="522"/>
      <c r="N205" s="522"/>
      <c r="O205" s="522"/>
      <c r="P205" s="522"/>
      <c r="Q205" s="95"/>
    </row>
    <row r="206" spans="1:17" ht="18" hidden="1" customHeight="1">
      <c r="A206" s="691"/>
      <c r="B206" s="673" t="s">
        <v>15</v>
      </c>
      <c r="C206" s="631"/>
      <c r="D206" s="631"/>
      <c r="E206" s="631"/>
      <c r="F206" s="641"/>
      <c r="G206" s="641"/>
      <c r="H206" s="641"/>
      <c r="I206" s="641"/>
      <c r="J206" s="521">
        <f t="shared" si="64"/>
        <v>2260</v>
      </c>
      <c r="K206" s="521">
        <f>VLOOKUP(B206,'10'!$B$11:$I$25,3,0)</f>
        <v>2260</v>
      </c>
      <c r="L206" s="1038">
        <v>0</v>
      </c>
      <c r="M206" s="522"/>
      <c r="N206" s="522"/>
      <c r="O206" s="522"/>
      <c r="P206" s="522"/>
      <c r="Q206" s="95"/>
    </row>
    <row r="207" spans="1:17" ht="18" hidden="1" customHeight="1">
      <c r="A207" s="691"/>
      <c r="B207" s="673" t="s">
        <v>13</v>
      </c>
      <c r="C207" s="631"/>
      <c r="D207" s="631"/>
      <c r="E207" s="631"/>
      <c r="F207" s="641"/>
      <c r="G207" s="641"/>
      <c r="H207" s="641"/>
      <c r="I207" s="641"/>
      <c r="J207" s="521">
        <f t="shared" si="64"/>
        <v>1130</v>
      </c>
      <c r="K207" s="521">
        <f>VLOOKUP(B207,'10'!$B$11:$I$25,3,0)</f>
        <v>1130</v>
      </c>
      <c r="L207" s="1038">
        <v>0</v>
      </c>
      <c r="M207" s="522"/>
      <c r="N207" s="522"/>
      <c r="O207" s="522"/>
      <c r="P207" s="522"/>
      <c r="Q207" s="95"/>
    </row>
    <row r="208" spans="1:17" ht="18" hidden="1" customHeight="1">
      <c r="A208" s="691"/>
      <c r="B208" s="673" t="s">
        <v>11</v>
      </c>
      <c r="C208" s="631"/>
      <c r="D208" s="631"/>
      <c r="E208" s="631"/>
      <c r="F208" s="641"/>
      <c r="G208" s="641"/>
      <c r="H208" s="641"/>
      <c r="I208" s="641"/>
      <c r="J208" s="521">
        <f t="shared" si="64"/>
        <v>1438</v>
      </c>
      <c r="K208" s="521">
        <f>VLOOKUP(B208,'10'!$B$11:$I$25,3,0)</f>
        <v>1438</v>
      </c>
      <c r="L208" s="1038">
        <v>0</v>
      </c>
      <c r="M208" s="522"/>
      <c r="N208" s="522"/>
      <c r="O208" s="522"/>
      <c r="P208" s="522"/>
      <c r="Q208" s="95"/>
    </row>
    <row r="209" spans="1:17" s="175" customFormat="1" ht="18" customHeight="1">
      <c r="A209" s="692" t="s">
        <v>1935</v>
      </c>
      <c r="B209" s="693" t="s">
        <v>1919</v>
      </c>
      <c r="C209" s="635">
        <v>34495</v>
      </c>
      <c r="D209" s="635">
        <v>6881</v>
      </c>
      <c r="E209" s="635">
        <v>27614</v>
      </c>
      <c r="F209" s="392">
        <f>+G209+H209</f>
        <v>34495</v>
      </c>
      <c r="G209" s="392">
        <v>6881</v>
      </c>
      <c r="H209" s="392">
        <v>27614</v>
      </c>
      <c r="I209" s="970">
        <f>+H209-E209</f>
        <v>0</v>
      </c>
      <c r="J209" s="978">
        <f t="shared" ref="J209:L209" si="65">+J210+J212</f>
        <v>34495</v>
      </c>
      <c r="K209" s="978">
        <f t="shared" si="65"/>
        <v>6881</v>
      </c>
      <c r="L209" s="1039">
        <f t="shared" si="65"/>
        <v>27614</v>
      </c>
      <c r="M209" s="525">
        <f>+M210</f>
        <v>1</v>
      </c>
      <c r="N209" s="525">
        <f>+N210</f>
        <v>1</v>
      </c>
      <c r="O209" s="525"/>
      <c r="P209" s="525"/>
      <c r="Q209" s="1082"/>
    </row>
    <row r="210" spans="1:17" s="175" customFormat="1" ht="18" customHeight="1">
      <c r="A210" s="664">
        <v>1</v>
      </c>
      <c r="B210" s="441" t="s">
        <v>733</v>
      </c>
      <c r="C210" s="357"/>
      <c r="D210" s="357"/>
      <c r="E210" s="357"/>
      <c r="F210" s="21"/>
      <c r="G210" s="21"/>
      <c r="H210" s="21"/>
      <c r="I210" s="970"/>
      <c r="J210" s="971">
        <f t="shared" ref="J210:L210" si="66">SUM(J211)</f>
        <v>34495</v>
      </c>
      <c r="K210" s="971">
        <f t="shared" si="66"/>
        <v>6881</v>
      </c>
      <c r="L210" s="1035">
        <f t="shared" si="66"/>
        <v>27614</v>
      </c>
      <c r="M210" s="520">
        <f>+M211</f>
        <v>1</v>
      </c>
      <c r="N210" s="520">
        <f>+N211</f>
        <v>1</v>
      </c>
      <c r="O210" s="524"/>
      <c r="P210" s="524"/>
      <c r="Q210" s="1082"/>
    </row>
    <row r="211" spans="1:17" ht="18" customHeight="1">
      <c r="A211" s="691"/>
      <c r="B211" s="669" t="s">
        <v>1310</v>
      </c>
      <c r="C211" s="631"/>
      <c r="D211" s="179"/>
      <c r="E211" s="179"/>
      <c r="F211" s="641"/>
      <c r="G211" s="20"/>
      <c r="H211" s="20"/>
      <c r="I211" s="973"/>
      <c r="J211" s="974">
        <f>+K211+L211</f>
        <v>34495</v>
      </c>
      <c r="K211" s="974">
        <f>+'10'!D28</f>
        <v>6881</v>
      </c>
      <c r="L211" s="555">
        <f>+'10'!C28</f>
        <v>27614</v>
      </c>
      <c r="M211" s="532">
        <f>+K211/G209</f>
        <v>1</v>
      </c>
      <c r="N211" s="532">
        <f>+L211/H209</f>
        <v>1</v>
      </c>
      <c r="O211" s="519"/>
      <c r="P211" s="519"/>
      <c r="Q211" s="697"/>
    </row>
    <row r="212" spans="1:17" ht="18" hidden="1" customHeight="1">
      <c r="A212" s="664">
        <v>2</v>
      </c>
      <c r="B212" s="441" t="s">
        <v>901</v>
      </c>
      <c r="C212" s="357"/>
      <c r="D212" s="357"/>
      <c r="E212" s="357"/>
      <c r="F212" s="21"/>
      <c r="G212" s="21"/>
      <c r="H212" s="21"/>
      <c r="I212" s="970"/>
      <c r="J212" s="971"/>
      <c r="K212" s="971"/>
      <c r="L212" s="1035"/>
      <c r="M212" s="519"/>
      <c r="N212" s="519"/>
      <c r="O212" s="520"/>
      <c r="P212" s="520"/>
      <c r="Q212" s="697"/>
    </row>
    <row r="213" spans="1:17" s="175" customFormat="1" ht="18" hidden="1" customHeight="1">
      <c r="A213" s="692" t="s">
        <v>1936</v>
      </c>
      <c r="B213" s="693" t="s">
        <v>1927</v>
      </c>
      <c r="C213" s="635">
        <v>9275</v>
      </c>
      <c r="D213" s="635">
        <v>9275</v>
      </c>
      <c r="E213" s="635">
        <v>0</v>
      </c>
      <c r="F213" s="392">
        <f>+G213+H213</f>
        <v>9275</v>
      </c>
      <c r="G213" s="392">
        <v>9275</v>
      </c>
      <c r="H213" s="392">
        <v>0</v>
      </c>
      <c r="I213" s="970">
        <f>+H213-E213</f>
        <v>0</v>
      </c>
      <c r="J213" s="978">
        <f t="shared" ref="J213:L213" si="67">+J214+J230</f>
        <v>9277</v>
      </c>
      <c r="K213" s="978">
        <f t="shared" si="67"/>
        <v>9277</v>
      </c>
      <c r="L213" s="1039">
        <f t="shared" si="67"/>
        <v>0</v>
      </c>
      <c r="M213" s="525">
        <f>+M214</f>
        <v>0.54997304582210238</v>
      </c>
      <c r="N213" s="525"/>
      <c r="O213" s="525">
        <f>+O230</f>
        <v>0.45024258760107816</v>
      </c>
      <c r="P213" s="525"/>
      <c r="Q213" s="474"/>
    </row>
    <row r="214" spans="1:17" s="175" customFormat="1" ht="18" hidden="1" customHeight="1">
      <c r="A214" s="664">
        <v>1</v>
      </c>
      <c r="B214" s="441" t="s">
        <v>733</v>
      </c>
      <c r="C214" s="357"/>
      <c r="D214" s="357"/>
      <c r="E214" s="357"/>
      <c r="F214" s="21"/>
      <c r="G214" s="21"/>
      <c r="H214" s="21"/>
      <c r="I214" s="21"/>
      <c r="J214" s="177">
        <f>SUM(J215:J229)</f>
        <v>5101</v>
      </c>
      <c r="K214" s="177">
        <f>SUM(K215:K229)</f>
        <v>5101</v>
      </c>
      <c r="L214" s="1035">
        <f t="shared" ref="L214" si="68">SUM(L215)</f>
        <v>0</v>
      </c>
      <c r="M214" s="520">
        <f>SUM(M215:M229)</f>
        <v>0.54997304582210238</v>
      </c>
      <c r="N214" s="525"/>
      <c r="O214" s="525"/>
      <c r="P214" s="525"/>
      <c r="Q214" s="474"/>
    </row>
    <row r="215" spans="1:17" ht="18" hidden="1" customHeight="1">
      <c r="A215" s="691"/>
      <c r="B215" s="669" t="s">
        <v>1721</v>
      </c>
      <c r="C215" s="631"/>
      <c r="D215" s="631"/>
      <c r="E215" s="631"/>
      <c r="F215" s="641"/>
      <c r="G215" s="641"/>
      <c r="H215" s="641"/>
      <c r="I215" s="641"/>
      <c r="J215" s="521">
        <f t="shared" ref="J215:J238" si="69">+K215+L215</f>
        <v>2133</v>
      </c>
      <c r="K215" s="521">
        <f>VLOOKUP(B215,'10'!$B$30:$I$55,3,0)</f>
        <v>2133</v>
      </c>
      <c r="L215" s="1038"/>
      <c r="M215" s="536">
        <f t="shared" ref="M215:M229" si="70">K215/$G$213</f>
        <v>0.22997304582210243</v>
      </c>
      <c r="N215" s="534"/>
      <c r="O215" s="534"/>
      <c r="P215" s="534"/>
      <c r="Q215" s="95"/>
    </row>
    <row r="216" spans="1:17" hidden="1">
      <c r="A216" s="691"/>
      <c r="B216" s="669" t="s">
        <v>1722</v>
      </c>
      <c r="C216" s="631"/>
      <c r="D216" s="631"/>
      <c r="E216" s="631"/>
      <c r="F216" s="641"/>
      <c r="G216" s="641"/>
      <c r="H216" s="641"/>
      <c r="I216" s="641"/>
      <c r="J216" s="521">
        <f t="shared" si="69"/>
        <v>464</v>
      </c>
      <c r="K216" s="521">
        <f>VLOOKUP(B216,'10'!$B$30:$I$55,3,0)</f>
        <v>464</v>
      </c>
      <c r="L216" s="1038"/>
      <c r="M216" s="536">
        <f t="shared" si="70"/>
        <v>5.0026954177897577E-2</v>
      </c>
      <c r="N216" s="534"/>
      <c r="O216" s="534"/>
      <c r="P216" s="534"/>
      <c r="Q216" s="95"/>
    </row>
    <row r="217" spans="1:17" ht="18" hidden="1" customHeight="1">
      <c r="A217" s="691"/>
      <c r="B217" s="669" t="s">
        <v>734</v>
      </c>
      <c r="C217" s="631"/>
      <c r="D217" s="631"/>
      <c r="E217" s="631"/>
      <c r="F217" s="641"/>
      <c r="G217" s="641"/>
      <c r="H217" s="641"/>
      <c r="I217" s="641"/>
      <c r="J217" s="521">
        <f t="shared" si="69"/>
        <v>278</v>
      </c>
      <c r="K217" s="521">
        <f>VLOOKUP(B217,'10'!$B$30:$I$55,3,0)</f>
        <v>278</v>
      </c>
      <c r="L217" s="1038"/>
      <c r="M217" s="536">
        <f t="shared" si="70"/>
        <v>2.9973045822102425E-2</v>
      </c>
      <c r="N217" s="534"/>
      <c r="O217" s="534"/>
      <c r="P217" s="534"/>
      <c r="Q217" s="95"/>
    </row>
    <row r="218" spans="1:17" ht="18" hidden="1" customHeight="1">
      <c r="A218" s="691"/>
      <c r="B218" s="669" t="s">
        <v>1723</v>
      </c>
      <c r="C218" s="631"/>
      <c r="D218" s="631"/>
      <c r="E218" s="631"/>
      <c r="F218" s="641"/>
      <c r="G218" s="641"/>
      <c r="H218" s="641"/>
      <c r="I218" s="641"/>
      <c r="J218" s="521">
        <f t="shared" si="69"/>
        <v>278</v>
      </c>
      <c r="K218" s="521">
        <f>VLOOKUP(B218,'10'!$B$30:$I$55,3,0)</f>
        <v>278</v>
      </c>
      <c r="L218" s="1038"/>
      <c r="M218" s="536">
        <f t="shared" si="70"/>
        <v>2.9973045822102425E-2</v>
      </c>
      <c r="N218" s="534"/>
      <c r="O218" s="534"/>
      <c r="P218" s="534"/>
      <c r="Q218" s="95"/>
    </row>
    <row r="219" spans="1:17" hidden="1">
      <c r="A219" s="691"/>
      <c r="B219" s="669" t="s">
        <v>910</v>
      </c>
      <c r="C219" s="631"/>
      <c r="D219" s="631"/>
      <c r="E219" s="631"/>
      <c r="F219" s="641"/>
      <c r="G219" s="641"/>
      <c r="H219" s="641"/>
      <c r="I219" s="641"/>
      <c r="J219" s="521">
        <f t="shared" si="69"/>
        <v>278</v>
      </c>
      <c r="K219" s="521">
        <f>VLOOKUP(B219,'10'!$B$30:$I$55,3,0)</f>
        <v>278</v>
      </c>
      <c r="L219" s="1038"/>
      <c r="M219" s="536">
        <f t="shared" si="70"/>
        <v>2.9973045822102425E-2</v>
      </c>
      <c r="N219" s="534"/>
      <c r="O219" s="534"/>
      <c r="P219" s="534"/>
      <c r="Q219" s="95"/>
    </row>
    <row r="220" spans="1:17" hidden="1">
      <c r="A220" s="691"/>
      <c r="B220" s="669" t="s">
        <v>1948</v>
      </c>
      <c r="C220" s="631"/>
      <c r="D220" s="631"/>
      <c r="E220" s="631"/>
      <c r="F220" s="641"/>
      <c r="G220" s="641"/>
      <c r="H220" s="641"/>
      <c r="I220" s="641"/>
      <c r="J220" s="521">
        <f t="shared" si="69"/>
        <v>278</v>
      </c>
      <c r="K220" s="521">
        <f>VLOOKUP(B220,'10'!$B$30:$I$55,3,0)</f>
        <v>278</v>
      </c>
      <c r="L220" s="1038"/>
      <c r="M220" s="536">
        <f t="shared" si="70"/>
        <v>2.9973045822102425E-2</v>
      </c>
      <c r="N220" s="534"/>
      <c r="O220" s="534"/>
      <c r="P220" s="534"/>
      <c r="Q220" s="95"/>
    </row>
    <row r="221" spans="1:17" ht="18" hidden="1" customHeight="1">
      <c r="A221" s="691"/>
      <c r="B221" s="669" t="s">
        <v>697</v>
      </c>
      <c r="C221" s="631"/>
      <c r="D221" s="631"/>
      <c r="E221" s="631"/>
      <c r="F221" s="641"/>
      <c r="G221" s="641"/>
      <c r="H221" s="641"/>
      <c r="I221" s="641"/>
      <c r="J221" s="521">
        <f t="shared" si="69"/>
        <v>278</v>
      </c>
      <c r="K221" s="521">
        <f>VLOOKUP(B221,'10'!$B$30:$I$55,3,0)</f>
        <v>278</v>
      </c>
      <c r="L221" s="1038"/>
      <c r="M221" s="536">
        <f t="shared" si="70"/>
        <v>2.9973045822102425E-2</v>
      </c>
      <c r="N221" s="534"/>
      <c r="O221" s="534"/>
      <c r="P221" s="534"/>
      <c r="Q221" s="95"/>
    </row>
    <row r="222" spans="1:17" ht="18" hidden="1" customHeight="1">
      <c r="A222" s="691"/>
      <c r="B222" s="669" t="s">
        <v>1702</v>
      </c>
      <c r="C222" s="631"/>
      <c r="D222" s="631"/>
      <c r="E222" s="631"/>
      <c r="F222" s="641"/>
      <c r="G222" s="641"/>
      <c r="H222" s="641"/>
      <c r="I222" s="641"/>
      <c r="J222" s="521">
        <f t="shared" ref="J222" si="71">+K222+L222</f>
        <v>278</v>
      </c>
      <c r="K222" s="521">
        <f>VLOOKUP(B222,'10'!$B$30:$I$55,3,0)</f>
        <v>278</v>
      </c>
      <c r="L222" s="1038"/>
      <c r="M222" s="536">
        <f t="shared" ref="M222" si="72">K222/$G$213</f>
        <v>2.9973045822102425E-2</v>
      </c>
      <c r="N222" s="534"/>
      <c r="O222" s="534"/>
      <c r="P222" s="534"/>
      <c r="Q222" s="95"/>
    </row>
    <row r="223" spans="1:17" ht="18" hidden="1" customHeight="1">
      <c r="A223" s="691"/>
      <c r="B223" s="669" t="s">
        <v>1725</v>
      </c>
      <c r="C223" s="631"/>
      <c r="D223" s="631"/>
      <c r="E223" s="631"/>
      <c r="F223" s="641"/>
      <c r="G223" s="641"/>
      <c r="H223" s="641"/>
      <c r="I223" s="641"/>
      <c r="J223" s="521">
        <f t="shared" si="69"/>
        <v>278</v>
      </c>
      <c r="K223" s="521">
        <f>VLOOKUP(B223,'10'!$B$30:$I$55,3,0)</f>
        <v>278</v>
      </c>
      <c r="L223" s="1038"/>
      <c r="M223" s="536">
        <f t="shared" si="70"/>
        <v>2.9973045822102425E-2</v>
      </c>
      <c r="N223" s="534"/>
      <c r="O223" s="534"/>
      <c r="P223" s="534"/>
      <c r="Q223" s="95"/>
    </row>
    <row r="224" spans="1:17" ht="18" hidden="1" customHeight="1">
      <c r="A224" s="691"/>
      <c r="B224" s="669" t="s">
        <v>1726</v>
      </c>
      <c r="C224" s="631"/>
      <c r="D224" s="631"/>
      <c r="E224" s="631"/>
      <c r="F224" s="641"/>
      <c r="G224" s="641"/>
      <c r="H224" s="641"/>
      <c r="I224" s="641"/>
      <c r="J224" s="521">
        <f t="shared" si="69"/>
        <v>93</v>
      </c>
      <c r="K224" s="521">
        <f>VLOOKUP(B224,'10'!$B$30:$I$55,3,0)</f>
        <v>93</v>
      </c>
      <c r="L224" s="1038"/>
      <c r="M224" s="536">
        <f t="shared" si="70"/>
        <v>1.0026954177897575E-2</v>
      </c>
      <c r="N224" s="534"/>
      <c r="O224" s="534"/>
      <c r="P224" s="534"/>
      <c r="Q224" s="95"/>
    </row>
    <row r="225" spans="1:17" ht="18" hidden="1" customHeight="1">
      <c r="A225" s="691"/>
      <c r="B225" s="669" t="s">
        <v>1727</v>
      </c>
      <c r="C225" s="631"/>
      <c r="D225" s="631"/>
      <c r="E225" s="631"/>
      <c r="F225" s="641"/>
      <c r="G225" s="641"/>
      <c r="H225" s="641"/>
      <c r="I225" s="641"/>
      <c r="J225" s="521">
        <f t="shared" si="69"/>
        <v>93</v>
      </c>
      <c r="K225" s="521">
        <f>VLOOKUP(B225,'10'!$B$30:$I$55,3,0)</f>
        <v>93</v>
      </c>
      <c r="L225" s="1038"/>
      <c r="M225" s="536">
        <f t="shared" si="70"/>
        <v>1.0026954177897575E-2</v>
      </c>
      <c r="N225" s="534"/>
      <c r="O225" s="534"/>
      <c r="P225" s="534"/>
      <c r="Q225" s="95"/>
    </row>
    <row r="226" spans="1:17" ht="18" hidden="1" customHeight="1">
      <c r="A226" s="691"/>
      <c r="B226" s="669" t="s">
        <v>1309</v>
      </c>
      <c r="C226" s="631"/>
      <c r="D226" s="631"/>
      <c r="E226" s="631"/>
      <c r="F226" s="641"/>
      <c r="G226" s="641"/>
      <c r="H226" s="641"/>
      <c r="I226" s="641"/>
      <c r="J226" s="521">
        <f t="shared" si="69"/>
        <v>93</v>
      </c>
      <c r="K226" s="521">
        <f>VLOOKUP(B226,'10'!$B$30:$I$55,3,0)</f>
        <v>93</v>
      </c>
      <c r="L226" s="1038"/>
      <c r="M226" s="536">
        <f t="shared" si="70"/>
        <v>1.0026954177897575E-2</v>
      </c>
      <c r="N226" s="534"/>
      <c r="O226" s="534"/>
      <c r="P226" s="534"/>
      <c r="Q226" s="95"/>
    </row>
    <row r="227" spans="1:17" ht="18" hidden="1" customHeight="1">
      <c r="A227" s="691"/>
      <c r="B227" s="669" t="s">
        <v>735</v>
      </c>
      <c r="C227" s="631"/>
      <c r="D227" s="631"/>
      <c r="E227" s="631"/>
      <c r="F227" s="641"/>
      <c r="G227" s="641"/>
      <c r="H227" s="641"/>
      <c r="I227" s="641"/>
      <c r="J227" s="521">
        <f t="shared" si="69"/>
        <v>93</v>
      </c>
      <c r="K227" s="521">
        <f>VLOOKUP(B227,'10'!$B$30:$I$55,3,0)</f>
        <v>93</v>
      </c>
      <c r="L227" s="1038"/>
      <c r="M227" s="536">
        <f t="shared" si="70"/>
        <v>1.0026954177897575E-2</v>
      </c>
      <c r="N227" s="534"/>
      <c r="O227" s="534"/>
      <c r="P227" s="534"/>
      <c r="Q227" s="95"/>
    </row>
    <row r="228" spans="1:17" ht="18" hidden="1" customHeight="1">
      <c r="A228" s="691"/>
      <c r="B228" s="669" t="s">
        <v>1728</v>
      </c>
      <c r="C228" s="631"/>
      <c r="D228" s="631"/>
      <c r="E228" s="631"/>
      <c r="F228" s="641"/>
      <c r="G228" s="641"/>
      <c r="H228" s="641"/>
      <c r="I228" s="641"/>
      <c r="J228" s="521">
        <f t="shared" si="69"/>
        <v>93</v>
      </c>
      <c r="K228" s="521">
        <f>VLOOKUP(B228,'10'!$B$30:$I$55,3,0)</f>
        <v>93</v>
      </c>
      <c r="L228" s="1038"/>
      <c r="M228" s="536">
        <f t="shared" si="70"/>
        <v>1.0026954177897575E-2</v>
      </c>
      <c r="N228" s="534"/>
      <c r="O228" s="534"/>
      <c r="P228" s="534"/>
      <c r="Q228" s="95"/>
    </row>
    <row r="229" spans="1:17" ht="18" hidden="1" customHeight="1">
      <c r="A229" s="691"/>
      <c r="B229" s="669" t="s">
        <v>1576</v>
      </c>
      <c r="C229" s="631"/>
      <c r="D229" s="631"/>
      <c r="E229" s="631"/>
      <c r="F229" s="21"/>
      <c r="G229" s="21"/>
      <c r="H229" s="21"/>
      <c r="I229" s="21"/>
      <c r="J229" s="521">
        <f t="shared" si="69"/>
        <v>93</v>
      </c>
      <c r="K229" s="521">
        <f>VLOOKUP(B229,'10'!$B$30:$I$55,3,0)</f>
        <v>93</v>
      </c>
      <c r="L229" s="1038"/>
      <c r="M229" s="536">
        <f t="shared" si="70"/>
        <v>1.0026954177897575E-2</v>
      </c>
      <c r="N229" s="534"/>
      <c r="O229" s="534"/>
      <c r="P229" s="534"/>
      <c r="Q229" s="95"/>
    </row>
    <row r="230" spans="1:17" ht="18" hidden="1" customHeight="1">
      <c r="A230" s="664">
        <v>2</v>
      </c>
      <c r="B230" s="441" t="s">
        <v>901</v>
      </c>
      <c r="C230" s="357"/>
      <c r="D230" s="357"/>
      <c r="E230" s="357"/>
      <c r="F230" s="641"/>
      <c r="G230" s="641"/>
      <c r="H230" s="641"/>
      <c r="I230" s="641"/>
      <c r="J230" s="177">
        <f>SUM(J231:J238)</f>
        <v>4176</v>
      </c>
      <c r="K230" s="177">
        <f t="shared" ref="K230:L230" si="73">SUM(K231:K238)</f>
        <v>4176</v>
      </c>
      <c r="L230" s="1035">
        <f t="shared" si="73"/>
        <v>0</v>
      </c>
      <c r="M230" s="522"/>
      <c r="N230" s="522"/>
      <c r="O230" s="535">
        <f>+K230/G213</f>
        <v>0.45024258760107816</v>
      </c>
      <c r="P230" s="528"/>
      <c r="Q230" s="95"/>
    </row>
    <row r="231" spans="1:17" ht="18" hidden="1" customHeight="1">
      <c r="A231" s="691"/>
      <c r="B231" s="673" t="s">
        <v>25</v>
      </c>
      <c r="C231" s="631"/>
      <c r="D231" s="631"/>
      <c r="E231" s="631"/>
      <c r="F231" s="641"/>
      <c r="G231" s="641"/>
      <c r="H231" s="641"/>
      <c r="I231" s="641"/>
      <c r="J231" s="521">
        <f t="shared" si="69"/>
        <v>104</v>
      </c>
      <c r="K231" s="521">
        <f>VLOOKUP(B231,'10'!$B$30:$I$55,3,0)</f>
        <v>104</v>
      </c>
      <c r="L231" s="1038">
        <v>0</v>
      </c>
      <c r="M231" s="522"/>
      <c r="N231" s="522"/>
      <c r="O231" s="536">
        <f>K231/$G$213</f>
        <v>1.1212938005390836E-2</v>
      </c>
      <c r="P231" s="522"/>
      <c r="Q231" s="95"/>
    </row>
    <row r="232" spans="1:17" ht="18" hidden="1" customHeight="1">
      <c r="A232" s="691"/>
      <c r="B232" s="673" t="s">
        <v>23</v>
      </c>
      <c r="C232" s="631"/>
      <c r="D232" s="631"/>
      <c r="E232" s="631"/>
      <c r="F232" s="641"/>
      <c r="G232" s="641"/>
      <c r="H232" s="641"/>
      <c r="I232" s="641"/>
      <c r="J232" s="521">
        <f t="shared" si="69"/>
        <v>362</v>
      </c>
      <c r="K232" s="521">
        <f>VLOOKUP(B232,'10'!$B$30:$I$55,3,0)</f>
        <v>362</v>
      </c>
      <c r="L232" s="1038">
        <v>0</v>
      </c>
      <c r="M232" s="522"/>
      <c r="N232" s="522"/>
      <c r="O232" s="536">
        <f t="shared" ref="O232:O238" si="74">K232/$G$213</f>
        <v>3.9029649595687332E-2</v>
      </c>
      <c r="P232" s="522"/>
      <c r="Q232" s="95"/>
    </row>
    <row r="233" spans="1:17" ht="18" hidden="1" customHeight="1">
      <c r="A233" s="691"/>
      <c r="B233" s="673" t="s">
        <v>21</v>
      </c>
      <c r="C233" s="631"/>
      <c r="D233" s="631"/>
      <c r="E233" s="631"/>
      <c r="F233" s="641"/>
      <c r="G233" s="641"/>
      <c r="H233" s="641"/>
      <c r="I233" s="641"/>
      <c r="J233" s="521">
        <f t="shared" si="69"/>
        <v>129</v>
      </c>
      <c r="K233" s="521">
        <f>VLOOKUP(B233,'10'!$B$30:$I$55,3,0)</f>
        <v>129</v>
      </c>
      <c r="L233" s="1038">
        <v>0</v>
      </c>
      <c r="M233" s="522"/>
      <c r="N233" s="522"/>
      <c r="O233" s="536">
        <f t="shared" si="74"/>
        <v>1.3908355795148248E-2</v>
      </c>
      <c r="P233" s="522"/>
      <c r="Q233" s="95"/>
    </row>
    <row r="234" spans="1:17" ht="18" hidden="1" customHeight="1">
      <c r="A234" s="691"/>
      <c r="B234" s="673" t="s">
        <v>19</v>
      </c>
      <c r="C234" s="631"/>
      <c r="D234" s="631"/>
      <c r="E234" s="631"/>
      <c r="F234" s="641"/>
      <c r="G234" s="641"/>
      <c r="H234" s="641"/>
      <c r="I234" s="641"/>
      <c r="J234" s="521">
        <f t="shared" si="69"/>
        <v>375</v>
      </c>
      <c r="K234" s="521">
        <f>VLOOKUP(B234,'10'!$B$30:$I$55,3,0)</f>
        <v>375</v>
      </c>
      <c r="L234" s="1038">
        <v>0</v>
      </c>
      <c r="M234" s="522"/>
      <c r="N234" s="522"/>
      <c r="O234" s="536">
        <f t="shared" si="74"/>
        <v>4.0431266846361183E-2</v>
      </c>
      <c r="P234" s="522"/>
      <c r="Q234" s="95"/>
    </row>
    <row r="235" spans="1:17" ht="18" hidden="1" customHeight="1">
      <c r="A235" s="691"/>
      <c r="B235" s="673" t="s">
        <v>17</v>
      </c>
      <c r="C235" s="631"/>
      <c r="D235" s="631"/>
      <c r="E235" s="631"/>
      <c r="F235" s="641"/>
      <c r="G235" s="641"/>
      <c r="H235" s="641"/>
      <c r="I235" s="641"/>
      <c r="J235" s="521">
        <f t="shared" si="69"/>
        <v>841</v>
      </c>
      <c r="K235" s="521">
        <f>VLOOKUP(B235,'10'!$B$30:$I$55,3,0)</f>
        <v>841</v>
      </c>
      <c r="L235" s="1038">
        <v>0</v>
      </c>
      <c r="M235" s="522"/>
      <c r="N235" s="522"/>
      <c r="O235" s="536">
        <f t="shared" si="74"/>
        <v>9.0673854447439348E-2</v>
      </c>
      <c r="P235" s="522"/>
      <c r="Q235" s="95"/>
    </row>
    <row r="236" spans="1:17" ht="18" hidden="1" customHeight="1">
      <c r="A236" s="691"/>
      <c r="B236" s="673" t="s">
        <v>15</v>
      </c>
      <c r="C236" s="631"/>
      <c r="D236" s="631"/>
      <c r="E236" s="631"/>
      <c r="F236" s="641"/>
      <c r="G236" s="641"/>
      <c r="H236" s="641"/>
      <c r="I236" s="641"/>
      <c r="J236" s="521">
        <f t="shared" si="69"/>
        <v>1163</v>
      </c>
      <c r="K236" s="521">
        <f>VLOOKUP(B236,'10'!$B$30:$I$55,3,0)</f>
        <v>1163</v>
      </c>
      <c r="L236" s="1038">
        <v>0</v>
      </c>
      <c r="M236" s="522"/>
      <c r="N236" s="522"/>
      <c r="O236" s="536">
        <f t="shared" si="74"/>
        <v>0.12539083557951483</v>
      </c>
      <c r="P236" s="522"/>
      <c r="Q236" s="95"/>
    </row>
    <row r="237" spans="1:17" ht="18" hidden="1" customHeight="1">
      <c r="A237" s="691"/>
      <c r="B237" s="673" t="s">
        <v>13</v>
      </c>
      <c r="C237" s="631"/>
      <c r="D237" s="631"/>
      <c r="E237" s="631"/>
      <c r="F237" s="641"/>
      <c r="G237" s="641"/>
      <c r="H237" s="641"/>
      <c r="I237" s="641"/>
      <c r="J237" s="521">
        <f t="shared" si="69"/>
        <v>504</v>
      </c>
      <c r="K237" s="521">
        <f>VLOOKUP(B237,'10'!$B$30:$I$55,3,0)</f>
        <v>504</v>
      </c>
      <c r="L237" s="1038">
        <v>0</v>
      </c>
      <c r="M237" s="522"/>
      <c r="N237" s="522"/>
      <c r="O237" s="536">
        <f t="shared" si="74"/>
        <v>5.4339622641509433E-2</v>
      </c>
      <c r="P237" s="522"/>
      <c r="Q237" s="95"/>
    </row>
    <row r="238" spans="1:17" ht="18" hidden="1" customHeight="1">
      <c r="A238" s="695"/>
      <c r="B238" s="696" t="s">
        <v>11</v>
      </c>
      <c r="C238" s="637"/>
      <c r="D238" s="637"/>
      <c r="E238" s="637"/>
      <c r="F238" s="537"/>
      <c r="G238" s="537"/>
      <c r="H238" s="537"/>
      <c r="I238" s="537"/>
      <c r="J238" s="537">
        <f t="shared" si="69"/>
        <v>698</v>
      </c>
      <c r="K238" s="537">
        <f>VLOOKUP(B238,'10'!$B$30:$I$55,3,0)</f>
        <v>698</v>
      </c>
      <c r="L238" s="1041">
        <v>0</v>
      </c>
      <c r="M238" s="538"/>
      <c r="N238" s="538"/>
      <c r="O238" s="539">
        <f t="shared" si="74"/>
        <v>7.525606469002695E-2</v>
      </c>
      <c r="P238" s="538"/>
      <c r="Q238" s="683"/>
    </row>
    <row r="239" spans="1:17" ht="13.5">
      <c r="A239" s="654"/>
      <c r="B239" s="654"/>
      <c r="C239" s="632"/>
      <c r="D239" s="632"/>
      <c r="E239" s="632"/>
      <c r="F239" s="495"/>
      <c r="G239" s="495"/>
      <c r="H239" s="495"/>
      <c r="I239" s="980"/>
      <c r="J239" s="980"/>
      <c r="K239" s="980"/>
      <c r="L239" s="654"/>
      <c r="M239" s="495"/>
      <c r="N239" s="495"/>
      <c r="O239" s="495"/>
      <c r="P239" s="495"/>
    </row>
    <row r="240" spans="1:17">
      <c r="A240" s="80"/>
    </row>
    <row r="241" spans="1:16">
      <c r="A241" s="1737"/>
      <c r="B241" s="1737"/>
      <c r="C241" s="1744"/>
      <c r="D241" s="1744"/>
      <c r="E241" s="1744"/>
      <c r="F241" s="1744"/>
      <c r="G241" s="1744"/>
      <c r="H241" s="1744"/>
      <c r="I241" s="981"/>
      <c r="J241" s="981"/>
      <c r="K241" s="981"/>
      <c r="L241" s="653"/>
      <c r="M241" s="540"/>
      <c r="N241" s="540"/>
      <c r="O241" s="540"/>
      <c r="P241" s="540"/>
    </row>
    <row r="242" spans="1:16">
      <c r="A242" s="1737"/>
      <c r="B242" s="1737"/>
      <c r="C242" s="1744"/>
      <c r="D242" s="1744"/>
      <c r="E242" s="1744"/>
      <c r="F242" s="1744"/>
      <c r="G242" s="1744"/>
      <c r="H242" s="1744"/>
      <c r="I242" s="981"/>
      <c r="J242" s="981"/>
      <c r="K242" s="981"/>
      <c r="L242" s="653"/>
      <c r="M242" s="540"/>
      <c r="N242" s="540"/>
      <c r="O242" s="540"/>
      <c r="P242" s="540"/>
    </row>
    <row r="243" spans="1:16">
      <c r="A243" s="1737"/>
      <c r="B243" s="1737"/>
      <c r="C243" s="1744"/>
      <c r="D243" s="1744"/>
      <c r="E243" s="1744"/>
      <c r="F243" s="1744"/>
      <c r="G243" s="1744"/>
      <c r="H243" s="1744"/>
      <c r="I243" s="981"/>
      <c r="J243" s="981"/>
      <c r="K243" s="981"/>
      <c r="L243" s="653"/>
      <c r="M243" s="540"/>
      <c r="N243" s="540"/>
      <c r="O243" s="540"/>
      <c r="P243" s="540"/>
    </row>
    <row r="244" spans="1:16">
      <c r="A244" s="1737"/>
      <c r="B244" s="1737"/>
      <c r="C244" s="1744"/>
      <c r="D244" s="1744"/>
      <c r="E244" s="1744"/>
      <c r="F244" s="1744"/>
      <c r="G244" s="1744"/>
      <c r="H244" s="1744"/>
      <c r="I244" s="981"/>
      <c r="J244" s="981"/>
      <c r="K244" s="981"/>
      <c r="L244" s="653"/>
      <c r="M244" s="540"/>
      <c r="N244" s="540"/>
      <c r="O244" s="540"/>
      <c r="P244" s="540"/>
    </row>
    <row r="245" spans="1:16">
      <c r="A245" s="1737"/>
      <c r="B245" s="1737"/>
      <c r="C245" s="1744"/>
      <c r="D245" s="1744"/>
      <c r="E245" s="1744"/>
      <c r="F245" s="1744"/>
      <c r="G245" s="1744"/>
      <c r="H245" s="1744"/>
      <c r="I245" s="981"/>
      <c r="J245" s="982"/>
      <c r="K245" s="982"/>
      <c r="L245" s="86"/>
      <c r="M245" s="541"/>
      <c r="N245" s="541"/>
      <c r="O245" s="541"/>
      <c r="P245" s="541"/>
    </row>
    <row r="246" spans="1:16">
      <c r="A246" s="1737"/>
      <c r="B246" s="1737"/>
      <c r="C246" s="1744"/>
      <c r="D246" s="1744"/>
      <c r="E246" s="1744"/>
      <c r="F246" s="1744"/>
      <c r="G246" s="1744"/>
      <c r="H246" s="1744"/>
      <c r="I246" s="981"/>
      <c r="J246" s="981"/>
      <c r="K246" s="981"/>
      <c r="L246" s="653"/>
      <c r="M246" s="540"/>
      <c r="N246" s="540"/>
      <c r="O246" s="540"/>
      <c r="P246" s="540"/>
    </row>
    <row r="247" spans="1:16">
      <c r="A247" s="653"/>
      <c r="B247" s="653"/>
      <c r="C247" s="633"/>
      <c r="D247" s="633"/>
      <c r="E247" s="633"/>
      <c r="F247" s="540"/>
      <c r="G247" s="540"/>
      <c r="H247" s="540"/>
      <c r="I247" s="981"/>
      <c r="J247" s="981"/>
      <c r="K247" s="981"/>
      <c r="L247" s="653"/>
      <c r="M247" s="540"/>
      <c r="N247" s="540"/>
      <c r="O247" s="540"/>
      <c r="P247" s="540"/>
    </row>
    <row r="248" spans="1:16">
      <c r="A248" s="653"/>
      <c r="B248" s="653"/>
      <c r="C248" s="633"/>
      <c r="D248" s="633"/>
      <c r="E248" s="633"/>
      <c r="F248" s="540"/>
      <c r="G248" s="540"/>
      <c r="H248" s="540"/>
      <c r="I248" s="981"/>
      <c r="J248" s="981"/>
      <c r="K248" s="981"/>
      <c r="L248" s="653"/>
      <c r="M248" s="540"/>
      <c r="N248" s="540"/>
      <c r="O248" s="540"/>
      <c r="P248" s="540"/>
    </row>
  </sheetData>
  <autoFilter ref="A8:R238">
    <filterColumn colId="16">
      <filters blank="1">
        <filter val="Biểu 1"/>
        <filter val="Biểu 10"/>
        <filter val="Biểu 2"/>
        <filter val="Biểu 3"/>
        <filter val="Biểu 4"/>
        <filter val="Biểu 5"/>
        <filter val="Biểu 6"/>
        <filter val="Biểu 7"/>
        <filter val="Biểu 8"/>
        <filter val="Biểu 9"/>
        <filter val="Dược liệu quý"/>
      </filters>
    </filterColumn>
  </autoFilter>
  <mergeCells count="28">
    <mergeCell ref="A3:Q3"/>
    <mergeCell ref="A1:Q1"/>
    <mergeCell ref="A2:Q2"/>
    <mergeCell ref="G4:Q4"/>
    <mergeCell ref="A5:A7"/>
    <mergeCell ref="B5:B7"/>
    <mergeCell ref="F5:H5"/>
    <mergeCell ref="M5:P5"/>
    <mergeCell ref="Q5:Q7"/>
    <mergeCell ref="M6:N6"/>
    <mergeCell ref="O6:P6"/>
    <mergeCell ref="F6:F7"/>
    <mergeCell ref="H6:H7"/>
    <mergeCell ref="J6:J7"/>
    <mergeCell ref="L5:L7"/>
    <mergeCell ref="C5:E5"/>
    <mergeCell ref="A246:H246"/>
    <mergeCell ref="A244:H244"/>
    <mergeCell ref="A245:H245"/>
    <mergeCell ref="A241:H241"/>
    <mergeCell ref="A242:H242"/>
    <mergeCell ref="A243:H243"/>
    <mergeCell ref="C6:C7"/>
    <mergeCell ref="I5:I7"/>
    <mergeCell ref="K6:K7"/>
    <mergeCell ref="D6:D7"/>
    <mergeCell ref="G6:G7"/>
    <mergeCell ref="E6:E7"/>
  </mergeCells>
  <pageMargins left="0.61" right="0.5" top="0.5" bottom="0.5" header="0.47" footer="0.3"/>
  <pageSetup paperSize="9" scale="90" orientation="portrait" r:id="rId1"/>
  <headerFooter>
    <oddFooter>Page &amp;P</oddFooter>
  </headerFooter>
  <ignoredErrors>
    <ignoredError sqref="K11 J14 L214 L50"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Q250"/>
  <sheetViews>
    <sheetView workbookViewId="0">
      <selection activeCell="F6" sqref="F6:F10"/>
    </sheetView>
  </sheetViews>
  <sheetFormatPr defaultColWidth="9.08203125" defaultRowHeight="13"/>
  <cols>
    <col min="1" max="1" width="4.9140625" style="8" customWidth="1"/>
    <col min="2" max="2" width="46.08203125" style="8" customWidth="1"/>
    <col min="3" max="3" width="10.4140625" style="8" customWidth="1"/>
    <col min="4" max="4" width="12.4140625" style="8" hidden="1" customWidth="1"/>
    <col min="5" max="5" width="10" style="8" hidden="1" customWidth="1"/>
    <col min="6" max="6" width="12.9140625" style="8" customWidth="1"/>
    <col min="7" max="7" width="10.08203125" style="8" hidden="1" customWidth="1"/>
    <col min="8" max="8" width="16.6640625" style="8" customWidth="1"/>
    <col min="9" max="9" width="11.4140625" style="8" bestFit="1" customWidth="1"/>
    <col min="10" max="10" width="10" style="8" bestFit="1" customWidth="1"/>
    <col min="11" max="17" width="9.08203125" style="8"/>
    <col min="18" max="18" width="10" style="8" bestFit="1" customWidth="1"/>
    <col min="19" max="16384" width="9.08203125" style="8"/>
  </cols>
  <sheetData>
    <row r="1" spans="1:10" ht="18.75" customHeight="1">
      <c r="A1" s="1714" t="s">
        <v>2909</v>
      </c>
      <c r="B1" s="1714"/>
      <c r="C1" s="1714"/>
      <c r="D1" s="1714"/>
      <c r="E1" s="1714"/>
      <c r="F1" s="1714"/>
      <c r="G1" s="1714"/>
      <c r="H1" s="1714"/>
    </row>
    <row r="2" spans="1:10" s="164" customFormat="1" ht="18" hidden="1" customHeight="1">
      <c r="A2" s="1765"/>
      <c r="B2" s="1765"/>
      <c r="C2" s="1084"/>
      <c r="D2" s="1084"/>
      <c r="E2" s="1084"/>
      <c r="F2" s="1085"/>
      <c r="G2" s="1769" t="s">
        <v>0</v>
      </c>
      <c r="H2" s="1769"/>
    </row>
    <row r="3" spans="1:10" ht="18" customHeight="1">
      <c r="A3" s="1766" t="s">
        <v>1</v>
      </c>
      <c r="B3" s="1766"/>
      <c r="C3" s="1766"/>
      <c r="D3" s="1766"/>
      <c r="E3" s="1766"/>
      <c r="F3" s="1766"/>
      <c r="G3" s="1766"/>
      <c r="H3" s="1766"/>
    </row>
    <row r="4" spans="1:10" ht="27.75" customHeight="1">
      <c r="A4" s="1766" t="s">
        <v>2</v>
      </c>
      <c r="B4" s="1766"/>
      <c r="C4" s="1766"/>
      <c r="D4" s="1766"/>
      <c r="E4" s="1766"/>
      <c r="F4" s="1766"/>
      <c r="G4" s="1766"/>
      <c r="H4" s="1766"/>
    </row>
    <row r="5" spans="1:10" s="35" customFormat="1" ht="27.75" customHeight="1">
      <c r="A5" s="1716" t="e">
        <f>#REF!</f>
        <v>#REF!</v>
      </c>
      <c r="B5" s="1716"/>
      <c r="C5" s="1716"/>
      <c r="D5" s="1716"/>
      <c r="E5" s="1716"/>
      <c r="F5" s="1716"/>
      <c r="G5" s="1716"/>
      <c r="H5" s="1716"/>
    </row>
    <row r="6" spans="1:10" ht="18" customHeight="1">
      <c r="A6" s="1767" t="s">
        <v>3</v>
      </c>
      <c r="B6" s="1767"/>
      <c r="C6" s="1767"/>
      <c r="D6" s="1767"/>
      <c r="E6" s="1767"/>
      <c r="F6" s="1767"/>
      <c r="G6" s="1767"/>
      <c r="H6" s="1767"/>
    </row>
    <row r="7" spans="1:10" ht="18" customHeight="1">
      <c r="A7" s="1768" t="s">
        <v>4</v>
      </c>
      <c r="B7" s="1768" t="s">
        <v>5</v>
      </c>
      <c r="C7" s="1768" t="s">
        <v>116</v>
      </c>
      <c r="D7" s="1718" t="s">
        <v>79</v>
      </c>
      <c r="E7" s="1042"/>
      <c r="F7" s="1770" t="s">
        <v>2537</v>
      </c>
      <c r="G7" s="1043"/>
      <c r="H7" s="1768" t="s">
        <v>33</v>
      </c>
    </row>
    <row r="8" spans="1:10" ht="30" customHeight="1">
      <c r="A8" s="1768"/>
      <c r="B8" s="1768"/>
      <c r="C8" s="1768"/>
      <c r="D8" s="1720"/>
      <c r="E8" s="698" t="s">
        <v>6</v>
      </c>
      <c r="F8" s="1771"/>
      <c r="G8" s="698" t="s">
        <v>720</v>
      </c>
      <c r="H8" s="1768"/>
    </row>
    <row r="9" spans="1:10" s="485" customFormat="1" ht="18" hidden="1" customHeight="1">
      <c r="A9" s="484">
        <v>1</v>
      </c>
      <c r="B9" s="484">
        <v>2</v>
      </c>
      <c r="C9" s="484" t="s">
        <v>14</v>
      </c>
      <c r="D9" s="484" t="s">
        <v>16</v>
      </c>
      <c r="E9" s="484" t="s">
        <v>18</v>
      </c>
      <c r="F9" s="484" t="s">
        <v>20</v>
      </c>
      <c r="G9" s="484" t="s">
        <v>22</v>
      </c>
      <c r="H9" s="484" t="s">
        <v>24</v>
      </c>
    </row>
    <row r="10" spans="1:10" ht="18" customHeight="1">
      <c r="A10" s="29" t="s">
        <v>37</v>
      </c>
      <c r="B10" s="40" t="s">
        <v>7</v>
      </c>
      <c r="C10" s="36">
        <f>+C11+C20+C29+C56+C38+C47</f>
        <v>27449</v>
      </c>
      <c r="D10" s="23">
        <f>+D11+D20+D29+D56+D38+D47</f>
        <v>219851.5</v>
      </c>
      <c r="E10" s="23">
        <f t="shared" ref="E10:E55" si="0">+F10+G10</f>
        <v>219851.5</v>
      </c>
      <c r="F10" s="23">
        <f>+F11+F20+F29+F56</f>
        <v>175115.5</v>
      </c>
      <c r="G10" s="23">
        <f>+G38+G47</f>
        <v>44736</v>
      </c>
      <c r="H10" s="23"/>
    </row>
    <row r="11" spans="1:10" ht="18" customHeight="1">
      <c r="A11" s="29" t="s">
        <v>8</v>
      </c>
      <c r="B11" s="54" t="s">
        <v>9</v>
      </c>
      <c r="C11" s="36">
        <f t="shared" ref="C11:D11" si="1">SUM(C12:C19)</f>
        <v>113</v>
      </c>
      <c r="D11" s="23">
        <f t="shared" si="1"/>
        <v>4520</v>
      </c>
      <c r="E11" s="23">
        <f t="shared" si="0"/>
        <v>4520</v>
      </c>
      <c r="F11" s="23">
        <f>SUM(F12:F19)</f>
        <v>4520</v>
      </c>
      <c r="G11" s="23"/>
      <c r="H11" s="23"/>
      <c r="I11" s="603"/>
    </row>
    <row r="12" spans="1:10" ht="18" customHeight="1">
      <c r="A12" s="13" t="s">
        <v>10</v>
      </c>
      <c r="B12" s="12" t="s">
        <v>25</v>
      </c>
      <c r="C12" s="174">
        <v>0</v>
      </c>
      <c r="D12" s="20">
        <f>40*C12</f>
        <v>0</v>
      </c>
      <c r="E12" s="44">
        <f t="shared" si="0"/>
        <v>0</v>
      </c>
      <c r="F12" s="25"/>
      <c r="G12" s="25"/>
      <c r="H12" s="178"/>
      <c r="I12" s="75"/>
      <c r="J12" s="176"/>
    </row>
    <row r="13" spans="1:10" ht="18" customHeight="1">
      <c r="A13" s="13" t="s">
        <v>12</v>
      </c>
      <c r="B13" s="12" t="s">
        <v>23</v>
      </c>
      <c r="C13" s="174">
        <v>7</v>
      </c>
      <c r="D13" s="20">
        <f>+C13*40</f>
        <v>280</v>
      </c>
      <c r="E13" s="44">
        <f t="shared" si="0"/>
        <v>280</v>
      </c>
      <c r="F13" s="25">
        <f>+D13</f>
        <v>280</v>
      </c>
      <c r="G13" s="25"/>
      <c r="H13" s="178"/>
      <c r="I13" s="75"/>
      <c r="J13" s="176"/>
    </row>
    <row r="14" spans="1:10" ht="18" customHeight="1">
      <c r="A14" s="13" t="s">
        <v>14</v>
      </c>
      <c r="B14" s="12" t="s">
        <v>21</v>
      </c>
      <c r="C14" s="174">
        <v>0</v>
      </c>
      <c r="D14" s="20">
        <f>+C14*40</f>
        <v>0</v>
      </c>
      <c r="E14" s="44">
        <f t="shared" si="0"/>
        <v>0</v>
      </c>
      <c r="F14" s="25">
        <f>+D14</f>
        <v>0</v>
      </c>
      <c r="G14" s="25"/>
      <c r="H14" s="178"/>
      <c r="I14" s="75"/>
      <c r="J14" s="176"/>
    </row>
    <row r="15" spans="1:10" ht="18" customHeight="1">
      <c r="A15" s="13" t="s">
        <v>16</v>
      </c>
      <c r="B15" s="12" t="s">
        <v>19</v>
      </c>
      <c r="C15" s="174">
        <v>2</v>
      </c>
      <c r="D15" s="20">
        <f>+C15*40</f>
        <v>80</v>
      </c>
      <c r="E15" s="44">
        <f t="shared" si="0"/>
        <v>80</v>
      </c>
      <c r="F15" s="25">
        <f>+D15</f>
        <v>80</v>
      </c>
      <c r="G15" s="25"/>
      <c r="H15" s="178"/>
      <c r="I15" s="75"/>
      <c r="J15" s="176"/>
    </row>
    <row r="16" spans="1:10" ht="18" customHeight="1">
      <c r="A16" s="13" t="s">
        <v>18</v>
      </c>
      <c r="B16" s="12" t="s">
        <v>17</v>
      </c>
      <c r="C16" s="174">
        <v>42</v>
      </c>
      <c r="D16" s="20">
        <f>40*C16</f>
        <v>1680</v>
      </c>
      <c r="E16" s="44">
        <f t="shared" si="0"/>
        <v>1680</v>
      </c>
      <c r="F16" s="20">
        <f>40*C16</f>
        <v>1680</v>
      </c>
      <c r="G16" s="20"/>
      <c r="H16" s="178"/>
      <c r="I16" s="75"/>
      <c r="J16" s="176"/>
    </row>
    <row r="17" spans="1:10" ht="18" customHeight="1">
      <c r="A17" s="13" t="s">
        <v>20</v>
      </c>
      <c r="B17" s="12" t="s">
        <v>15</v>
      </c>
      <c r="C17" s="174">
        <v>42</v>
      </c>
      <c r="D17" s="20">
        <f>40*C17</f>
        <v>1680</v>
      </c>
      <c r="E17" s="44">
        <f t="shared" si="0"/>
        <v>1680</v>
      </c>
      <c r="F17" s="20">
        <f>40*C17</f>
        <v>1680</v>
      </c>
      <c r="G17" s="20"/>
      <c r="H17" s="178"/>
      <c r="I17" s="75"/>
      <c r="J17" s="176"/>
    </row>
    <row r="18" spans="1:10" ht="18" customHeight="1">
      <c r="A18" s="13" t="s">
        <v>22</v>
      </c>
      <c r="B18" s="12" t="s">
        <v>13</v>
      </c>
      <c r="C18" s="174">
        <v>9</v>
      </c>
      <c r="D18" s="20">
        <f>40*C18</f>
        <v>360</v>
      </c>
      <c r="E18" s="44">
        <f t="shared" si="0"/>
        <v>360</v>
      </c>
      <c r="F18" s="20">
        <f>40*C18</f>
        <v>360</v>
      </c>
      <c r="G18" s="20"/>
      <c r="H18" s="178"/>
      <c r="I18" s="75"/>
      <c r="J18" s="176"/>
    </row>
    <row r="19" spans="1:10" ht="18" customHeight="1">
      <c r="A19" s="13" t="s">
        <v>24</v>
      </c>
      <c r="B19" s="12" t="s">
        <v>11</v>
      </c>
      <c r="C19" s="174">
        <v>11</v>
      </c>
      <c r="D19" s="20">
        <f>40*C19</f>
        <v>440</v>
      </c>
      <c r="E19" s="44">
        <f t="shared" si="0"/>
        <v>440</v>
      </c>
      <c r="F19" s="20">
        <f>40*C19</f>
        <v>440</v>
      </c>
      <c r="G19" s="20"/>
      <c r="H19" s="178"/>
      <c r="I19" s="75"/>
      <c r="J19" s="176"/>
    </row>
    <row r="20" spans="1:10" s="30" customFormat="1" ht="18" customHeight="1">
      <c r="A20" s="26" t="s">
        <v>26</v>
      </c>
      <c r="B20" s="54" t="s">
        <v>27</v>
      </c>
      <c r="C20" s="36">
        <f t="shared" ref="C20:D20" si="2">SUM(C21:C28)</f>
        <v>434</v>
      </c>
      <c r="D20" s="23">
        <f t="shared" si="2"/>
        <v>17360</v>
      </c>
      <c r="E20" s="23">
        <f t="shared" si="0"/>
        <v>17360</v>
      </c>
      <c r="F20" s="23">
        <f>SUM(F21:F28)</f>
        <v>17360</v>
      </c>
      <c r="G20" s="23"/>
      <c r="H20" s="23"/>
    </row>
    <row r="21" spans="1:10" s="30" customFormat="1" ht="18" customHeight="1">
      <c r="A21" s="13" t="s">
        <v>10</v>
      </c>
      <c r="B21" s="12" t="s">
        <v>25</v>
      </c>
      <c r="C21" s="174">
        <v>7</v>
      </c>
      <c r="D21" s="20">
        <f>40*C21</f>
        <v>280</v>
      </c>
      <c r="E21" s="44">
        <f t="shared" si="0"/>
        <v>280</v>
      </c>
      <c r="F21" s="25">
        <f>40*C21</f>
        <v>280</v>
      </c>
      <c r="G21" s="25"/>
      <c r="H21" s="178"/>
      <c r="I21" s="75"/>
    </row>
    <row r="22" spans="1:10" s="30" customFormat="1" ht="18" customHeight="1">
      <c r="A22" s="13" t="s">
        <v>12</v>
      </c>
      <c r="B22" s="12" t="s">
        <v>23</v>
      </c>
      <c r="C22" s="174">
        <v>54</v>
      </c>
      <c r="D22" s="20">
        <f>+C22*40</f>
        <v>2160</v>
      </c>
      <c r="E22" s="44">
        <f t="shared" si="0"/>
        <v>2160</v>
      </c>
      <c r="F22" s="25">
        <f>+D22</f>
        <v>2160</v>
      </c>
      <c r="G22" s="25"/>
      <c r="H22" s="178"/>
      <c r="I22" s="75"/>
    </row>
    <row r="23" spans="1:10" s="30" customFormat="1" ht="18" customHeight="1">
      <c r="A23" s="13" t="s">
        <v>14</v>
      </c>
      <c r="B23" s="12" t="s">
        <v>21</v>
      </c>
      <c r="C23" s="174">
        <v>3</v>
      </c>
      <c r="D23" s="20">
        <f>+C23*40</f>
        <v>120</v>
      </c>
      <c r="E23" s="44">
        <f t="shared" si="0"/>
        <v>120</v>
      </c>
      <c r="F23" s="25">
        <f>+D23</f>
        <v>120</v>
      </c>
      <c r="G23" s="25"/>
      <c r="H23" s="178"/>
      <c r="I23" s="75"/>
    </row>
    <row r="24" spans="1:10" s="30" customFormat="1" ht="18" customHeight="1">
      <c r="A24" s="13" t="s">
        <v>16</v>
      </c>
      <c r="B24" s="12" t="s">
        <v>19</v>
      </c>
      <c r="C24" s="174">
        <v>7</v>
      </c>
      <c r="D24" s="20">
        <f>+C24*40</f>
        <v>280</v>
      </c>
      <c r="E24" s="44">
        <f t="shared" si="0"/>
        <v>280</v>
      </c>
      <c r="F24" s="25">
        <f>+D24</f>
        <v>280</v>
      </c>
      <c r="G24" s="25"/>
      <c r="H24" s="178"/>
      <c r="I24" s="75"/>
    </row>
    <row r="25" spans="1:10" s="30" customFormat="1" ht="18" customHeight="1">
      <c r="A25" s="13" t="s">
        <v>18</v>
      </c>
      <c r="B25" s="12" t="s">
        <v>17</v>
      </c>
      <c r="C25" s="174">
        <v>145</v>
      </c>
      <c r="D25" s="20">
        <f>+C25*40</f>
        <v>5800</v>
      </c>
      <c r="E25" s="44">
        <f t="shared" si="0"/>
        <v>5800</v>
      </c>
      <c r="F25" s="25">
        <f>+C25*40</f>
        <v>5800</v>
      </c>
      <c r="G25" s="25"/>
      <c r="H25" s="178"/>
      <c r="I25" s="75"/>
    </row>
    <row r="26" spans="1:10" s="30" customFormat="1" ht="18" customHeight="1">
      <c r="A26" s="13" t="s">
        <v>20</v>
      </c>
      <c r="B26" s="12" t="s">
        <v>15</v>
      </c>
      <c r="C26" s="174">
        <v>143</v>
      </c>
      <c r="D26" s="20">
        <f>40*C26</f>
        <v>5720</v>
      </c>
      <c r="E26" s="44">
        <f t="shared" si="0"/>
        <v>5720</v>
      </c>
      <c r="F26" s="25">
        <f>+C26*40</f>
        <v>5720</v>
      </c>
      <c r="G26" s="25"/>
      <c r="H26" s="178"/>
      <c r="I26" s="75"/>
    </row>
    <row r="27" spans="1:10" s="30" customFormat="1" ht="18" customHeight="1">
      <c r="A27" s="13" t="s">
        <v>22</v>
      </c>
      <c r="B27" s="12" t="s">
        <v>13</v>
      </c>
      <c r="C27" s="174">
        <v>32</v>
      </c>
      <c r="D27" s="20">
        <f>40*C27</f>
        <v>1280</v>
      </c>
      <c r="E27" s="44">
        <f t="shared" si="0"/>
        <v>1280</v>
      </c>
      <c r="F27" s="25">
        <f>+C27*40</f>
        <v>1280</v>
      </c>
      <c r="G27" s="25"/>
      <c r="H27" s="178"/>
      <c r="I27" s="75"/>
    </row>
    <row r="28" spans="1:10" s="30" customFormat="1" ht="18" customHeight="1">
      <c r="A28" s="13" t="s">
        <v>24</v>
      </c>
      <c r="B28" s="12" t="s">
        <v>11</v>
      </c>
      <c r="C28" s="174">
        <v>43</v>
      </c>
      <c r="D28" s="20">
        <f>40*C28</f>
        <v>1720</v>
      </c>
      <c r="E28" s="44">
        <f t="shared" si="0"/>
        <v>1720</v>
      </c>
      <c r="F28" s="25">
        <f>+C28*40</f>
        <v>1720</v>
      </c>
      <c r="G28" s="25"/>
      <c r="H28" s="178"/>
      <c r="I28" s="75"/>
    </row>
    <row r="29" spans="1:10" s="30" customFormat="1" ht="18" customHeight="1">
      <c r="A29" s="26" t="s">
        <v>28</v>
      </c>
      <c r="B29" s="54" t="s">
        <v>66</v>
      </c>
      <c r="C29" s="36">
        <f t="shared" ref="C29:D29" si="3">SUM(C30:C37)</f>
        <v>605</v>
      </c>
      <c r="D29" s="23">
        <f t="shared" si="3"/>
        <v>13612.5</v>
      </c>
      <c r="E29" s="23">
        <f t="shared" si="0"/>
        <v>13612.5</v>
      </c>
      <c r="F29" s="23">
        <f>SUM(F30:F37)</f>
        <v>13612.5</v>
      </c>
      <c r="G29" s="23"/>
      <c r="H29" s="23"/>
    </row>
    <row r="30" spans="1:10" s="30" customFormat="1" ht="18" customHeight="1">
      <c r="A30" s="13" t="s">
        <v>10</v>
      </c>
      <c r="B30" s="12" t="s">
        <v>25</v>
      </c>
      <c r="C30" s="174">
        <v>0</v>
      </c>
      <c r="D30" s="25">
        <f>+C30*22.5</f>
        <v>0</v>
      </c>
      <c r="E30" s="44">
        <f t="shared" si="0"/>
        <v>0</v>
      </c>
      <c r="F30" s="25">
        <f>+C30*22.5</f>
        <v>0</v>
      </c>
      <c r="G30" s="25"/>
      <c r="H30" s="178"/>
      <c r="I30" s="75"/>
    </row>
    <row r="31" spans="1:10" s="30" customFormat="1" ht="18" customHeight="1">
      <c r="A31" s="13" t="s">
        <v>12</v>
      </c>
      <c r="B31" s="12" t="s">
        <v>23</v>
      </c>
      <c r="C31" s="174">
        <v>51</v>
      </c>
      <c r="D31" s="25">
        <f t="shared" ref="D31:D37" si="4">+C31*22.5</f>
        <v>1147.5</v>
      </c>
      <c r="E31" s="44">
        <f t="shared" si="0"/>
        <v>1147.5</v>
      </c>
      <c r="F31" s="25">
        <f t="shared" ref="F31:F37" si="5">+C31*22.5</f>
        <v>1147.5</v>
      </c>
      <c r="G31" s="25"/>
      <c r="H31" s="178"/>
      <c r="I31" s="75"/>
    </row>
    <row r="32" spans="1:10" s="30" customFormat="1" ht="18" customHeight="1">
      <c r="A32" s="13" t="s">
        <v>14</v>
      </c>
      <c r="B32" s="12" t="s">
        <v>21</v>
      </c>
      <c r="C32" s="174">
        <v>3</v>
      </c>
      <c r="D32" s="25">
        <f t="shared" si="4"/>
        <v>67.5</v>
      </c>
      <c r="E32" s="44">
        <f t="shared" si="0"/>
        <v>67.5</v>
      </c>
      <c r="F32" s="25">
        <f t="shared" si="5"/>
        <v>67.5</v>
      </c>
      <c r="G32" s="25"/>
      <c r="H32" s="178"/>
      <c r="I32" s="75"/>
    </row>
    <row r="33" spans="1:9" s="30" customFormat="1" ht="18" customHeight="1">
      <c r="A33" s="13" t="s">
        <v>16</v>
      </c>
      <c r="B33" s="12" t="s">
        <v>19</v>
      </c>
      <c r="C33" s="174">
        <v>69</v>
      </c>
      <c r="D33" s="25">
        <f t="shared" si="4"/>
        <v>1552.5</v>
      </c>
      <c r="E33" s="44">
        <f t="shared" si="0"/>
        <v>1552.5</v>
      </c>
      <c r="F33" s="25">
        <f t="shared" si="5"/>
        <v>1552.5</v>
      </c>
      <c r="G33" s="25"/>
      <c r="H33" s="178"/>
      <c r="I33" s="75"/>
    </row>
    <row r="34" spans="1:9" s="30" customFormat="1" ht="18" customHeight="1">
      <c r="A34" s="13" t="s">
        <v>18</v>
      </c>
      <c r="B34" s="12" t="s">
        <v>17</v>
      </c>
      <c r="C34" s="174">
        <v>177</v>
      </c>
      <c r="D34" s="25">
        <f t="shared" si="4"/>
        <v>3982.5</v>
      </c>
      <c r="E34" s="44">
        <f t="shared" si="0"/>
        <v>3982.5</v>
      </c>
      <c r="F34" s="25">
        <f t="shared" si="5"/>
        <v>3982.5</v>
      </c>
      <c r="G34" s="25"/>
      <c r="H34" s="178"/>
      <c r="I34" s="75"/>
    </row>
    <row r="35" spans="1:9" s="30" customFormat="1" ht="18" customHeight="1">
      <c r="A35" s="13" t="s">
        <v>20</v>
      </c>
      <c r="B35" s="12" t="s">
        <v>15</v>
      </c>
      <c r="C35" s="174">
        <v>161</v>
      </c>
      <c r="D35" s="25">
        <f t="shared" si="4"/>
        <v>3622.5</v>
      </c>
      <c r="E35" s="44">
        <f t="shared" si="0"/>
        <v>3622.5</v>
      </c>
      <c r="F35" s="25">
        <f t="shared" si="5"/>
        <v>3622.5</v>
      </c>
      <c r="G35" s="25"/>
      <c r="H35" s="178"/>
      <c r="I35" s="75"/>
    </row>
    <row r="36" spans="1:9" s="30" customFormat="1" ht="18" customHeight="1">
      <c r="A36" s="13" t="s">
        <v>22</v>
      </c>
      <c r="B36" s="12" t="s">
        <v>13</v>
      </c>
      <c r="C36" s="174">
        <v>76</v>
      </c>
      <c r="D36" s="25">
        <f t="shared" si="4"/>
        <v>1710</v>
      </c>
      <c r="E36" s="44">
        <f t="shared" si="0"/>
        <v>1710</v>
      </c>
      <c r="F36" s="25">
        <f t="shared" si="5"/>
        <v>1710</v>
      </c>
      <c r="G36" s="25"/>
      <c r="H36" s="178"/>
      <c r="I36" s="75"/>
    </row>
    <row r="37" spans="1:9" s="30" customFormat="1" ht="18" customHeight="1">
      <c r="A37" s="13" t="s">
        <v>24</v>
      </c>
      <c r="B37" s="12" t="s">
        <v>11</v>
      </c>
      <c r="C37" s="174">
        <v>68</v>
      </c>
      <c r="D37" s="25">
        <f t="shared" si="4"/>
        <v>1530</v>
      </c>
      <c r="E37" s="44">
        <f t="shared" si="0"/>
        <v>1530</v>
      </c>
      <c r="F37" s="25">
        <f t="shared" si="5"/>
        <v>1530</v>
      </c>
      <c r="G37" s="25"/>
      <c r="H37" s="178"/>
      <c r="I37" s="75"/>
    </row>
    <row r="38" spans="1:9" s="30" customFormat="1">
      <c r="A38" s="93" t="s">
        <v>29</v>
      </c>
      <c r="B38" s="94" t="s">
        <v>717</v>
      </c>
      <c r="C38" s="36">
        <f>SUM(C39:C46)</f>
        <v>2319</v>
      </c>
      <c r="D38" s="21">
        <f>SUM(D39:D46)</f>
        <v>23190</v>
      </c>
      <c r="E38" s="23">
        <f t="shared" si="0"/>
        <v>23190</v>
      </c>
      <c r="F38" s="25"/>
      <c r="G38" s="24">
        <f>SUM(G39:G46)</f>
        <v>23190</v>
      </c>
      <c r="H38" s="25"/>
    </row>
    <row r="39" spans="1:9" s="30" customFormat="1" ht="18" hidden="1" customHeight="1">
      <c r="A39" s="95" t="s">
        <v>10</v>
      </c>
      <c r="B39" s="96" t="s">
        <v>25</v>
      </c>
      <c r="C39" s="174">
        <v>2</v>
      </c>
      <c r="D39" s="20">
        <v>20</v>
      </c>
      <c r="E39" s="44">
        <f t="shared" si="0"/>
        <v>20</v>
      </c>
      <c r="F39" s="25"/>
      <c r="G39" s="25">
        <v>20</v>
      </c>
      <c r="H39" s="25"/>
      <c r="I39" s="8"/>
    </row>
    <row r="40" spans="1:9" s="30" customFormat="1" ht="18" hidden="1" customHeight="1">
      <c r="A40" s="95" t="s">
        <v>12</v>
      </c>
      <c r="B40" s="96" t="s">
        <v>23</v>
      </c>
      <c r="C40" s="174">
        <v>206</v>
      </c>
      <c r="D40" s="20">
        <v>2060</v>
      </c>
      <c r="E40" s="44">
        <f t="shared" si="0"/>
        <v>2060</v>
      </c>
      <c r="F40" s="25"/>
      <c r="G40" s="25">
        <v>2060</v>
      </c>
      <c r="H40" s="25"/>
      <c r="I40" s="8"/>
    </row>
    <row r="41" spans="1:9" s="30" customFormat="1" ht="18" hidden="1" customHeight="1">
      <c r="A41" s="95" t="s">
        <v>14</v>
      </c>
      <c r="B41" s="96" t="s">
        <v>21</v>
      </c>
      <c r="C41" s="174">
        <v>80</v>
      </c>
      <c r="D41" s="20">
        <v>800</v>
      </c>
      <c r="E41" s="44">
        <f t="shared" si="0"/>
        <v>800</v>
      </c>
      <c r="F41" s="25"/>
      <c r="G41" s="25">
        <v>800</v>
      </c>
      <c r="H41" s="25"/>
      <c r="I41" s="8"/>
    </row>
    <row r="42" spans="1:9" s="30" customFormat="1" ht="18" hidden="1" customHeight="1">
      <c r="A42" s="95" t="s">
        <v>16</v>
      </c>
      <c r="B42" s="96" t="s">
        <v>19</v>
      </c>
      <c r="C42" s="174">
        <v>57</v>
      </c>
      <c r="D42" s="20">
        <v>570</v>
      </c>
      <c r="E42" s="44">
        <f t="shared" si="0"/>
        <v>570</v>
      </c>
      <c r="F42" s="25"/>
      <c r="G42" s="25">
        <v>570</v>
      </c>
      <c r="H42" s="25"/>
      <c r="I42" s="8"/>
    </row>
    <row r="43" spans="1:9" s="30" customFormat="1" ht="18" hidden="1" customHeight="1">
      <c r="A43" s="95" t="s">
        <v>18</v>
      </c>
      <c r="B43" s="96" t="s">
        <v>17</v>
      </c>
      <c r="C43" s="174">
        <v>80</v>
      </c>
      <c r="D43" s="20">
        <v>800</v>
      </c>
      <c r="E43" s="44">
        <f t="shared" si="0"/>
        <v>800</v>
      </c>
      <c r="F43" s="25"/>
      <c r="G43" s="25">
        <v>800</v>
      </c>
      <c r="H43" s="25"/>
      <c r="I43" s="8"/>
    </row>
    <row r="44" spans="1:9" s="30" customFormat="1" ht="18" hidden="1" customHeight="1">
      <c r="A44" s="95" t="s">
        <v>20</v>
      </c>
      <c r="B44" s="96" t="s">
        <v>15</v>
      </c>
      <c r="C44" s="174">
        <v>1766</v>
      </c>
      <c r="D44" s="20">
        <v>17660</v>
      </c>
      <c r="E44" s="44">
        <f t="shared" si="0"/>
        <v>17660</v>
      </c>
      <c r="F44" s="25"/>
      <c r="G44" s="25">
        <v>17660</v>
      </c>
      <c r="H44" s="25"/>
      <c r="I44" s="8"/>
    </row>
    <row r="45" spans="1:9" s="30" customFormat="1" ht="18" hidden="1" customHeight="1">
      <c r="A45" s="95" t="s">
        <v>22</v>
      </c>
      <c r="B45" s="96" t="s">
        <v>13</v>
      </c>
      <c r="C45" s="174">
        <v>21</v>
      </c>
      <c r="D45" s="20">
        <v>210</v>
      </c>
      <c r="E45" s="44">
        <f t="shared" si="0"/>
        <v>210</v>
      </c>
      <c r="F45" s="25"/>
      <c r="G45" s="25">
        <v>210</v>
      </c>
      <c r="H45" s="25"/>
      <c r="I45" s="8"/>
    </row>
    <row r="46" spans="1:9" s="30" customFormat="1" ht="18" hidden="1" customHeight="1">
      <c r="A46" s="95" t="s">
        <v>24</v>
      </c>
      <c r="B46" s="96" t="s">
        <v>11</v>
      </c>
      <c r="C46" s="174">
        <v>107</v>
      </c>
      <c r="D46" s="20">
        <v>1070</v>
      </c>
      <c r="E46" s="44">
        <f t="shared" si="0"/>
        <v>1070</v>
      </c>
      <c r="F46" s="25"/>
      <c r="G46" s="25">
        <v>1070</v>
      </c>
      <c r="H46" s="25"/>
      <c r="I46" s="8"/>
    </row>
    <row r="47" spans="1:9" s="30" customFormat="1">
      <c r="A47" s="93" t="s">
        <v>30</v>
      </c>
      <c r="B47" s="94" t="s">
        <v>718</v>
      </c>
      <c r="C47" s="36">
        <f>SUM(C48:C55)</f>
        <v>7182</v>
      </c>
      <c r="D47" s="21">
        <f>SUM(D48:D55)</f>
        <v>21546</v>
      </c>
      <c r="E47" s="23">
        <f t="shared" si="0"/>
        <v>21546</v>
      </c>
      <c r="F47" s="25"/>
      <c r="G47" s="24">
        <f>SUM(G48:G55)</f>
        <v>21546</v>
      </c>
      <c r="H47" s="25"/>
    </row>
    <row r="48" spans="1:9" s="30" customFormat="1" ht="18" hidden="1" customHeight="1">
      <c r="A48" s="95" t="s">
        <v>10</v>
      </c>
      <c r="B48" s="96" t="s">
        <v>25</v>
      </c>
      <c r="C48" s="174"/>
      <c r="D48" s="20">
        <f>+E48</f>
        <v>0</v>
      </c>
      <c r="E48" s="44">
        <f t="shared" si="0"/>
        <v>0</v>
      </c>
      <c r="F48" s="25"/>
      <c r="G48" s="20">
        <f>+C48*3</f>
        <v>0</v>
      </c>
      <c r="H48" s="25"/>
      <c r="I48" s="8"/>
    </row>
    <row r="49" spans="1:10" s="30" customFormat="1" ht="18" hidden="1" customHeight="1">
      <c r="A49" s="95" t="s">
        <v>12</v>
      </c>
      <c r="B49" s="96" t="s">
        <v>23</v>
      </c>
      <c r="C49" s="174">
        <v>1540</v>
      </c>
      <c r="D49" s="20">
        <f t="shared" ref="D49:D55" si="6">+E49</f>
        <v>4620</v>
      </c>
      <c r="E49" s="44">
        <f t="shared" si="0"/>
        <v>4620</v>
      </c>
      <c r="F49" s="25"/>
      <c r="G49" s="20">
        <f t="shared" ref="G49:G55" si="7">+C49*3</f>
        <v>4620</v>
      </c>
      <c r="H49" s="25"/>
      <c r="I49" s="8"/>
      <c r="J49" s="30">
        <f>+C49*3</f>
        <v>4620</v>
      </c>
    </row>
    <row r="50" spans="1:10" s="30" customFormat="1" ht="18" hidden="1" customHeight="1">
      <c r="A50" s="95" t="s">
        <v>14</v>
      </c>
      <c r="B50" s="96" t="s">
        <v>21</v>
      </c>
      <c r="C50" s="174"/>
      <c r="D50" s="20">
        <f t="shared" si="6"/>
        <v>0</v>
      </c>
      <c r="E50" s="44">
        <f t="shared" si="0"/>
        <v>0</v>
      </c>
      <c r="F50" s="25"/>
      <c r="G50" s="20">
        <f t="shared" si="7"/>
        <v>0</v>
      </c>
      <c r="H50" s="25"/>
      <c r="I50" s="8"/>
      <c r="J50" s="30">
        <f t="shared" ref="J50:J55" si="8">+C50*3</f>
        <v>0</v>
      </c>
    </row>
    <row r="51" spans="1:10" s="30" customFormat="1" ht="18" hidden="1" customHeight="1">
      <c r="A51" s="95" t="s">
        <v>16</v>
      </c>
      <c r="B51" s="96" t="s">
        <v>19</v>
      </c>
      <c r="C51" s="174">
        <v>204</v>
      </c>
      <c r="D51" s="20">
        <f t="shared" si="6"/>
        <v>612</v>
      </c>
      <c r="E51" s="44">
        <f t="shared" si="0"/>
        <v>612</v>
      </c>
      <c r="F51" s="25"/>
      <c r="G51" s="20">
        <f t="shared" si="7"/>
        <v>612</v>
      </c>
      <c r="H51" s="25"/>
      <c r="I51" s="8"/>
      <c r="J51" s="30">
        <f t="shared" si="8"/>
        <v>612</v>
      </c>
    </row>
    <row r="52" spans="1:10" s="30" customFormat="1" ht="18" hidden="1" customHeight="1">
      <c r="A52" s="95" t="s">
        <v>18</v>
      </c>
      <c r="B52" s="96" t="s">
        <v>17</v>
      </c>
      <c r="C52" s="174">
        <v>2906</v>
      </c>
      <c r="D52" s="20">
        <f t="shared" si="6"/>
        <v>8718</v>
      </c>
      <c r="E52" s="44">
        <f t="shared" si="0"/>
        <v>8718</v>
      </c>
      <c r="F52" s="25"/>
      <c r="G52" s="20">
        <f t="shared" si="7"/>
        <v>8718</v>
      </c>
      <c r="H52" s="25"/>
      <c r="I52" s="8"/>
      <c r="J52" s="30">
        <f t="shared" si="8"/>
        <v>8718</v>
      </c>
    </row>
    <row r="53" spans="1:10" s="30" customFormat="1" ht="18" hidden="1" customHeight="1">
      <c r="A53" s="95" t="s">
        <v>20</v>
      </c>
      <c r="B53" s="96" t="s">
        <v>15</v>
      </c>
      <c r="C53" s="174">
        <v>2043</v>
      </c>
      <c r="D53" s="20">
        <f t="shared" si="6"/>
        <v>6129</v>
      </c>
      <c r="E53" s="44">
        <f t="shared" si="0"/>
        <v>6129</v>
      </c>
      <c r="F53" s="25"/>
      <c r="G53" s="20">
        <f t="shared" si="7"/>
        <v>6129</v>
      </c>
      <c r="H53" s="25"/>
      <c r="I53" s="8"/>
      <c r="J53" s="30">
        <f t="shared" si="8"/>
        <v>6129</v>
      </c>
    </row>
    <row r="54" spans="1:10" s="30" customFormat="1" ht="18" hidden="1" customHeight="1">
      <c r="A54" s="95" t="s">
        <v>22</v>
      </c>
      <c r="B54" s="96" t="s">
        <v>13</v>
      </c>
      <c r="C54" s="174">
        <v>359</v>
      </c>
      <c r="D54" s="20">
        <f t="shared" si="6"/>
        <v>1077</v>
      </c>
      <c r="E54" s="44">
        <f t="shared" si="0"/>
        <v>1077</v>
      </c>
      <c r="F54" s="25"/>
      <c r="G54" s="20">
        <f t="shared" si="7"/>
        <v>1077</v>
      </c>
      <c r="H54" s="25"/>
      <c r="I54" s="8"/>
      <c r="J54" s="30">
        <f t="shared" si="8"/>
        <v>1077</v>
      </c>
    </row>
    <row r="55" spans="1:10" s="30" customFormat="1" ht="18" hidden="1" customHeight="1">
      <c r="A55" s="95" t="s">
        <v>24</v>
      </c>
      <c r="B55" s="96" t="s">
        <v>11</v>
      </c>
      <c r="C55" s="174">
        <v>130</v>
      </c>
      <c r="D55" s="20">
        <f t="shared" si="6"/>
        <v>390</v>
      </c>
      <c r="E55" s="44">
        <f t="shared" si="0"/>
        <v>390</v>
      </c>
      <c r="F55" s="25"/>
      <c r="G55" s="20">
        <f t="shared" si="7"/>
        <v>390</v>
      </c>
      <c r="H55" s="25"/>
      <c r="I55" s="8"/>
      <c r="J55" s="30">
        <f t="shared" si="8"/>
        <v>390</v>
      </c>
    </row>
    <row r="56" spans="1:10" s="30" customFormat="1">
      <c r="A56" s="26" t="s">
        <v>31</v>
      </c>
      <c r="B56" s="54" t="s">
        <v>67</v>
      </c>
      <c r="C56" s="36">
        <f>SUM(C57:C68)</f>
        <v>16796</v>
      </c>
      <c r="D56" s="23">
        <f>+D57+D60</f>
        <v>139623</v>
      </c>
      <c r="E56" s="23">
        <f t="shared" ref="E56:F56" si="9">+E57+E60</f>
        <v>139623</v>
      </c>
      <c r="F56" s="23">
        <f t="shared" si="9"/>
        <v>139623</v>
      </c>
      <c r="G56" s="23"/>
      <c r="H56" s="1132" t="s">
        <v>2072</v>
      </c>
      <c r="I56" s="175"/>
    </row>
    <row r="57" spans="1:10" s="30" customFormat="1" ht="18" customHeight="1">
      <c r="A57" s="26" t="s">
        <v>1612</v>
      </c>
      <c r="B57" s="55" t="s">
        <v>733</v>
      </c>
      <c r="C57" s="34">
        <f>+'1.1'!D8</f>
        <v>8454</v>
      </c>
      <c r="D57" s="21">
        <f>SUM(D58:D59)</f>
        <v>69740</v>
      </c>
      <c r="E57" s="21">
        <f t="shared" ref="E57:F57" si="10">SUM(E58:E59)</f>
        <v>69740</v>
      </c>
      <c r="F57" s="21">
        <f t="shared" si="10"/>
        <v>69740</v>
      </c>
      <c r="G57" s="21"/>
      <c r="H57" s="18"/>
      <c r="I57" s="175"/>
    </row>
    <row r="58" spans="1:10" ht="18" customHeight="1">
      <c r="A58" s="13" t="s">
        <v>10</v>
      </c>
      <c r="B58" s="638" t="s">
        <v>734</v>
      </c>
      <c r="C58" s="174"/>
      <c r="D58" s="20">
        <f>VLOOKUP(B58,'1.1'!B6:G58,5,0)</f>
        <v>35000</v>
      </c>
      <c r="E58" s="44">
        <f t="shared" ref="E58:E59" si="11">+F58+G58</f>
        <v>35000</v>
      </c>
      <c r="F58" s="20">
        <f>VLOOKUP(B58,'1.1'!B6:G58,6,0)</f>
        <v>35000</v>
      </c>
      <c r="G58" s="20"/>
      <c r="H58" s="18"/>
      <c r="I58" s="639"/>
    </row>
    <row r="59" spans="1:10">
      <c r="A59" s="13" t="s">
        <v>12</v>
      </c>
      <c r="B59" s="638" t="s">
        <v>1915</v>
      </c>
      <c r="C59" s="174"/>
      <c r="D59" s="20">
        <f>VLOOKUP(B59,'1.1'!B7:G59,5,0)</f>
        <v>34740</v>
      </c>
      <c r="E59" s="44">
        <f t="shared" si="11"/>
        <v>34740</v>
      </c>
      <c r="F59" s="20">
        <f>VLOOKUP(B59,'1.1'!B7:G59,6,0)</f>
        <v>34740</v>
      </c>
      <c r="G59" s="20"/>
      <c r="H59" s="18"/>
      <c r="I59" s="639"/>
    </row>
    <row r="60" spans="1:10" s="30" customFormat="1" ht="18" customHeight="1">
      <c r="A60" s="26" t="s">
        <v>1612</v>
      </c>
      <c r="B60" s="55" t="s">
        <v>901</v>
      </c>
      <c r="C60" s="34">
        <f>SUM(C61:C68)</f>
        <v>4171</v>
      </c>
      <c r="D60" s="21">
        <f>SUM(D61:D68)</f>
        <v>69883</v>
      </c>
      <c r="E60" s="21">
        <f>SUM(E61:E68)</f>
        <v>69883</v>
      </c>
      <c r="F60" s="21">
        <f>SUM(F61:F68)</f>
        <v>69883</v>
      </c>
      <c r="G60" s="21"/>
      <c r="H60" s="18"/>
      <c r="I60" s="175"/>
    </row>
    <row r="61" spans="1:10" ht="18" customHeight="1">
      <c r="A61" s="13" t="s">
        <v>10</v>
      </c>
      <c r="B61" s="12" t="s">
        <v>25</v>
      </c>
      <c r="C61" s="174">
        <f>VLOOKUP(B61,'1.1'!B9:G61,3,0)</f>
        <v>101</v>
      </c>
      <c r="D61" s="20">
        <f>VLOOKUP(B61,'1.1'!B9:G61,5,0)</f>
        <v>2935</v>
      </c>
      <c r="E61" s="44">
        <f t="shared" ref="E61:E68" si="12">+F61+G61</f>
        <v>2935</v>
      </c>
      <c r="F61" s="20">
        <f>VLOOKUP(B61,'1.1'!B9:G61,6,0)</f>
        <v>2935</v>
      </c>
      <c r="G61" s="20"/>
      <c r="H61" s="178"/>
    </row>
    <row r="62" spans="1:10" ht="18" customHeight="1">
      <c r="A62" s="13" t="s">
        <v>12</v>
      </c>
      <c r="B62" s="12" t="s">
        <v>23</v>
      </c>
      <c r="C62" s="174">
        <f>VLOOKUP(B62,'1.1'!B9:G64,3,0)</f>
        <v>1080</v>
      </c>
      <c r="D62" s="20">
        <f>VLOOKUP(B62,'1.1'!B9:G64,5,0)</f>
        <v>11693</v>
      </c>
      <c r="E62" s="44">
        <f t="shared" si="12"/>
        <v>11693</v>
      </c>
      <c r="F62" s="20">
        <f>VLOOKUP(B62,'1.1'!B9:G64,6,0)</f>
        <v>11693</v>
      </c>
      <c r="G62" s="20"/>
      <c r="H62" s="178"/>
    </row>
    <row r="63" spans="1:10" ht="18" customHeight="1">
      <c r="A63" s="13" t="s">
        <v>14</v>
      </c>
      <c r="B63" s="12" t="s">
        <v>21</v>
      </c>
      <c r="C63" s="174">
        <f>VLOOKUP(B63,'1.1'!B9:G65,3,0)</f>
        <v>418</v>
      </c>
      <c r="D63" s="20">
        <f>VLOOKUP(B63,'1.1'!B9:G65,5,0)</f>
        <v>5879</v>
      </c>
      <c r="E63" s="44">
        <f t="shared" si="12"/>
        <v>5879</v>
      </c>
      <c r="F63" s="20">
        <f>VLOOKUP(B63,'1.1'!B9:G65,6,0)</f>
        <v>5879</v>
      </c>
      <c r="G63" s="20"/>
      <c r="H63" s="178"/>
    </row>
    <row r="64" spans="1:10" ht="18" customHeight="1">
      <c r="A64" s="13" t="s">
        <v>16</v>
      </c>
      <c r="B64" s="12" t="s">
        <v>19</v>
      </c>
      <c r="C64" s="174">
        <f>VLOOKUP(B64,'1.1'!B9:G66,3,0)</f>
        <v>404</v>
      </c>
      <c r="D64" s="20">
        <f>VLOOKUP(B64,'1.1'!B9:G66,5,0)</f>
        <v>8786</v>
      </c>
      <c r="E64" s="44">
        <f t="shared" si="12"/>
        <v>8786</v>
      </c>
      <c r="F64" s="20">
        <f>VLOOKUP(B64,'1.1'!B9:G66,6,0)</f>
        <v>8786</v>
      </c>
      <c r="G64" s="20"/>
      <c r="H64" s="178"/>
    </row>
    <row r="65" spans="1:17" ht="18" customHeight="1">
      <c r="A65" s="13" t="s">
        <v>18</v>
      </c>
      <c r="B65" s="12" t="s">
        <v>17</v>
      </c>
      <c r="C65" s="174">
        <f>VLOOKUP(B65,'1.1'!B9:G67,3,0)</f>
        <v>423</v>
      </c>
      <c r="D65" s="20">
        <f>VLOOKUP(B65,'1.1'!B9:G67,5,0)</f>
        <v>8596</v>
      </c>
      <c r="E65" s="44">
        <f t="shared" si="12"/>
        <v>8596</v>
      </c>
      <c r="F65" s="20">
        <f>VLOOKUP(B65,'1.1'!B9:G67,6,0)</f>
        <v>8596</v>
      </c>
      <c r="G65" s="20"/>
      <c r="H65" s="178"/>
    </row>
    <row r="66" spans="1:17" ht="18" customHeight="1">
      <c r="A66" s="13" t="s">
        <v>20</v>
      </c>
      <c r="B66" s="12" t="s">
        <v>15</v>
      </c>
      <c r="C66" s="174">
        <f>VLOOKUP(B66,'1.1'!B9:G68,3,0)</f>
        <v>955</v>
      </c>
      <c r="D66" s="20">
        <f>VLOOKUP(B66,'1.1'!B9:G68,5,0)</f>
        <v>11547</v>
      </c>
      <c r="E66" s="44">
        <f t="shared" si="12"/>
        <v>11547</v>
      </c>
      <c r="F66" s="20">
        <f>VLOOKUP(B66,'1.1'!B9:G68,6,0)</f>
        <v>11547</v>
      </c>
      <c r="G66" s="20"/>
      <c r="H66" s="178"/>
    </row>
    <row r="67" spans="1:17" ht="18" customHeight="1">
      <c r="A67" s="13" t="s">
        <v>22</v>
      </c>
      <c r="B67" s="12" t="s">
        <v>13</v>
      </c>
      <c r="C67" s="174">
        <f>VLOOKUP(B67,'1.1'!B9:G68,3,0)</f>
        <v>291</v>
      </c>
      <c r="D67" s="20">
        <f>VLOOKUP(B67,'1.1'!B9:G68,5,0)</f>
        <v>8757</v>
      </c>
      <c r="E67" s="44">
        <f t="shared" si="12"/>
        <v>8757</v>
      </c>
      <c r="F67" s="20">
        <f>VLOOKUP(B67,'1.1'!B9:G68,6,0)</f>
        <v>8757</v>
      </c>
      <c r="G67" s="25"/>
      <c r="H67" s="178"/>
    </row>
    <row r="68" spans="1:17" ht="18" customHeight="1">
      <c r="A68" s="13" t="s">
        <v>24</v>
      </c>
      <c r="B68" s="12" t="s">
        <v>11</v>
      </c>
      <c r="C68" s="174">
        <f>VLOOKUP(B68,'1.1'!B9:G68,3,0)</f>
        <v>499</v>
      </c>
      <c r="D68" s="20">
        <f>VLOOKUP(B68,'1.1'!B9:G68,5,0)</f>
        <v>11690</v>
      </c>
      <c r="E68" s="44">
        <f t="shared" si="12"/>
        <v>11690</v>
      </c>
      <c r="F68" s="20">
        <f>VLOOKUP(B68,'1.1'!B9:G68,6,0)</f>
        <v>11690</v>
      </c>
      <c r="G68" s="20"/>
      <c r="H68" s="178"/>
      <c r="O68" s="8" t="s">
        <v>1412</v>
      </c>
      <c r="P68" s="8">
        <f>2*7+1</f>
        <v>15</v>
      </c>
      <c r="Q68" s="8">
        <f>+P68*3000</f>
        <v>45000</v>
      </c>
    </row>
    <row r="69" spans="1:17" ht="42.75" customHeight="1">
      <c r="A69" s="1764" t="s">
        <v>2462</v>
      </c>
      <c r="B69" s="1764"/>
      <c r="C69" s="1764"/>
      <c r="D69" s="1764"/>
      <c r="E69" s="1764"/>
      <c r="F69" s="1764"/>
      <c r="G69" s="1764"/>
      <c r="H69" s="1764"/>
    </row>
    <row r="70" spans="1:17" ht="18" customHeight="1">
      <c r="A70" s="58"/>
      <c r="B70" s="58"/>
      <c r="C70" s="58"/>
      <c r="D70" s="58"/>
      <c r="E70" s="58"/>
      <c r="F70" s="58"/>
      <c r="G70" s="58"/>
      <c r="H70" s="58"/>
    </row>
    <row r="71" spans="1:17" ht="18" customHeight="1">
      <c r="A71" s="58"/>
      <c r="B71" s="58"/>
      <c r="C71" s="58"/>
      <c r="D71" s="58"/>
      <c r="E71" s="58"/>
      <c r="F71" s="58"/>
      <c r="G71" s="58"/>
      <c r="H71" s="58"/>
    </row>
    <row r="72" spans="1:17" ht="18" customHeight="1">
      <c r="A72" s="58"/>
      <c r="B72" s="58"/>
      <c r="C72" s="58"/>
      <c r="D72" s="58"/>
      <c r="E72" s="58"/>
      <c r="F72" s="58"/>
      <c r="G72" s="58"/>
      <c r="H72" s="58"/>
    </row>
    <row r="73" spans="1:17" ht="18" customHeight="1">
      <c r="A73" s="58"/>
      <c r="B73" s="58"/>
      <c r="C73" s="58"/>
      <c r="D73" s="58"/>
      <c r="E73" s="58"/>
      <c r="F73" s="58"/>
      <c r="G73" s="58"/>
      <c r="H73" s="58"/>
    </row>
    <row r="74" spans="1:17" ht="18" customHeight="1">
      <c r="A74" s="58"/>
      <c r="B74" s="58"/>
      <c r="C74" s="58"/>
      <c r="D74" s="58"/>
      <c r="E74" s="58"/>
      <c r="F74" s="58"/>
      <c r="G74" s="58"/>
      <c r="H74" s="58"/>
    </row>
    <row r="75" spans="1:17" ht="18" customHeight="1">
      <c r="A75" s="58"/>
      <c r="B75" s="58"/>
      <c r="C75" s="58"/>
      <c r="D75" s="58"/>
      <c r="E75" s="58"/>
      <c r="F75" s="58"/>
      <c r="G75" s="58"/>
      <c r="H75" s="58"/>
    </row>
    <row r="76" spans="1:17" ht="18" customHeight="1">
      <c r="A76" s="58"/>
      <c r="B76" s="58"/>
      <c r="C76" s="58"/>
      <c r="D76" s="58"/>
      <c r="E76" s="58"/>
      <c r="F76" s="58"/>
      <c r="G76" s="58"/>
      <c r="H76" s="58"/>
    </row>
    <row r="77" spans="1:17" ht="18" customHeight="1">
      <c r="A77" s="58"/>
      <c r="B77" s="58"/>
      <c r="C77" s="58"/>
      <c r="D77" s="58"/>
      <c r="E77" s="58"/>
      <c r="F77" s="58"/>
      <c r="G77" s="58"/>
      <c r="H77" s="58"/>
    </row>
    <row r="78" spans="1:17" ht="18" customHeight="1">
      <c r="A78" s="58"/>
      <c r="B78" s="58"/>
      <c r="C78" s="58"/>
      <c r="D78" s="58"/>
      <c r="E78" s="58"/>
      <c r="F78" s="58"/>
      <c r="G78" s="58"/>
      <c r="H78" s="58"/>
    </row>
    <row r="79" spans="1:17" ht="18" customHeight="1">
      <c r="A79" s="58"/>
      <c r="B79" s="58"/>
      <c r="C79" s="58"/>
      <c r="D79" s="58"/>
      <c r="E79" s="58"/>
      <c r="F79" s="58"/>
      <c r="G79" s="58"/>
      <c r="H79" s="58"/>
    </row>
    <row r="80" spans="1:17" ht="21" customHeight="1">
      <c r="A80" s="58"/>
      <c r="B80" s="58"/>
      <c r="C80" s="58"/>
      <c r="D80" s="58"/>
      <c r="E80" s="58"/>
      <c r="F80" s="58"/>
      <c r="G80" s="58"/>
      <c r="H80" s="58"/>
    </row>
    <row r="81" spans="1:8" ht="21" customHeight="1">
      <c r="A81" s="58"/>
      <c r="B81" s="58"/>
      <c r="C81" s="58"/>
      <c r="D81" s="58"/>
      <c r="E81" s="58"/>
      <c r="F81" s="58"/>
      <c r="G81" s="58"/>
      <c r="H81" s="58"/>
    </row>
    <row r="82" spans="1:8" ht="21" customHeight="1">
      <c r="A82" s="58"/>
      <c r="B82" s="58"/>
      <c r="C82" s="58"/>
      <c r="D82" s="58"/>
      <c r="E82" s="58"/>
      <c r="F82" s="58"/>
      <c r="G82" s="58"/>
      <c r="H82" s="58"/>
    </row>
    <row r="83" spans="1:8" ht="21" customHeight="1">
      <c r="A83" s="58"/>
      <c r="B83" s="58"/>
      <c r="C83" s="58"/>
      <c r="D83" s="58"/>
      <c r="E83" s="58"/>
      <c r="F83" s="58"/>
      <c r="G83" s="58"/>
      <c r="H83" s="58"/>
    </row>
    <row r="84" spans="1:8" ht="21" customHeight="1">
      <c r="A84" s="58"/>
      <c r="B84" s="58"/>
      <c r="C84" s="58"/>
      <c r="D84" s="58"/>
      <c r="E84" s="58"/>
      <c r="F84" s="58"/>
      <c r="G84" s="58"/>
      <c r="H84" s="58"/>
    </row>
    <row r="85" spans="1:8" ht="21" customHeight="1">
      <c r="A85" s="58"/>
      <c r="B85" s="58"/>
      <c r="C85" s="58"/>
      <c r="D85" s="58"/>
      <c r="E85" s="58"/>
      <c r="F85" s="58"/>
      <c r="G85" s="58"/>
      <c r="H85" s="58"/>
    </row>
    <row r="86" spans="1:8" ht="21" customHeight="1"/>
    <row r="87" spans="1:8" ht="21" customHeight="1"/>
    <row r="88" spans="1:8" ht="21" customHeight="1"/>
    <row r="89" spans="1:8" ht="21" customHeight="1"/>
    <row r="90" spans="1:8" ht="21" customHeight="1"/>
    <row r="91" spans="1:8" ht="21" customHeight="1"/>
    <row r="92" spans="1:8" ht="21" customHeight="1"/>
    <row r="93" spans="1:8" ht="21" customHeight="1"/>
    <row r="94" spans="1:8" ht="21" customHeight="1"/>
    <row r="95" spans="1:8" ht="21" customHeight="1"/>
    <row r="96" spans="1:8"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sheetData>
  <autoFilter ref="A9:Q69"/>
  <mergeCells count="14">
    <mergeCell ref="A1:H1"/>
    <mergeCell ref="A5:H5"/>
    <mergeCell ref="A69:H69"/>
    <mergeCell ref="A2:B2"/>
    <mergeCell ref="A3:H3"/>
    <mergeCell ref="A4:H4"/>
    <mergeCell ref="A6:H6"/>
    <mergeCell ref="A7:A8"/>
    <mergeCell ref="B7:B8"/>
    <mergeCell ref="C7:C8"/>
    <mergeCell ref="H7:H8"/>
    <mergeCell ref="D7:D8"/>
    <mergeCell ref="G2:H2"/>
    <mergeCell ref="F7:F8"/>
  </mergeCells>
  <pageMargins left="0.5" right="0.5" top="0.5" bottom="0.5" header="0.47" footer="0.3"/>
  <pageSetup paperSize="9" scale="90" orientation="portrait" r:id="rId1"/>
  <headerFooter>
    <oddFooter>Page &amp;P</oddFooter>
  </headerFooter>
  <ignoredErrors>
    <ignoredError sqref="F20" formula="1"/>
    <ignoredError sqref="A58:A61"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220"/>
  <sheetViews>
    <sheetView zoomScaleNormal="100" workbookViewId="0">
      <selection activeCell="F6" sqref="F6:F10"/>
    </sheetView>
  </sheetViews>
  <sheetFormatPr defaultColWidth="9.08203125" defaultRowHeight="13"/>
  <cols>
    <col min="1" max="1" width="4.9140625" style="8" customWidth="1"/>
    <col min="2" max="2" width="35.4140625" style="8" customWidth="1"/>
    <col min="3" max="3" width="16.08203125" style="645" customWidth="1"/>
    <col min="4" max="4" width="7.4140625" style="645" customWidth="1"/>
    <col min="5" max="5" width="9.08203125" style="648" customWidth="1"/>
    <col min="6" max="6" width="9.9140625" style="8" customWidth="1"/>
    <col min="7" max="7" width="9.4140625" style="8" customWidth="1"/>
    <col min="8" max="8" width="6.9140625" style="648" customWidth="1"/>
    <col min="9" max="16384" width="9.08203125" style="8"/>
  </cols>
  <sheetData>
    <row r="1" spans="1:8" ht="22.5" customHeight="1">
      <c r="A1" s="1714" t="s">
        <v>2911</v>
      </c>
      <c r="B1" s="1714"/>
      <c r="C1" s="1714"/>
      <c r="D1" s="1714"/>
      <c r="E1" s="1714"/>
      <c r="F1" s="1714"/>
      <c r="G1" s="1714"/>
      <c r="H1" s="1714"/>
    </row>
    <row r="2" spans="1:8" s="164" customFormat="1" ht="18" hidden="1" customHeight="1">
      <c r="A2" s="1772"/>
      <c r="B2" s="1772"/>
      <c r="C2" s="1086"/>
      <c r="D2" s="1086"/>
      <c r="E2" s="1087"/>
      <c r="F2" s="1088"/>
      <c r="G2" s="1774" t="s">
        <v>2072</v>
      </c>
      <c r="H2" s="1774"/>
    </row>
    <row r="3" spans="1:8" ht="18" customHeight="1">
      <c r="A3" s="1714" t="s">
        <v>54</v>
      </c>
      <c r="B3" s="1714"/>
      <c r="C3" s="1714"/>
      <c r="D3" s="1714"/>
      <c r="E3" s="1714"/>
      <c r="F3" s="1714"/>
      <c r="G3" s="1714"/>
      <c r="H3" s="1714"/>
    </row>
    <row r="4" spans="1:8" ht="18" customHeight="1">
      <c r="A4" s="1716" t="e">
        <f>#REF!</f>
        <v>#REF!</v>
      </c>
      <c r="B4" s="1716"/>
      <c r="C4" s="1716"/>
      <c r="D4" s="1716"/>
      <c r="E4" s="1716"/>
      <c r="F4" s="1716"/>
      <c r="G4" s="1716"/>
      <c r="H4" s="1716"/>
    </row>
    <row r="5" spans="1:8" ht="18" customHeight="1">
      <c r="A5" s="1773" t="s">
        <v>3</v>
      </c>
      <c r="B5" s="1773"/>
      <c r="C5" s="1773"/>
      <c r="D5" s="1773"/>
      <c r="E5" s="1773"/>
      <c r="F5" s="1773"/>
      <c r="G5" s="1773"/>
      <c r="H5" s="1773"/>
    </row>
    <row r="6" spans="1:8" ht="51.75" customHeight="1">
      <c r="A6" s="66" t="s">
        <v>4</v>
      </c>
      <c r="B6" s="66" t="s">
        <v>5</v>
      </c>
      <c r="C6" s="66" t="s">
        <v>55</v>
      </c>
      <c r="D6" s="66" t="s">
        <v>116</v>
      </c>
      <c r="E6" s="65" t="s">
        <v>35</v>
      </c>
      <c r="F6" s="65" t="s">
        <v>2538</v>
      </c>
      <c r="G6" s="65" t="s">
        <v>2782</v>
      </c>
      <c r="H6" s="66" t="s">
        <v>33</v>
      </c>
    </row>
    <row r="7" spans="1:8" s="485" customFormat="1" ht="18" hidden="1" customHeight="1">
      <c r="A7" s="484" t="s">
        <v>10</v>
      </c>
      <c r="B7" s="484" t="s">
        <v>12</v>
      </c>
      <c r="C7" s="484" t="s">
        <v>14</v>
      </c>
      <c r="D7" s="484" t="s">
        <v>16</v>
      </c>
      <c r="E7" s="484" t="s">
        <v>18</v>
      </c>
      <c r="F7" s="484" t="s">
        <v>20</v>
      </c>
      <c r="G7" s="484"/>
      <c r="H7" s="484" t="s">
        <v>24</v>
      </c>
    </row>
    <row r="8" spans="1:8" s="30" customFormat="1" ht="18" customHeight="1">
      <c r="A8" s="40"/>
      <c r="B8" s="40" t="s">
        <v>6</v>
      </c>
      <c r="C8" s="40"/>
      <c r="D8" s="36">
        <f>D9+D35</f>
        <v>8454</v>
      </c>
      <c r="E8" s="40"/>
      <c r="F8" s="23">
        <f>+F9+F35</f>
        <v>174363</v>
      </c>
      <c r="G8" s="23">
        <f>+G9+G35</f>
        <v>139623</v>
      </c>
      <c r="H8" s="40"/>
    </row>
    <row r="9" spans="1:8" s="30" customFormat="1" ht="18" customHeight="1">
      <c r="A9" s="40" t="s">
        <v>37</v>
      </c>
      <c r="B9" s="54" t="s">
        <v>733</v>
      </c>
      <c r="C9" s="40"/>
      <c r="D9" s="36">
        <f>+D10+D23</f>
        <v>4283</v>
      </c>
      <c r="E9" s="40"/>
      <c r="F9" s="23">
        <f>SUM(F11:F34)</f>
        <v>104480</v>
      </c>
      <c r="G9" s="23">
        <f>+G10+G23</f>
        <v>69740</v>
      </c>
      <c r="H9" s="40"/>
    </row>
    <row r="10" spans="1:8" s="30" customFormat="1" ht="24.75" customHeight="1">
      <c r="A10" s="40" t="s">
        <v>8</v>
      </c>
      <c r="B10" s="54" t="s">
        <v>734</v>
      </c>
      <c r="C10" s="40"/>
      <c r="D10" s="36">
        <f>SUM(D11:D22)</f>
        <v>2451</v>
      </c>
      <c r="E10" s="40"/>
      <c r="F10" s="23">
        <f>SUM(F11:F22)</f>
        <v>35000</v>
      </c>
      <c r="G10" s="23">
        <f>SUM(G11:G22)</f>
        <v>35000</v>
      </c>
      <c r="H10" s="40"/>
    </row>
    <row r="11" spans="1:8" s="30" customFormat="1" ht="26">
      <c r="A11" s="18">
        <f>IF(G11&gt;0,SUBTOTAL(3,$G$11:G11),"")</f>
        <v>1</v>
      </c>
      <c r="B11" s="638" t="s">
        <v>2153</v>
      </c>
      <c r="C11" s="18" t="s">
        <v>2334</v>
      </c>
      <c r="D11" s="18">
        <v>602</v>
      </c>
      <c r="E11" s="18" t="s">
        <v>118</v>
      </c>
      <c r="F11" s="44">
        <v>4500</v>
      </c>
      <c r="G11" s="44">
        <v>4500</v>
      </c>
      <c r="H11" s="40"/>
    </row>
    <row r="12" spans="1:8" s="30" customFormat="1" ht="26">
      <c r="A12" s="18">
        <f>IF(G12&gt;0,SUBTOTAL(3,$G$11:G12),"")</f>
        <v>2</v>
      </c>
      <c r="B12" s="638" t="s">
        <v>2155</v>
      </c>
      <c r="C12" s="18" t="s">
        <v>2337</v>
      </c>
      <c r="D12" s="18">
        <v>304</v>
      </c>
      <c r="E12" s="18" t="s">
        <v>118</v>
      </c>
      <c r="F12" s="44">
        <v>3500</v>
      </c>
      <c r="G12" s="44">
        <v>3500</v>
      </c>
      <c r="H12" s="40"/>
    </row>
    <row r="13" spans="1:8" s="30" customFormat="1" ht="26">
      <c r="A13" s="18">
        <f>IF(G13&gt;0,SUBTOTAL(3,$G$11:G13),"")</f>
        <v>3</v>
      </c>
      <c r="B13" s="638" t="s">
        <v>2157</v>
      </c>
      <c r="C13" s="18" t="s">
        <v>2339</v>
      </c>
      <c r="D13" s="18">
        <v>121</v>
      </c>
      <c r="E13" s="18" t="s">
        <v>118</v>
      </c>
      <c r="F13" s="44">
        <v>3000</v>
      </c>
      <c r="G13" s="44">
        <v>3000</v>
      </c>
      <c r="H13" s="40"/>
    </row>
    <row r="14" spans="1:8" s="30" customFormat="1" ht="26">
      <c r="A14" s="18">
        <f>IF(G14&gt;0,SUBTOTAL(3,$G$11:G14),"")</f>
        <v>4</v>
      </c>
      <c r="B14" s="638" t="s">
        <v>619</v>
      </c>
      <c r="C14" s="18" t="s">
        <v>2365</v>
      </c>
      <c r="D14" s="18">
        <v>109</v>
      </c>
      <c r="E14" s="18" t="s">
        <v>118</v>
      </c>
      <c r="F14" s="44">
        <v>3000</v>
      </c>
      <c r="G14" s="44">
        <v>3000</v>
      </c>
      <c r="H14" s="40"/>
    </row>
    <row r="15" spans="1:8" s="30" customFormat="1" ht="26">
      <c r="A15" s="18">
        <f>IF(G15&gt;0,SUBTOTAL(3,$G$11:G15),"")</f>
        <v>5</v>
      </c>
      <c r="B15" s="638" t="s">
        <v>2158</v>
      </c>
      <c r="C15" s="18" t="s">
        <v>2340</v>
      </c>
      <c r="D15" s="18">
        <v>155</v>
      </c>
      <c r="E15" s="18" t="s">
        <v>118</v>
      </c>
      <c r="F15" s="44">
        <v>3000</v>
      </c>
      <c r="G15" s="44">
        <v>3000</v>
      </c>
      <c r="H15" s="40"/>
    </row>
    <row r="16" spans="1:8" s="30" customFormat="1" ht="26">
      <c r="A16" s="18">
        <f>IF(G16&gt;0,SUBTOTAL(3,$G$11:G16),"")</f>
        <v>6</v>
      </c>
      <c r="B16" s="638" t="s">
        <v>2160</v>
      </c>
      <c r="C16" s="18" t="s">
        <v>2366</v>
      </c>
      <c r="D16" s="18">
        <v>79</v>
      </c>
      <c r="E16" s="18" t="s">
        <v>118</v>
      </c>
      <c r="F16" s="44">
        <v>2000</v>
      </c>
      <c r="G16" s="44">
        <v>2000</v>
      </c>
      <c r="H16" s="40"/>
    </row>
    <row r="17" spans="1:8" s="30" customFormat="1" ht="26">
      <c r="A17" s="18">
        <f>IF(G17&gt;0,SUBTOTAL(3,$G$11:G17),"")</f>
        <v>7</v>
      </c>
      <c r="B17" s="638" t="s">
        <v>2162</v>
      </c>
      <c r="C17" s="18" t="s">
        <v>2367</v>
      </c>
      <c r="D17" s="18">
        <v>140</v>
      </c>
      <c r="E17" s="18" t="s">
        <v>118</v>
      </c>
      <c r="F17" s="44">
        <v>2500</v>
      </c>
      <c r="G17" s="44">
        <v>2500</v>
      </c>
      <c r="H17" s="40"/>
    </row>
    <row r="18" spans="1:8" s="30" customFormat="1" ht="26">
      <c r="A18" s="18">
        <f>IF(G18&gt;0,SUBTOTAL(3,$G$11:G18),"")</f>
        <v>8</v>
      </c>
      <c r="B18" s="638" t="s">
        <v>2319</v>
      </c>
      <c r="C18" s="18" t="s">
        <v>2368</v>
      </c>
      <c r="D18" s="18">
        <v>175</v>
      </c>
      <c r="E18" s="18" t="s">
        <v>118</v>
      </c>
      <c r="F18" s="44">
        <v>2500</v>
      </c>
      <c r="G18" s="44">
        <v>2500</v>
      </c>
      <c r="H18" s="40"/>
    </row>
    <row r="19" spans="1:8" s="30" customFormat="1" ht="26">
      <c r="A19" s="18">
        <f>IF(G19&gt;0,SUBTOTAL(3,$G$11:G19),"")</f>
        <v>9</v>
      </c>
      <c r="B19" s="638" t="s">
        <v>109</v>
      </c>
      <c r="C19" s="18" t="s">
        <v>2369</v>
      </c>
      <c r="D19" s="18">
        <v>42</v>
      </c>
      <c r="E19" s="18" t="s">
        <v>118</v>
      </c>
      <c r="F19" s="44">
        <v>2500</v>
      </c>
      <c r="G19" s="44">
        <v>2500</v>
      </c>
      <c r="H19" s="40"/>
    </row>
    <row r="20" spans="1:8" s="30" customFormat="1" ht="26">
      <c r="A20" s="18">
        <f>IF(G20&gt;0,SUBTOTAL(3,$G$11:G20),"")</f>
        <v>10</v>
      </c>
      <c r="B20" s="12" t="s">
        <v>2176</v>
      </c>
      <c r="C20" s="13" t="s">
        <v>2370</v>
      </c>
      <c r="D20" s="56">
        <v>61</v>
      </c>
      <c r="E20" s="44" t="s">
        <v>118</v>
      </c>
      <c r="F20" s="44">
        <f>+G20</f>
        <v>2500</v>
      </c>
      <c r="G20" s="44">
        <v>2500</v>
      </c>
      <c r="H20" s="40"/>
    </row>
    <row r="21" spans="1:8" s="30" customFormat="1" ht="39">
      <c r="A21" s="18">
        <f>IF(G21&gt;0,SUBTOTAL(3,$G$11:G21),"")</f>
        <v>11</v>
      </c>
      <c r="B21" s="12" t="s">
        <v>2482</v>
      </c>
      <c r="C21" s="13" t="s">
        <v>2483</v>
      </c>
      <c r="D21" s="56">
        <v>539</v>
      </c>
      <c r="E21" s="44" t="s">
        <v>118</v>
      </c>
      <c r="F21" s="44">
        <v>4000</v>
      </c>
      <c r="G21" s="44">
        <v>4000</v>
      </c>
      <c r="H21" s="40"/>
    </row>
    <row r="22" spans="1:8" s="30" customFormat="1" ht="26">
      <c r="A22" s="18">
        <f>IF(G22&gt;0,SUBTOTAL(3,$G$11:G22),"")</f>
        <v>12</v>
      </c>
      <c r="B22" s="638" t="s">
        <v>464</v>
      </c>
      <c r="C22" s="18" t="s">
        <v>2371</v>
      </c>
      <c r="D22" s="18">
        <v>124</v>
      </c>
      <c r="E22" s="18" t="s">
        <v>118</v>
      </c>
      <c r="F22" s="44">
        <v>2000</v>
      </c>
      <c r="G22" s="44">
        <v>2000</v>
      </c>
      <c r="H22" s="40"/>
    </row>
    <row r="23" spans="1:8" s="30" customFormat="1" ht="26">
      <c r="A23" s="40" t="s">
        <v>26</v>
      </c>
      <c r="B23" s="54" t="s">
        <v>1915</v>
      </c>
      <c r="C23" s="40"/>
      <c r="D23" s="36">
        <f>SUM(D24:D34)</f>
        <v>1832</v>
      </c>
      <c r="E23" s="40"/>
      <c r="F23" s="23">
        <f>SUM(F24:F34)</f>
        <v>34740</v>
      </c>
      <c r="G23" s="23">
        <f>SUM(G24:G34)</f>
        <v>34740</v>
      </c>
      <c r="H23" s="40"/>
    </row>
    <row r="24" spans="1:8" s="30" customFormat="1" ht="26">
      <c r="A24" s="56">
        <f>IF(G24&gt;0,SUBTOTAL(3,$G$24:G24),"")</f>
        <v>1</v>
      </c>
      <c r="B24" s="638" t="s">
        <v>2154</v>
      </c>
      <c r="C24" s="18" t="s">
        <v>2335</v>
      </c>
      <c r="D24" s="18">
        <v>46</v>
      </c>
      <c r="E24" s="18" t="s">
        <v>118</v>
      </c>
      <c r="F24" s="44">
        <v>1500</v>
      </c>
      <c r="G24" s="44">
        <v>1500</v>
      </c>
      <c r="H24" s="40"/>
    </row>
    <row r="25" spans="1:8" s="30" customFormat="1" ht="26">
      <c r="A25" s="56">
        <f>IF(G25&gt;0,SUBTOTAL(3,$G$24:G25),"")</f>
        <v>2</v>
      </c>
      <c r="B25" s="638" t="s">
        <v>687</v>
      </c>
      <c r="C25" s="18" t="s">
        <v>2336</v>
      </c>
      <c r="D25" s="18">
        <v>137</v>
      </c>
      <c r="E25" s="18" t="s">
        <v>118</v>
      </c>
      <c r="F25" s="44">
        <v>1500</v>
      </c>
      <c r="G25" s="44">
        <v>1500</v>
      </c>
      <c r="H25" s="40"/>
    </row>
    <row r="26" spans="1:8" s="30" customFormat="1" ht="26">
      <c r="A26" s="56">
        <f>IF(G26&gt;0,SUBTOTAL(3,$G$24:G26),"")</f>
        <v>3</v>
      </c>
      <c r="B26" s="638" t="s">
        <v>2156</v>
      </c>
      <c r="C26" s="18" t="s">
        <v>2338</v>
      </c>
      <c r="D26" s="18">
        <v>180</v>
      </c>
      <c r="E26" s="18" t="s">
        <v>118</v>
      </c>
      <c r="F26" s="44">
        <v>4000</v>
      </c>
      <c r="G26" s="44">
        <v>4000</v>
      </c>
      <c r="H26" s="40"/>
    </row>
    <row r="27" spans="1:8" s="30" customFormat="1" ht="26">
      <c r="A27" s="56">
        <f>IF(G27&gt;0,SUBTOTAL(3,$G$24:G27),"")</f>
        <v>4</v>
      </c>
      <c r="B27" s="638" t="s">
        <v>620</v>
      </c>
      <c r="C27" s="18" t="s">
        <v>2372</v>
      </c>
      <c r="D27" s="18">
        <v>118</v>
      </c>
      <c r="E27" s="18" t="s">
        <v>118</v>
      </c>
      <c r="F27" s="44">
        <v>3000</v>
      </c>
      <c r="G27" s="44">
        <v>3000</v>
      </c>
      <c r="H27" s="40"/>
    </row>
    <row r="28" spans="1:8" s="30" customFormat="1" ht="26">
      <c r="A28" s="56">
        <f>IF(G28&gt;0,SUBTOTAL(3,$G$24:G28),"")</f>
        <v>5</v>
      </c>
      <c r="B28" s="638" t="s">
        <v>621</v>
      </c>
      <c r="C28" s="18" t="s">
        <v>2372</v>
      </c>
      <c r="D28" s="18">
        <v>194</v>
      </c>
      <c r="E28" s="18" t="s">
        <v>118</v>
      </c>
      <c r="F28" s="44">
        <v>3000</v>
      </c>
      <c r="G28" s="44">
        <v>3000</v>
      </c>
      <c r="H28" s="40"/>
    </row>
    <row r="29" spans="1:8" s="30" customFormat="1" ht="26">
      <c r="A29" s="56">
        <f>IF(G29&gt;0,SUBTOTAL(3,$G$24:G29),"")</f>
        <v>6</v>
      </c>
      <c r="B29" s="638" t="s">
        <v>2159</v>
      </c>
      <c r="C29" s="18" t="s">
        <v>2341</v>
      </c>
      <c r="D29" s="18">
        <v>245</v>
      </c>
      <c r="E29" s="18" t="s">
        <v>118</v>
      </c>
      <c r="F29" s="44">
        <v>4000</v>
      </c>
      <c r="G29" s="44">
        <v>4000</v>
      </c>
      <c r="H29" s="40"/>
    </row>
    <row r="30" spans="1:8" s="30" customFormat="1" ht="26">
      <c r="A30" s="56">
        <f>IF(G30&gt;0,SUBTOTAL(3,$G$24:G30),"")</f>
        <v>7</v>
      </c>
      <c r="B30" s="638" t="s">
        <v>2161</v>
      </c>
      <c r="C30" s="18" t="s">
        <v>2342</v>
      </c>
      <c r="D30" s="18">
        <v>110</v>
      </c>
      <c r="E30" s="18" t="s">
        <v>118</v>
      </c>
      <c r="F30" s="44">
        <v>2000</v>
      </c>
      <c r="G30" s="44">
        <v>2000</v>
      </c>
      <c r="H30" s="40"/>
    </row>
    <row r="31" spans="1:8" s="30" customFormat="1" ht="26">
      <c r="A31" s="56">
        <f>IF(G31&gt;0,SUBTOTAL(3,$G$24:G31),"")</f>
        <v>8</v>
      </c>
      <c r="B31" s="638" t="s">
        <v>2163</v>
      </c>
      <c r="C31" s="18" t="s">
        <v>2343</v>
      </c>
      <c r="D31" s="18">
        <v>367</v>
      </c>
      <c r="E31" s="18" t="s">
        <v>118</v>
      </c>
      <c r="F31" s="44">
        <v>5000</v>
      </c>
      <c r="G31" s="44">
        <v>5000</v>
      </c>
      <c r="H31" s="40"/>
    </row>
    <row r="32" spans="1:8" s="30" customFormat="1" ht="26">
      <c r="A32" s="56">
        <f>IF(G32&gt;0,SUBTOTAL(3,$G$24:G32),"")</f>
        <v>9</v>
      </c>
      <c r="B32" s="12" t="s">
        <v>112</v>
      </c>
      <c r="C32" s="13" t="s">
        <v>2373</v>
      </c>
      <c r="D32" s="56">
        <v>78</v>
      </c>
      <c r="E32" s="44" t="s">
        <v>118</v>
      </c>
      <c r="F32" s="44">
        <f>+G32</f>
        <v>4000</v>
      </c>
      <c r="G32" s="44">
        <v>4000</v>
      </c>
      <c r="H32" s="40"/>
    </row>
    <row r="33" spans="1:8" s="30" customFormat="1" ht="26">
      <c r="A33" s="56">
        <f>IF(G33&gt;0,SUBTOTAL(3,$G$24:G33),"")</f>
        <v>10</v>
      </c>
      <c r="B33" s="638" t="s">
        <v>466</v>
      </c>
      <c r="C33" s="18" t="s">
        <v>2344</v>
      </c>
      <c r="D33" s="18">
        <v>104</v>
      </c>
      <c r="E33" s="18" t="s">
        <v>118</v>
      </c>
      <c r="F33" s="44">
        <f>+G33</f>
        <v>1740</v>
      </c>
      <c r="G33" s="44">
        <v>1740</v>
      </c>
      <c r="H33" s="40"/>
    </row>
    <row r="34" spans="1:8" s="30" customFormat="1" ht="39">
      <c r="A34" s="56">
        <f>IF(G34&gt;0,SUBTOTAL(3,$G$24:G34),"")</f>
        <v>11</v>
      </c>
      <c r="B34" s="638" t="s">
        <v>2165</v>
      </c>
      <c r="C34" s="18" t="s">
        <v>2345</v>
      </c>
      <c r="D34" s="18">
        <v>253</v>
      </c>
      <c r="E34" s="18" t="s">
        <v>118</v>
      </c>
      <c r="F34" s="44">
        <v>5000</v>
      </c>
      <c r="G34" s="44">
        <v>5000</v>
      </c>
      <c r="H34" s="40"/>
    </row>
    <row r="35" spans="1:8" s="30" customFormat="1" ht="18" customHeight="1">
      <c r="A35" s="40" t="s">
        <v>38</v>
      </c>
      <c r="B35" s="54" t="s">
        <v>901</v>
      </c>
      <c r="C35" s="40"/>
      <c r="D35" s="36">
        <f>D36+D38+D43+D46+D50+D54+D59+D63</f>
        <v>4171</v>
      </c>
      <c r="E35" s="40"/>
      <c r="F35" s="23">
        <f>F36+F38+F43+F46+F50+F54+F59+F63</f>
        <v>69883</v>
      </c>
      <c r="G35" s="23">
        <f>G36+G38+G43+G46+G50+G54+G59+G63</f>
        <v>69883</v>
      </c>
      <c r="H35" s="40"/>
    </row>
    <row r="36" spans="1:8" s="30" customFormat="1" ht="18" customHeight="1">
      <c r="A36" s="40" t="s">
        <v>8</v>
      </c>
      <c r="B36" s="55" t="s">
        <v>25</v>
      </c>
      <c r="C36" s="40"/>
      <c r="D36" s="36">
        <f>SUM(D37)</f>
        <v>101</v>
      </c>
      <c r="E36" s="23"/>
      <c r="F36" s="23">
        <f>SUM(F37)</f>
        <v>2935</v>
      </c>
      <c r="G36" s="23">
        <f>SUM(G37)</f>
        <v>2935</v>
      </c>
      <c r="H36" s="23"/>
    </row>
    <row r="37" spans="1:8" s="30" customFormat="1" ht="26">
      <c r="A37" s="18">
        <f>IF(G37&gt;0,SUBTOTAL(3,$G$37:G37),"")</f>
        <v>1</v>
      </c>
      <c r="B37" s="12" t="s">
        <v>602</v>
      </c>
      <c r="C37" s="702" t="s">
        <v>601</v>
      </c>
      <c r="D37" s="17">
        <v>101</v>
      </c>
      <c r="E37" s="18" t="s">
        <v>118</v>
      </c>
      <c r="F37" s="20">
        <f>+G37</f>
        <v>2935</v>
      </c>
      <c r="G37" s="20">
        <v>2935</v>
      </c>
      <c r="H37" s="703"/>
    </row>
    <row r="38" spans="1:8" s="30" customFormat="1" ht="18" customHeight="1">
      <c r="A38" s="40" t="s">
        <v>26</v>
      </c>
      <c r="B38" s="55" t="s">
        <v>23</v>
      </c>
      <c r="C38" s="40"/>
      <c r="D38" s="36">
        <f>SUM(D39:D42)</f>
        <v>1080</v>
      </c>
      <c r="E38" s="23"/>
      <c r="F38" s="23">
        <f>SUM(F39:F42)</f>
        <v>11693</v>
      </c>
      <c r="G38" s="23">
        <f>SUM(G39:G42)</f>
        <v>11693</v>
      </c>
      <c r="H38" s="23"/>
    </row>
    <row r="39" spans="1:8" s="30" customFormat="1" ht="26">
      <c r="A39" s="18">
        <f>IF(G39&gt;0,SUBTOTAL(3,$G$39:G39),"")</f>
        <v>1</v>
      </c>
      <c r="B39" s="12" t="s">
        <v>2166</v>
      </c>
      <c r="C39" s="18" t="s">
        <v>329</v>
      </c>
      <c r="D39" s="56">
        <v>309</v>
      </c>
      <c r="E39" s="17" t="s">
        <v>118</v>
      </c>
      <c r="F39" s="20">
        <f>+G39</f>
        <v>3406</v>
      </c>
      <c r="G39" s="20">
        <v>3406</v>
      </c>
      <c r="H39" s="703"/>
    </row>
    <row r="40" spans="1:8" s="30" customFormat="1" ht="18" customHeight="1">
      <c r="A40" s="18">
        <f>IF(G40&gt;0,SUBTOTAL(3,$G$39:G40),"")</f>
        <v>2</v>
      </c>
      <c r="B40" s="12" t="s">
        <v>686</v>
      </c>
      <c r="C40" s="18" t="s">
        <v>361</v>
      </c>
      <c r="D40" s="56">
        <v>48</v>
      </c>
      <c r="E40" s="17" t="s">
        <v>118</v>
      </c>
      <c r="F40" s="20">
        <f t="shared" ref="F40:F42" si="0">+G40</f>
        <v>1475</v>
      </c>
      <c r="G40" s="44">
        <v>1475</v>
      </c>
      <c r="H40" s="703"/>
    </row>
    <row r="41" spans="1:8" s="30" customFormat="1" ht="26">
      <c r="A41" s="18">
        <f>IF(G41&gt;0,SUBTOTAL(3,$G$39:G41),"")</f>
        <v>3</v>
      </c>
      <c r="B41" s="12" t="s">
        <v>2167</v>
      </c>
      <c r="C41" s="18" t="s">
        <v>340</v>
      </c>
      <c r="D41" s="56">
        <v>583</v>
      </c>
      <c r="E41" s="17" t="s">
        <v>118</v>
      </c>
      <c r="F41" s="20">
        <f t="shared" si="0"/>
        <v>3906</v>
      </c>
      <c r="G41" s="44">
        <v>3906</v>
      </c>
      <c r="H41" s="703"/>
    </row>
    <row r="42" spans="1:8" s="30" customFormat="1" ht="26">
      <c r="A42" s="18">
        <f>IF(G42&gt;0,SUBTOTAL(3,$G$39:G42),"")</f>
        <v>4</v>
      </c>
      <c r="B42" s="12" t="s">
        <v>2168</v>
      </c>
      <c r="C42" s="18" t="s">
        <v>345</v>
      </c>
      <c r="D42" s="56">
        <v>140</v>
      </c>
      <c r="E42" s="17" t="s">
        <v>118</v>
      </c>
      <c r="F42" s="20">
        <f t="shared" si="0"/>
        <v>2906</v>
      </c>
      <c r="G42" s="20">
        <v>2906</v>
      </c>
      <c r="H42" s="703"/>
    </row>
    <row r="43" spans="1:8" s="30" customFormat="1" ht="18" customHeight="1">
      <c r="A43" s="40" t="s">
        <v>28</v>
      </c>
      <c r="B43" s="55" t="s">
        <v>21</v>
      </c>
      <c r="C43" s="40"/>
      <c r="D43" s="36">
        <f>SUM(D44:D45)</f>
        <v>418</v>
      </c>
      <c r="E43" s="23"/>
      <c r="F43" s="23">
        <f>SUM(F44:F45)</f>
        <v>5879</v>
      </c>
      <c r="G43" s="23">
        <f>SUM(G44:G45)</f>
        <v>5879</v>
      </c>
      <c r="H43" s="23"/>
    </row>
    <row r="44" spans="1:8" s="30" customFormat="1" ht="26">
      <c r="A44" s="18">
        <f>IF(G44&gt;0,SUBTOTAL(3,$G$44:G44),"")</f>
        <v>1</v>
      </c>
      <c r="B44" s="12" t="s">
        <v>2169</v>
      </c>
      <c r="C44" s="18" t="s">
        <v>176</v>
      </c>
      <c r="D44" s="56">
        <v>158</v>
      </c>
      <c r="E44" s="56" t="s">
        <v>118</v>
      </c>
      <c r="F44" s="44">
        <f>+G44</f>
        <v>3906</v>
      </c>
      <c r="G44" s="44">
        <v>3906</v>
      </c>
      <c r="H44" s="703"/>
    </row>
    <row r="45" spans="1:8" s="30" customFormat="1" ht="26">
      <c r="A45" s="18">
        <f>IF(G45&gt;0,SUBTOTAL(3,$G$44:G45),"")</f>
        <v>2</v>
      </c>
      <c r="B45" s="12" t="s">
        <v>2170</v>
      </c>
      <c r="C45" s="18" t="s">
        <v>2177</v>
      </c>
      <c r="D45" s="56">
        <v>260</v>
      </c>
      <c r="E45" s="56" t="s">
        <v>118</v>
      </c>
      <c r="F45" s="44">
        <f>+G45</f>
        <v>1973</v>
      </c>
      <c r="G45" s="20">
        <v>1973</v>
      </c>
      <c r="H45" s="703"/>
    </row>
    <row r="46" spans="1:8" s="30" customFormat="1" ht="18" customHeight="1">
      <c r="A46" s="40" t="s">
        <v>29</v>
      </c>
      <c r="B46" s="55" t="s">
        <v>19</v>
      </c>
      <c r="C46" s="40"/>
      <c r="D46" s="36">
        <f>SUM(D47:D49)</f>
        <v>404</v>
      </c>
      <c r="E46" s="23"/>
      <c r="F46" s="23">
        <f>SUM(F47:F49)</f>
        <v>8786</v>
      </c>
      <c r="G46" s="23">
        <f>SUM(G47:G49)</f>
        <v>8786</v>
      </c>
      <c r="H46" s="23"/>
    </row>
    <row r="47" spans="1:8" s="30" customFormat="1" ht="26">
      <c r="A47" s="18">
        <f>IF(G47&gt;0,SUBTOTAL(3,$G$47:G47),"")</f>
        <v>1</v>
      </c>
      <c r="B47" s="12" t="s">
        <v>622</v>
      </c>
      <c r="C47" s="18" t="s">
        <v>593</v>
      </c>
      <c r="D47" s="56">
        <v>177</v>
      </c>
      <c r="E47" s="56" t="s">
        <v>118</v>
      </c>
      <c r="F47" s="44">
        <f>+G47</f>
        <v>2906</v>
      </c>
      <c r="G47" s="44">
        <v>2906</v>
      </c>
      <c r="H47" s="703"/>
    </row>
    <row r="48" spans="1:8" s="30" customFormat="1" ht="26">
      <c r="A48" s="18">
        <f>IF(G48&gt;0,SUBTOTAL(3,$G$47:G48),"")</f>
        <v>2</v>
      </c>
      <c r="B48" s="12" t="s">
        <v>2525</v>
      </c>
      <c r="C48" s="18" t="s">
        <v>589</v>
      </c>
      <c r="D48" s="56">
        <v>101</v>
      </c>
      <c r="E48" s="56" t="s">
        <v>118</v>
      </c>
      <c r="F48" s="44">
        <f t="shared" ref="F48:F49" si="1">+G48</f>
        <v>2906</v>
      </c>
      <c r="G48" s="44">
        <v>2906</v>
      </c>
      <c r="H48" s="703"/>
    </row>
    <row r="49" spans="1:8" s="30" customFormat="1" ht="18" customHeight="1">
      <c r="A49" s="18">
        <f>IF(G49&gt;0,SUBTOTAL(3,$G$47:G49),"")</f>
        <v>3</v>
      </c>
      <c r="B49" s="12" t="s">
        <v>623</v>
      </c>
      <c r="C49" s="18" t="s">
        <v>599</v>
      </c>
      <c r="D49" s="56">
        <v>126</v>
      </c>
      <c r="E49" s="56" t="s">
        <v>118</v>
      </c>
      <c r="F49" s="44">
        <f t="shared" si="1"/>
        <v>2974</v>
      </c>
      <c r="G49" s="44">
        <v>2974</v>
      </c>
      <c r="H49" s="703"/>
    </row>
    <row r="50" spans="1:8" s="30" customFormat="1" ht="18" customHeight="1">
      <c r="A50" s="40" t="s">
        <v>30</v>
      </c>
      <c r="B50" s="55" t="s">
        <v>17</v>
      </c>
      <c r="C50" s="40"/>
      <c r="D50" s="36">
        <f>SUM(D51:D53)</f>
        <v>423</v>
      </c>
      <c r="E50" s="23"/>
      <c r="F50" s="23">
        <f>SUM(F51:F53)</f>
        <v>8596</v>
      </c>
      <c r="G50" s="23">
        <f>SUM(G51:G53)</f>
        <v>8596</v>
      </c>
      <c r="H50" s="23"/>
    </row>
    <row r="51" spans="1:8" s="30" customFormat="1" ht="18" customHeight="1">
      <c r="A51" s="18">
        <f>IF(G51&gt;0,SUBTOTAL(3,$G$51:G51),"")</f>
        <v>1</v>
      </c>
      <c r="B51" s="12" t="s">
        <v>2526</v>
      </c>
      <c r="C51" s="18" t="s">
        <v>2527</v>
      </c>
      <c r="D51" s="56">
        <v>117</v>
      </c>
      <c r="E51" s="56" t="s">
        <v>118</v>
      </c>
      <c r="F51" s="44">
        <f>+G51</f>
        <v>2200</v>
      </c>
      <c r="G51" s="44">
        <v>2200</v>
      </c>
      <c r="H51" s="703"/>
    </row>
    <row r="52" spans="1:8" s="30" customFormat="1" ht="26">
      <c r="A52" s="18">
        <f>IF(G52&gt;0,SUBTOTAL(3,$G$51:G52),"")</f>
        <v>2</v>
      </c>
      <c r="B52" s="12" t="s">
        <v>2528</v>
      </c>
      <c r="C52" s="18" t="s">
        <v>285</v>
      </c>
      <c r="D52" s="56">
        <f>161+41</f>
        <v>202</v>
      </c>
      <c r="E52" s="56" t="s">
        <v>118</v>
      </c>
      <c r="F52" s="44">
        <f>+G52</f>
        <v>4200</v>
      </c>
      <c r="G52" s="44">
        <v>4200</v>
      </c>
      <c r="H52" s="703"/>
    </row>
    <row r="53" spans="1:8" s="30" customFormat="1">
      <c r="A53" s="18">
        <f>IF(G53&gt;0,SUBTOTAL(3,$G$51:G53),"")</f>
        <v>3</v>
      </c>
      <c r="B53" s="12" t="s">
        <v>2529</v>
      </c>
      <c r="C53" s="18" t="s">
        <v>298</v>
      </c>
      <c r="D53" s="56">
        <v>104</v>
      </c>
      <c r="E53" s="56" t="s">
        <v>118</v>
      </c>
      <c r="F53" s="44">
        <f>+G53</f>
        <v>2196</v>
      </c>
      <c r="G53" s="44">
        <v>2196</v>
      </c>
      <c r="H53" s="703"/>
    </row>
    <row r="54" spans="1:8" s="30" customFormat="1" ht="18" customHeight="1">
      <c r="A54" s="40" t="s">
        <v>31</v>
      </c>
      <c r="B54" s="55" t="s">
        <v>15</v>
      </c>
      <c r="C54" s="40"/>
      <c r="D54" s="36">
        <f>SUM(D55:D58)</f>
        <v>955</v>
      </c>
      <c r="E54" s="23"/>
      <c r="F54" s="23">
        <f>SUM(F55:F58)</f>
        <v>11547</v>
      </c>
      <c r="G54" s="23">
        <f>SUM(G55:G58)</f>
        <v>11547</v>
      </c>
      <c r="H54" s="23"/>
    </row>
    <row r="55" spans="1:8" s="30" customFormat="1" ht="26">
      <c r="A55" s="18">
        <f>IF(G55&gt;0,SUBTOTAL(3,$G$55:G55),"")</f>
        <v>1</v>
      </c>
      <c r="B55" s="12" t="s">
        <v>2171</v>
      </c>
      <c r="C55" s="13" t="s">
        <v>212</v>
      </c>
      <c r="D55" s="17">
        <v>200</v>
      </c>
      <c r="E55" s="44" t="s">
        <v>118</v>
      </c>
      <c r="F55" s="44">
        <f>+G55</f>
        <v>2906</v>
      </c>
      <c r="G55" s="44">
        <v>2906</v>
      </c>
      <c r="H55" s="703"/>
    </row>
    <row r="56" spans="1:8" s="30" customFormat="1" ht="18" customHeight="1">
      <c r="A56" s="18">
        <f>IF(G56&gt;0,SUBTOTAL(3,$G$55:G56),"")</f>
        <v>2</v>
      </c>
      <c r="B56" s="12" t="s">
        <v>2172</v>
      </c>
      <c r="C56" s="13" t="s">
        <v>213</v>
      </c>
      <c r="D56" s="17">
        <v>80</v>
      </c>
      <c r="E56" s="44" t="s">
        <v>118</v>
      </c>
      <c r="F56" s="44">
        <f t="shared" ref="F56:F58" si="2">+G56</f>
        <v>1406</v>
      </c>
      <c r="G56" s="20">
        <v>1406</v>
      </c>
      <c r="H56" s="703"/>
    </row>
    <row r="57" spans="1:8" s="30" customFormat="1" ht="18" customHeight="1">
      <c r="A57" s="18">
        <f>IF(G57&gt;0,SUBTOTAL(3,$G$55:G57),"")</f>
        <v>3</v>
      </c>
      <c r="B57" s="12" t="s">
        <v>2173</v>
      </c>
      <c r="C57" s="13" t="s">
        <v>214</v>
      </c>
      <c r="D57" s="17">
        <v>75</v>
      </c>
      <c r="E57" s="44" t="s">
        <v>118</v>
      </c>
      <c r="F57" s="44">
        <f t="shared" si="2"/>
        <v>1406</v>
      </c>
      <c r="G57" s="44">
        <v>1406</v>
      </c>
      <c r="H57" s="703"/>
    </row>
    <row r="58" spans="1:8" s="30" customFormat="1" ht="26">
      <c r="A58" s="18">
        <f>IF(G58&gt;0,SUBTOTAL(3,$G$55:G58),"")</f>
        <v>4</v>
      </c>
      <c r="B58" s="12" t="s">
        <v>2174</v>
      </c>
      <c r="C58" s="13" t="s">
        <v>217</v>
      </c>
      <c r="D58" s="17">
        <v>600</v>
      </c>
      <c r="E58" s="44" t="s">
        <v>118</v>
      </c>
      <c r="F58" s="44">
        <f t="shared" si="2"/>
        <v>5829</v>
      </c>
      <c r="G58" s="44">
        <v>5829</v>
      </c>
      <c r="H58" s="703"/>
    </row>
    <row r="59" spans="1:8" s="30" customFormat="1" ht="18" customHeight="1">
      <c r="A59" s="40" t="s">
        <v>80</v>
      </c>
      <c r="B59" s="55" t="s">
        <v>13</v>
      </c>
      <c r="C59" s="40"/>
      <c r="D59" s="36">
        <f>SUM(D60:D62)</f>
        <v>291</v>
      </c>
      <c r="E59" s="23"/>
      <c r="F59" s="23">
        <f>SUM(F60:F62)</f>
        <v>8757</v>
      </c>
      <c r="G59" s="23">
        <f>SUM(G60:G62)</f>
        <v>8757</v>
      </c>
      <c r="H59" s="23"/>
    </row>
    <row r="60" spans="1:8" s="30" customFormat="1" ht="18" customHeight="1">
      <c r="A60" s="18">
        <f>IF(G60&gt;0,SUBTOTAL(3,$G$60:G60),"")</f>
        <v>1</v>
      </c>
      <c r="B60" s="12" t="s">
        <v>2175</v>
      </c>
      <c r="C60" s="13" t="s">
        <v>114</v>
      </c>
      <c r="D60" s="56" t="s">
        <v>115</v>
      </c>
      <c r="E60" s="44" t="s">
        <v>118</v>
      </c>
      <c r="F60" s="44">
        <f>+G60</f>
        <v>2946</v>
      </c>
      <c r="G60" s="44">
        <v>2946</v>
      </c>
      <c r="H60" s="703"/>
    </row>
    <row r="61" spans="1:8" s="30" customFormat="1" ht="26">
      <c r="A61" s="18">
        <f>IF(G61&gt;0,SUBTOTAL(3,$G$60:G61),"")</f>
        <v>2</v>
      </c>
      <c r="B61" s="638" t="s">
        <v>108</v>
      </c>
      <c r="C61" s="18" t="s">
        <v>107</v>
      </c>
      <c r="D61" s="18">
        <v>240</v>
      </c>
      <c r="E61" s="18" t="s">
        <v>118</v>
      </c>
      <c r="F61" s="44">
        <f>+G61</f>
        <v>2906</v>
      </c>
      <c r="G61" s="44">
        <v>2906</v>
      </c>
      <c r="H61" s="703"/>
    </row>
    <row r="62" spans="1:8" s="30" customFormat="1" ht="18" customHeight="1">
      <c r="A62" s="18">
        <f>IF(G62&gt;0,SUBTOTAL(3,$G$60:G62),"")</f>
        <v>3</v>
      </c>
      <c r="B62" s="638" t="s">
        <v>2164</v>
      </c>
      <c r="C62" s="18" t="s">
        <v>113</v>
      </c>
      <c r="D62" s="18">
        <v>51</v>
      </c>
      <c r="E62" s="18" t="s">
        <v>118</v>
      </c>
      <c r="F62" s="44">
        <f>+G62</f>
        <v>2905</v>
      </c>
      <c r="G62" s="44">
        <v>2905</v>
      </c>
      <c r="H62" s="703"/>
    </row>
    <row r="63" spans="1:8" s="30" customFormat="1" ht="18" customHeight="1">
      <c r="A63" s="40" t="s">
        <v>81</v>
      </c>
      <c r="B63" s="55" t="s">
        <v>11</v>
      </c>
      <c r="C63" s="40"/>
      <c r="D63" s="36">
        <f>SUM(D64:D67)</f>
        <v>499</v>
      </c>
      <c r="E63" s="23"/>
      <c r="F63" s="23">
        <f>SUM(F64:F67)</f>
        <v>11690</v>
      </c>
      <c r="G63" s="23">
        <f>SUM(G64:G67)</f>
        <v>11690</v>
      </c>
      <c r="H63" s="23"/>
    </row>
    <row r="64" spans="1:8" ht="26">
      <c r="A64" s="18">
        <f>IF(G64&gt;0,SUBTOTAL(3,$G$64:G64),"")</f>
        <v>1</v>
      </c>
      <c r="B64" s="12" t="s">
        <v>465</v>
      </c>
      <c r="C64" s="18" t="s">
        <v>689</v>
      </c>
      <c r="D64" s="56">
        <v>20</v>
      </c>
      <c r="E64" s="44" t="s">
        <v>118</v>
      </c>
      <c r="F64" s="44">
        <f>+G64</f>
        <v>2906</v>
      </c>
      <c r="G64" s="44">
        <v>2906</v>
      </c>
      <c r="H64" s="703"/>
    </row>
    <row r="65" spans="1:9" ht="26">
      <c r="A65" s="18">
        <f>IF(G65&gt;0,SUBTOTAL(3,$G$64:G65),"")</f>
        <v>2</v>
      </c>
      <c r="B65" s="12" t="s">
        <v>463</v>
      </c>
      <c r="C65" s="18" t="s">
        <v>615</v>
      </c>
      <c r="D65" s="56">
        <v>109</v>
      </c>
      <c r="E65" s="44" t="s">
        <v>118</v>
      </c>
      <c r="F65" s="44">
        <f t="shared" ref="F65" si="3">+G65</f>
        <v>2973</v>
      </c>
      <c r="G65" s="20">
        <v>2973</v>
      </c>
      <c r="H65" s="703"/>
    </row>
    <row r="66" spans="1:9" ht="26">
      <c r="A66" s="18">
        <f>IF(G66&gt;0,SUBTOTAL(3,$G$64:G66),"")</f>
        <v>3</v>
      </c>
      <c r="B66" s="12" t="s">
        <v>2480</v>
      </c>
      <c r="C66" s="18" t="s">
        <v>627</v>
      </c>
      <c r="D66" s="56">
        <v>157</v>
      </c>
      <c r="E66" s="44" t="s">
        <v>118</v>
      </c>
      <c r="F66" s="20">
        <v>2905</v>
      </c>
      <c r="G66" s="20">
        <v>2905</v>
      </c>
      <c r="H66" s="703"/>
      <c r="I66" s="30"/>
    </row>
    <row r="67" spans="1:9" ht="41.25" customHeight="1">
      <c r="A67" s="704">
        <f>IF(G67&gt;0,SUBTOTAL(3,$G$64:G67),"")</f>
        <v>4</v>
      </c>
      <c r="B67" s="705" t="s">
        <v>2481</v>
      </c>
      <c r="C67" s="704" t="s">
        <v>627</v>
      </c>
      <c r="D67" s="60">
        <v>213</v>
      </c>
      <c r="E67" s="45" t="s">
        <v>118</v>
      </c>
      <c r="F67" s="706">
        <v>2906</v>
      </c>
      <c r="G67" s="706">
        <v>2906</v>
      </c>
      <c r="H67" s="707"/>
      <c r="I67" s="30"/>
    </row>
    <row r="68" spans="1:9" ht="11.25" customHeight="1">
      <c r="B68" s="1737"/>
      <c r="C68" s="1737"/>
      <c r="D68" s="1737"/>
      <c r="E68" s="1737"/>
      <c r="F68" s="1737"/>
      <c r="G68" s="1737"/>
      <c r="H68" s="1737"/>
    </row>
    <row r="69" spans="1:9" s="1172" customFormat="1" ht="18" customHeight="1">
      <c r="A69" s="1737" t="s">
        <v>2463</v>
      </c>
      <c r="B69" s="1737"/>
      <c r="C69" s="1737"/>
      <c r="D69" s="1737"/>
      <c r="E69" s="1737"/>
      <c r="F69" s="1737"/>
      <c r="G69" s="1737"/>
      <c r="H69" s="1737"/>
    </row>
    <row r="70" spans="1:9">
      <c r="C70" s="646"/>
      <c r="D70" s="646"/>
      <c r="E70" s="647"/>
      <c r="H70" s="647"/>
    </row>
    <row r="71" spans="1:9">
      <c r="C71" s="646"/>
      <c r="D71" s="646"/>
      <c r="E71" s="647"/>
      <c r="H71" s="647"/>
    </row>
    <row r="72" spans="1:9">
      <c r="C72" s="646"/>
      <c r="D72" s="646"/>
      <c r="E72" s="647"/>
      <c r="H72" s="647"/>
    </row>
    <row r="73" spans="1:9">
      <c r="C73" s="646"/>
      <c r="D73" s="646"/>
      <c r="E73" s="647"/>
      <c r="H73" s="647"/>
    </row>
    <row r="74" spans="1:9">
      <c r="C74" s="646"/>
      <c r="D74" s="646"/>
      <c r="E74" s="647"/>
      <c r="H74" s="647"/>
    </row>
    <row r="75" spans="1:9">
      <c r="C75" s="646"/>
      <c r="D75" s="646"/>
      <c r="E75" s="647"/>
      <c r="H75" s="647"/>
    </row>
    <row r="76" spans="1:9">
      <c r="C76" s="646"/>
      <c r="D76" s="646"/>
      <c r="E76" s="647"/>
      <c r="H76" s="647"/>
    </row>
    <row r="77" spans="1:9">
      <c r="C77" s="646"/>
      <c r="D77" s="646"/>
      <c r="E77" s="647"/>
      <c r="H77" s="647"/>
    </row>
    <row r="78" spans="1:9">
      <c r="C78" s="646"/>
      <c r="D78" s="646"/>
      <c r="E78" s="647"/>
      <c r="H78" s="647"/>
    </row>
    <row r="79" spans="1:9">
      <c r="C79" s="646"/>
      <c r="D79" s="646"/>
      <c r="E79" s="647"/>
      <c r="H79" s="647"/>
    </row>
    <row r="80" spans="1:9">
      <c r="C80" s="646"/>
      <c r="D80" s="646"/>
      <c r="E80" s="647"/>
      <c r="H80" s="647"/>
    </row>
    <row r="81" spans="3:8">
      <c r="C81" s="646"/>
      <c r="D81" s="646"/>
      <c r="E81" s="647"/>
      <c r="H81" s="647"/>
    </row>
    <row r="82" spans="3:8">
      <c r="C82" s="646"/>
      <c r="D82" s="646"/>
      <c r="E82" s="647"/>
      <c r="H82" s="647"/>
    </row>
    <row r="83" spans="3:8">
      <c r="C83" s="646"/>
      <c r="D83" s="646"/>
      <c r="E83" s="647"/>
      <c r="H83" s="647"/>
    </row>
    <row r="84" spans="3:8">
      <c r="C84" s="646"/>
      <c r="D84" s="646"/>
      <c r="E84" s="647"/>
      <c r="H84" s="647"/>
    </row>
    <row r="85" spans="3:8">
      <c r="C85" s="646"/>
      <c r="D85" s="646"/>
      <c r="E85" s="647"/>
      <c r="H85" s="647"/>
    </row>
    <row r="86" spans="3:8">
      <c r="C86" s="646"/>
      <c r="D86" s="646"/>
      <c r="E86" s="647"/>
      <c r="H86" s="647"/>
    </row>
    <row r="87" spans="3:8">
      <c r="C87" s="646"/>
      <c r="D87" s="646"/>
      <c r="E87" s="647"/>
      <c r="H87" s="647"/>
    </row>
    <row r="88" spans="3:8">
      <c r="C88" s="646"/>
      <c r="D88" s="646"/>
      <c r="E88" s="647"/>
      <c r="H88" s="647"/>
    </row>
    <row r="89" spans="3:8">
      <c r="C89" s="646"/>
      <c r="D89" s="646"/>
      <c r="E89" s="647"/>
      <c r="H89" s="647"/>
    </row>
    <row r="90" spans="3:8">
      <c r="C90" s="646"/>
      <c r="D90" s="646"/>
      <c r="E90" s="647"/>
      <c r="H90" s="647"/>
    </row>
    <row r="91" spans="3:8">
      <c r="C91" s="646"/>
      <c r="D91" s="646"/>
      <c r="E91" s="647"/>
      <c r="H91" s="647"/>
    </row>
    <row r="92" spans="3:8">
      <c r="C92" s="646"/>
      <c r="D92" s="646"/>
      <c r="E92" s="647"/>
      <c r="H92" s="647"/>
    </row>
    <row r="93" spans="3:8">
      <c r="C93" s="646"/>
      <c r="D93" s="646"/>
      <c r="E93" s="647"/>
      <c r="H93" s="647"/>
    </row>
    <row r="94" spans="3:8">
      <c r="C94" s="646"/>
      <c r="D94" s="646"/>
      <c r="E94" s="647"/>
      <c r="H94" s="647"/>
    </row>
    <row r="95" spans="3:8">
      <c r="C95" s="646"/>
      <c r="D95" s="646"/>
      <c r="E95" s="647"/>
      <c r="H95" s="647"/>
    </row>
    <row r="96" spans="3:8">
      <c r="C96" s="646"/>
      <c r="D96" s="646"/>
      <c r="E96" s="647"/>
      <c r="H96" s="647"/>
    </row>
    <row r="97" spans="3:8">
      <c r="C97" s="646"/>
      <c r="D97" s="646"/>
      <c r="E97" s="647"/>
      <c r="H97" s="647"/>
    </row>
    <row r="98" spans="3:8">
      <c r="C98" s="646"/>
      <c r="D98" s="646"/>
      <c r="E98" s="647"/>
      <c r="H98" s="647"/>
    </row>
    <row r="99" spans="3:8">
      <c r="C99" s="646"/>
      <c r="D99" s="646"/>
      <c r="E99" s="647"/>
      <c r="H99" s="647"/>
    </row>
    <row r="100" spans="3:8">
      <c r="C100" s="646"/>
      <c r="D100" s="646"/>
      <c r="E100" s="647"/>
      <c r="H100" s="647"/>
    </row>
    <row r="101" spans="3:8">
      <c r="C101" s="646"/>
      <c r="D101" s="646"/>
      <c r="E101" s="647"/>
      <c r="H101" s="647"/>
    </row>
    <row r="102" spans="3:8">
      <c r="C102" s="646"/>
      <c r="D102" s="646"/>
      <c r="E102" s="647"/>
      <c r="H102" s="647"/>
    </row>
    <row r="103" spans="3:8">
      <c r="C103" s="646"/>
      <c r="D103" s="646"/>
      <c r="E103" s="647"/>
      <c r="H103" s="647"/>
    </row>
    <row r="104" spans="3:8">
      <c r="C104" s="646"/>
      <c r="D104" s="646"/>
      <c r="E104" s="647"/>
      <c r="H104" s="647"/>
    </row>
    <row r="105" spans="3:8">
      <c r="C105" s="646"/>
      <c r="D105" s="646"/>
      <c r="E105" s="647"/>
      <c r="H105" s="647"/>
    </row>
    <row r="106" spans="3:8">
      <c r="C106" s="646"/>
      <c r="D106" s="646"/>
      <c r="E106" s="647"/>
      <c r="H106" s="647"/>
    </row>
    <row r="107" spans="3:8">
      <c r="C107" s="646"/>
      <c r="D107" s="646"/>
      <c r="E107" s="647"/>
      <c r="H107" s="647"/>
    </row>
    <row r="108" spans="3:8">
      <c r="C108" s="646"/>
      <c r="D108" s="646"/>
      <c r="E108" s="647"/>
      <c r="H108" s="647"/>
    </row>
    <row r="109" spans="3:8">
      <c r="C109" s="646"/>
      <c r="D109" s="646"/>
      <c r="E109" s="647"/>
      <c r="H109" s="647"/>
    </row>
    <row r="110" spans="3:8">
      <c r="C110" s="646"/>
      <c r="D110" s="646"/>
      <c r="E110" s="647"/>
      <c r="H110" s="647"/>
    </row>
    <row r="111" spans="3:8">
      <c r="C111" s="646"/>
      <c r="D111" s="646"/>
      <c r="E111" s="647"/>
      <c r="H111" s="647"/>
    </row>
    <row r="112" spans="3:8">
      <c r="C112" s="646"/>
      <c r="D112" s="646"/>
      <c r="H112" s="647"/>
    </row>
    <row r="113" spans="3:8">
      <c r="C113" s="646"/>
      <c r="D113" s="646"/>
      <c r="H113" s="647"/>
    </row>
    <row r="114" spans="3:8">
      <c r="C114" s="646"/>
      <c r="D114" s="646"/>
      <c r="H114" s="647"/>
    </row>
    <row r="115" spans="3:8">
      <c r="C115" s="646"/>
      <c r="D115" s="646"/>
      <c r="H115" s="647"/>
    </row>
    <row r="116" spans="3:8">
      <c r="C116" s="646"/>
      <c r="D116" s="646"/>
      <c r="H116" s="647"/>
    </row>
    <row r="117" spans="3:8">
      <c r="C117" s="646"/>
      <c r="D117" s="646"/>
      <c r="H117" s="647"/>
    </row>
    <row r="118" spans="3:8">
      <c r="C118" s="646"/>
      <c r="D118" s="646"/>
      <c r="H118" s="647"/>
    </row>
    <row r="119" spans="3:8">
      <c r="C119" s="646"/>
      <c r="D119" s="646"/>
      <c r="H119" s="647"/>
    </row>
    <row r="120" spans="3:8">
      <c r="C120" s="646"/>
      <c r="D120" s="646"/>
      <c r="H120" s="647"/>
    </row>
    <row r="121" spans="3:8">
      <c r="C121" s="646"/>
      <c r="D121" s="646"/>
      <c r="H121" s="647"/>
    </row>
    <row r="122" spans="3:8">
      <c r="C122" s="646"/>
      <c r="D122" s="646"/>
      <c r="H122" s="647"/>
    </row>
    <row r="123" spans="3:8">
      <c r="C123" s="646"/>
      <c r="D123" s="646"/>
      <c r="H123" s="647"/>
    </row>
    <row r="124" spans="3:8">
      <c r="C124" s="646"/>
      <c r="D124" s="646"/>
      <c r="H124" s="647"/>
    </row>
    <row r="125" spans="3:8">
      <c r="C125" s="646"/>
      <c r="D125" s="646"/>
      <c r="H125" s="647"/>
    </row>
    <row r="126" spans="3:8">
      <c r="C126" s="646"/>
      <c r="D126" s="646"/>
      <c r="H126" s="647"/>
    </row>
    <row r="127" spans="3:8">
      <c r="C127" s="646"/>
      <c r="D127" s="646"/>
      <c r="H127" s="647"/>
    </row>
    <row r="128" spans="3:8">
      <c r="C128" s="646"/>
      <c r="D128" s="646"/>
      <c r="H128" s="647"/>
    </row>
    <row r="129" spans="3:8">
      <c r="C129" s="646"/>
      <c r="D129" s="646"/>
      <c r="H129" s="647"/>
    </row>
    <row r="130" spans="3:8">
      <c r="C130" s="646"/>
      <c r="D130" s="646"/>
      <c r="H130" s="647"/>
    </row>
    <row r="131" spans="3:8">
      <c r="C131" s="646"/>
      <c r="D131" s="646"/>
      <c r="H131" s="647"/>
    </row>
    <row r="132" spans="3:8">
      <c r="C132" s="646"/>
      <c r="D132" s="646"/>
      <c r="H132" s="647"/>
    </row>
    <row r="133" spans="3:8">
      <c r="C133" s="646"/>
      <c r="D133" s="646"/>
      <c r="H133" s="647"/>
    </row>
    <row r="134" spans="3:8">
      <c r="C134" s="646"/>
      <c r="D134" s="646"/>
      <c r="H134" s="647"/>
    </row>
    <row r="135" spans="3:8">
      <c r="C135" s="646"/>
      <c r="D135" s="646"/>
      <c r="H135" s="647"/>
    </row>
    <row r="136" spans="3:8">
      <c r="C136" s="646"/>
      <c r="D136" s="646"/>
      <c r="H136" s="647"/>
    </row>
    <row r="137" spans="3:8">
      <c r="C137" s="646"/>
      <c r="D137" s="646"/>
      <c r="H137" s="647"/>
    </row>
    <row r="138" spans="3:8">
      <c r="C138" s="646"/>
      <c r="D138" s="646"/>
      <c r="H138" s="647"/>
    </row>
    <row r="139" spans="3:8">
      <c r="C139" s="646"/>
      <c r="D139" s="646"/>
      <c r="H139" s="647"/>
    </row>
    <row r="140" spans="3:8">
      <c r="C140" s="646"/>
      <c r="D140" s="646"/>
      <c r="H140" s="647"/>
    </row>
    <row r="141" spans="3:8">
      <c r="C141" s="646"/>
      <c r="D141" s="646"/>
      <c r="H141" s="647"/>
    </row>
    <row r="142" spans="3:8">
      <c r="C142" s="646"/>
      <c r="D142" s="646"/>
      <c r="H142" s="647"/>
    </row>
    <row r="143" spans="3:8">
      <c r="C143" s="646"/>
      <c r="D143" s="646"/>
      <c r="H143" s="647"/>
    </row>
    <row r="144" spans="3:8">
      <c r="C144" s="646"/>
      <c r="D144" s="646"/>
      <c r="H144" s="647"/>
    </row>
    <row r="145" spans="3:8">
      <c r="C145" s="646"/>
      <c r="D145" s="646"/>
      <c r="H145" s="647"/>
    </row>
    <row r="146" spans="3:8">
      <c r="C146" s="646"/>
      <c r="D146" s="646"/>
      <c r="H146" s="647"/>
    </row>
    <row r="147" spans="3:8">
      <c r="C147" s="646"/>
      <c r="D147" s="646"/>
      <c r="H147" s="647"/>
    </row>
    <row r="148" spans="3:8">
      <c r="C148" s="646"/>
      <c r="D148" s="646"/>
      <c r="H148" s="647"/>
    </row>
    <row r="149" spans="3:8">
      <c r="C149" s="646"/>
      <c r="D149" s="646"/>
      <c r="H149" s="647"/>
    </row>
    <row r="150" spans="3:8">
      <c r="C150" s="646"/>
      <c r="D150" s="646"/>
      <c r="H150" s="647"/>
    </row>
    <row r="151" spans="3:8">
      <c r="C151" s="646"/>
      <c r="D151" s="646"/>
      <c r="H151" s="647"/>
    </row>
    <row r="152" spans="3:8">
      <c r="C152" s="646"/>
      <c r="D152" s="646"/>
      <c r="H152" s="647"/>
    </row>
    <row r="153" spans="3:8">
      <c r="C153" s="646"/>
      <c r="D153" s="646"/>
      <c r="H153" s="647"/>
    </row>
    <row r="154" spans="3:8">
      <c r="C154" s="646"/>
      <c r="D154" s="646"/>
      <c r="H154" s="647"/>
    </row>
    <row r="155" spans="3:8">
      <c r="C155" s="646"/>
      <c r="D155" s="646"/>
      <c r="H155" s="647"/>
    </row>
    <row r="156" spans="3:8">
      <c r="C156" s="646"/>
      <c r="D156" s="646"/>
      <c r="H156" s="647"/>
    </row>
    <row r="157" spans="3:8">
      <c r="C157" s="646"/>
      <c r="D157" s="646"/>
      <c r="H157" s="647"/>
    </row>
    <row r="158" spans="3:8">
      <c r="C158" s="646"/>
      <c r="D158" s="646"/>
      <c r="H158" s="647"/>
    </row>
    <row r="159" spans="3:8">
      <c r="C159" s="646"/>
      <c r="D159" s="646"/>
      <c r="H159" s="647"/>
    </row>
    <row r="160" spans="3:8">
      <c r="C160" s="646"/>
      <c r="D160" s="646"/>
      <c r="H160" s="647"/>
    </row>
    <row r="161" spans="3:8">
      <c r="C161" s="646"/>
      <c r="D161" s="646"/>
      <c r="H161" s="647"/>
    </row>
    <row r="162" spans="3:8">
      <c r="C162" s="646"/>
      <c r="D162" s="646"/>
      <c r="H162" s="647"/>
    </row>
    <row r="163" spans="3:8">
      <c r="C163" s="646"/>
      <c r="D163" s="646"/>
      <c r="H163" s="647"/>
    </row>
    <row r="164" spans="3:8">
      <c r="C164" s="646"/>
      <c r="D164" s="646"/>
      <c r="H164" s="647"/>
    </row>
    <row r="165" spans="3:8">
      <c r="C165" s="646"/>
      <c r="D165" s="646"/>
      <c r="H165" s="647"/>
    </row>
    <row r="166" spans="3:8">
      <c r="C166" s="646"/>
      <c r="D166" s="646"/>
      <c r="H166" s="647"/>
    </row>
    <row r="167" spans="3:8">
      <c r="C167" s="646"/>
      <c r="D167" s="646"/>
      <c r="H167" s="647"/>
    </row>
    <row r="168" spans="3:8">
      <c r="C168" s="646"/>
      <c r="D168" s="646"/>
      <c r="H168" s="647"/>
    </row>
    <row r="169" spans="3:8">
      <c r="C169" s="646"/>
      <c r="D169" s="646"/>
      <c r="H169" s="647"/>
    </row>
    <row r="170" spans="3:8">
      <c r="C170" s="646"/>
      <c r="D170" s="646"/>
      <c r="H170" s="647"/>
    </row>
    <row r="171" spans="3:8">
      <c r="C171" s="646"/>
      <c r="D171" s="646"/>
      <c r="H171" s="647"/>
    </row>
    <row r="172" spans="3:8">
      <c r="C172" s="646"/>
      <c r="D172" s="646"/>
      <c r="H172" s="647"/>
    </row>
    <row r="173" spans="3:8">
      <c r="C173" s="646"/>
      <c r="D173" s="646"/>
      <c r="H173" s="647"/>
    </row>
    <row r="174" spans="3:8">
      <c r="C174" s="646"/>
      <c r="D174" s="646"/>
      <c r="H174" s="647"/>
    </row>
    <row r="175" spans="3:8">
      <c r="C175" s="646"/>
      <c r="D175" s="646"/>
      <c r="H175" s="647"/>
    </row>
    <row r="176" spans="3:8">
      <c r="C176" s="646"/>
      <c r="D176" s="646"/>
      <c r="H176" s="647"/>
    </row>
    <row r="177" spans="3:8">
      <c r="C177" s="646"/>
      <c r="D177" s="646"/>
      <c r="H177" s="647"/>
    </row>
    <row r="178" spans="3:8">
      <c r="C178" s="646"/>
      <c r="D178" s="646"/>
      <c r="H178" s="647"/>
    </row>
    <row r="179" spans="3:8">
      <c r="C179" s="646"/>
      <c r="D179" s="646"/>
      <c r="H179" s="647"/>
    </row>
    <row r="180" spans="3:8">
      <c r="C180" s="646"/>
      <c r="D180" s="646"/>
      <c r="H180" s="647"/>
    </row>
    <row r="181" spans="3:8">
      <c r="C181" s="646"/>
      <c r="D181" s="646"/>
      <c r="H181" s="647"/>
    </row>
    <row r="182" spans="3:8">
      <c r="C182" s="646"/>
      <c r="D182" s="646"/>
      <c r="H182" s="647"/>
    </row>
    <row r="183" spans="3:8">
      <c r="C183" s="646"/>
      <c r="D183" s="646"/>
      <c r="H183" s="647"/>
    </row>
    <row r="184" spans="3:8">
      <c r="C184" s="646"/>
      <c r="D184" s="646"/>
      <c r="H184" s="647"/>
    </row>
    <row r="185" spans="3:8">
      <c r="C185" s="646"/>
      <c r="D185" s="646"/>
      <c r="H185" s="647"/>
    </row>
    <row r="186" spans="3:8">
      <c r="C186" s="646"/>
      <c r="D186" s="646"/>
      <c r="H186" s="647"/>
    </row>
    <row r="187" spans="3:8">
      <c r="C187" s="646"/>
      <c r="D187" s="646"/>
      <c r="H187" s="647"/>
    </row>
    <row r="188" spans="3:8">
      <c r="C188" s="646"/>
      <c r="D188" s="646"/>
      <c r="H188" s="647"/>
    </row>
    <row r="189" spans="3:8">
      <c r="C189" s="646"/>
      <c r="D189" s="646"/>
      <c r="H189" s="647"/>
    </row>
    <row r="190" spans="3:8">
      <c r="C190" s="646"/>
      <c r="D190" s="646"/>
      <c r="H190" s="647"/>
    </row>
    <row r="191" spans="3:8">
      <c r="C191" s="646"/>
      <c r="D191" s="646"/>
      <c r="H191" s="647"/>
    </row>
    <row r="192" spans="3:8">
      <c r="C192" s="646"/>
      <c r="D192" s="646"/>
      <c r="H192" s="647"/>
    </row>
    <row r="193" spans="3:8">
      <c r="C193" s="646"/>
      <c r="D193" s="646"/>
      <c r="H193" s="647"/>
    </row>
    <row r="194" spans="3:8">
      <c r="C194" s="646"/>
      <c r="D194" s="646"/>
      <c r="H194" s="647"/>
    </row>
    <row r="195" spans="3:8">
      <c r="C195" s="646"/>
      <c r="D195" s="646"/>
      <c r="H195" s="647"/>
    </row>
    <row r="196" spans="3:8">
      <c r="C196" s="646"/>
      <c r="D196" s="646"/>
      <c r="H196" s="647"/>
    </row>
    <row r="197" spans="3:8">
      <c r="C197" s="646"/>
      <c r="D197" s="646"/>
      <c r="H197" s="647"/>
    </row>
    <row r="198" spans="3:8">
      <c r="C198" s="646"/>
      <c r="D198" s="646"/>
      <c r="H198" s="647"/>
    </row>
    <row r="199" spans="3:8">
      <c r="C199" s="646"/>
      <c r="D199" s="646"/>
      <c r="H199" s="647"/>
    </row>
    <row r="200" spans="3:8">
      <c r="C200" s="646"/>
      <c r="D200" s="646"/>
      <c r="H200" s="647"/>
    </row>
    <row r="201" spans="3:8">
      <c r="C201" s="646"/>
      <c r="D201" s="646"/>
      <c r="H201" s="647"/>
    </row>
    <row r="202" spans="3:8">
      <c r="C202" s="646"/>
      <c r="D202" s="646"/>
      <c r="H202" s="647"/>
    </row>
    <row r="203" spans="3:8">
      <c r="C203" s="646"/>
      <c r="D203" s="646"/>
      <c r="H203" s="647"/>
    </row>
    <row r="204" spans="3:8">
      <c r="C204" s="646"/>
      <c r="D204" s="646"/>
      <c r="H204" s="647"/>
    </row>
    <row r="205" spans="3:8">
      <c r="C205" s="646"/>
      <c r="D205" s="646"/>
      <c r="H205" s="647"/>
    </row>
    <row r="206" spans="3:8">
      <c r="C206" s="646"/>
      <c r="D206" s="646"/>
      <c r="H206" s="647"/>
    </row>
    <row r="207" spans="3:8">
      <c r="C207" s="646"/>
      <c r="D207" s="646"/>
      <c r="H207" s="647"/>
    </row>
    <row r="208" spans="3:8">
      <c r="C208" s="646"/>
      <c r="D208" s="646"/>
      <c r="H208" s="647"/>
    </row>
    <row r="209" spans="3:8">
      <c r="C209" s="646"/>
      <c r="D209" s="646"/>
      <c r="H209" s="647"/>
    </row>
    <row r="210" spans="3:8">
      <c r="C210" s="646"/>
      <c r="D210" s="646"/>
      <c r="H210" s="647"/>
    </row>
    <row r="211" spans="3:8">
      <c r="C211" s="646"/>
      <c r="D211" s="646"/>
      <c r="H211" s="647"/>
    </row>
    <row r="212" spans="3:8">
      <c r="C212" s="646"/>
      <c r="D212" s="646"/>
      <c r="H212" s="647"/>
    </row>
    <row r="213" spans="3:8">
      <c r="C213" s="646"/>
      <c r="D213" s="646"/>
      <c r="H213" s="647"/>
    </row>
    <row r="214" spans="3:8">
      <c r="C214" s="646"/>
      <c r="D214" s="646"/>
      <c r="H214" s="647"/>
    </row>
    <row r="215" spans="3:8">
      <c r="C215" s="646"/>
      <c r="D215" s="646"/>
      <c r="H215" s="647"/>
    </row>
    <row r="216" spans="3:8">
      <c r="C216" s="646"/>
      <c r="D216" s="646"/>
      <c r="H216" s="647"/>
    </row>
    <row r="217" spans="3:8">
      <c r="C217" s="646"/>
      <c r="D217" s="646"/>
      <c r="H217" s="647"/>
    </row>
    <row r="218" spans="3:8">
      <c r="C218" s="646"/>
      <c r="D218" s="646"/>
    </row>
    <row r="219" spans="3:8">
      <c r="C219" s="646"/>
      <c r="D219" s="646"/>
    </row>
    <row r="220" spans="3:8">
      <c r="C220" s="646"/>
      <c r="D220" s="646"/>
    </row>
  </sheetData>
  <autoFilter ref="A7:H61"/>
  <mergeCells count="8">
    <mergeCell ref="A1:H1"/>
    <mergeCell ref="A4:H4"/>
    <mergeCell ref="A69:H69"/>
    <mergeCell ref="A2:B2"/>
    <mergeCell ref="A3:H3"/>
    <mergeCell ref="A5:H5"/>
    <mergeCell ref="B68:H68"/>
    <mergeCell ref="G2:H2"/>
  </mergeCells>
  <pageMargins left="0.5" right="0.5" top="0.5" bottom="0.5" header="0.47" footer="0.3"/>
  <pageSetup paperSize="9" scale="90" orientation="portrait" r:id="rId1"/>
  <headerFooter>
    <oddFooter>Page &amp;P</oddFooter>
  </headerFooter>
  <ignoredErrors>
    <ignoredError sqref="D60:F65"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239"/>
  <sheetViews>
    <sheetView topLeftCell="A7" zoomScaleNormal="100" workbookViewId="0">
      <selection activeCell="F6" sqref="F6:F10"/>
    </sheetView>
  </sheetViews>
  <sheetFormatPr defaultColWidth="9.08203125" defaultRowHeight="13"/>
  <cols>
    <col min="1" max="1" width="6" style="8" customWidth="1"/>
    <col min="2" max="2" width="41.4140625" style="8" customWidth="1"/>
    <col min="3" max="3" width="12.08203125" style="8" customWidth="1"/>
    <col min="4" max="4" width="7" style="8" customWidth="1"/>
    <col min="5" max="5" width="9.08203125" style="8" customWidth="1"/>
    <col min="6" max="6" width="8.6640625" style="8" customWidth="1"/>
    <col min="7" max="7" width="7.9140625" style="8" hidden="1" customWidth="1"/>
    <col min="8" max="8" width="9.9140625" style="8" customWidth="1"/>
    <col min="9" max="9" width="7.6640625" style="8" hidden="1" customWidth="1"/>
    <col min="10" max="10" width="6.6640625" style="8" customWidth="1"/>
    <col min="11" max="16384" width="9.08203125" style="8"/>
  </cols>
  <sheetData>
    <row r="1" spans="1:12" ht="23.25" customHeight="1">
      <c r="A1" s="1777" t="s">
        <v>2914</v>
      </c>
      <c r="B1" s="1777"/>
      <c r="C1" s="1777"/>
      <c r="D1" s="1777"/>
      <c r="E1" s="1777"/>
      <c r="F1" s="1777"/>
      <c r="G1" s="1777"/>
      <c r="H1" s="1777"/>
      <c r="I1" s="1777"/>
      <c r="J1" s="1777"/>
    </row>
    <row r="2" spans="1:12" s="164" customFormat="1" ht="18" hidden="1" customHeight="1">
      <c r="A2" s="1772"/>
      <c r="B2" s="1772"/>
      <c r="C2" s="1089"/>
      <c r="D2" s="1089"/>
      <c r="E2" s="1089"/>
      <c r="F2" s="1088"/>
      <c r="G2" s="1088"/>
      <c r="H2" s="1088"/>
      <c r="I2" s="1774" t="s">
        <v>83</v>
      </c>
      <c r="J2" s="1774"/>
    </row>
    <row r="3" spans="1:12" ht="21.75" customHeight="1">
      <c r="A3" s="1714" t="s">
        <v>56</v>
      </c>
      <c r="B3" s="1714"/>
      <c r="C3" s="1714"/>
      <c r="D3" s="1714"/>
      <c r="E3" s="1714"/>
      <c r="F3" s="1714"/>
      <c r="G3" s="1714"/>
      <c r="H3" s="1714"/>
      <c r="I3" s="1714"/>
      <c r="J3" s="1714"/>
    </row>
    <row r="4" spans="1:12" s="35" customFormat="1" ht="21.75" customHeight="1">
      <c r="A4" s="1716" t="e">
        <f>#REF!</f>
        <v>#REF!</v>
      </c>
      <c r="B4" s="1716"/>
      <c r="C4" s="1716"/>
      <c r="D4" s="1716"/>
      <c r="E4" s="1716"/>
      <c r="F4" s="1716"/>
      <c r="G4" s="1716"/>
      <c r="H4" s="1716"/>
      <c r="I4" s="1716"/>
      <c r="J4" s="1716"/>
    </row>
    <row r="5" spans="1:12" ht="21.75" customHeight="1">
      <c r="A5" s="1773" t="s">
        <v>3</v>
      </c>
      <c r="B5" s="1773"/>
      <c r="C5" s="1773"/>
      <c r="D5" s="1773"/>
      <c r="E5" s="1773"/>
      <c r="F5" s="1773"/>
      <c r="G5" s="1773"/>
      <c r="H5" s="1773"/>
      <c r="I5" s="1773"/>
      <c r="J5" s="1773"/>
    </row>
    <row r="6" spans="1:12" ht="18" customHeight="1">
      <c r="A6" s="1778" t="s">
        <v>4</v>
      </c>
      <c r="B6" s="1778" t="s">
        <v>5</v>
      </c>
      <c r="C6" s="1778" t="s">
        <v>55</v>
      </c>
      <c r="D6" s="1778" t="s">
        <v>116</v>
      </c>
      <c r="E6" s="1778" t="s">
        <v>35</v>
      </c>
      <c r="F6" s="1778" t="s">
        <v>2538</v>
      </c>
      <c r="G6" s="657"/>
      <c r="H6" s="1728" t="s">
        <v>2782</v>
      </c>
      <c r="I6" s="1044"/>
      <c r="J6" s="1778" t="s">
        <v>33</v>
      </c>
      <c r="K6" s="1775" t="s">
        <v>2925</v>
      </c>
      <c r="L6" s="1776" t="s">
        <v>2926</v>
      </c>
    </row>
    <row r="7" spans="1:12" ht="36" customHeight="1">
      <c r="A7" s="1778"/>
      <c r="B7" s="1778"/>
      <c r="C7" s="1778"/>
      <c r="D7" s="1778"/>
      <c r="E7" s="1778"/>
      <c r="F7" s="1778"/>
      <c r="G7" s="65" t="s">
        <v>6</v>
      </c>
      <c r="H7" s="1779"/>
      <c r="I7" s="65" t="s">
        <v>720</v>
      </c>
      <c r="J7" s="1778"/>
      <c r="K7" s="1775"/>
      <c r="L7" s="1776"/>
    </row>
    <row r="8" spans="1:12" s="485" customFormat="1" ht="18" hidden="1" customHeight="1">
      <c r="A8" s="484" t="s">
        <v>10</v>
      </c>
      <c r="B8" s="484" t="s">
        <v>12</v>
      </c>
      <c r="C8" s="484" t="s">
        <v>14</v>
      </c>
      <c r="D8" s="484" t="s">
        <v>16</v>
      </c>
      <c r="E8" s="484" t="s">
        <v>18</v>
      </c>
      <c r="F8" s="484" t="s">
        <v>20</v>
      </c>
      <c r="G8" s="484" t="s">
        <v>1413</v>
      </c>
      <c r="H8" s="484" t="s">
        <v>24</v>
      </c>
      <c r="I8" s="484" t="s">
        <v>700</v>
      </c>
      <c r="J8" s="484" t="s">
        <v>728</v>
      </c>
      <c r="K8" s="30">
        <f>COUNTIF(K9:K251,"1")</f>
        <v>4</v>
      </c>
      <c r="L8" s="30">
        <f>COUNTIF(L9:L251,"1")</f>
        <v>8</v>
      </c>
    </row>
    <row r="9" spans="1:12" ht="18" customHeight="1">
      <c r="A9" s="18"/>
      <c r="B9" s="40" t="s">
        <v>6</v>
      </c>
      <c r="C9" s="18"/>
      <c r="D9" s="36">
        <f>D10+D12+D14+D16+D18+D21+D23+D26</f>
        <v>677</v>
      </c>
      <c r="E9" s="18"/>
      <c r="F9" s="23">
        <f>F10+F12+F14+F16+F18+F21+F23+F26</f>
        <v>188680</v>
      </c>
      <c r="G9" s="23">
        <f>G10+G12+G14+G16+G18+G21+G23+G26</f>
        <v>150624</v>
      </c>
      <c r="H9" s="23">
        <f>H10+H12+H14+H16+H18+H21+H23+H26</f>
        <v>149446</v>
      </c>
      <c r="I9" s="23">
        <f>I10+I12+I14+I16+I18+I21+I23+I26</f>
        <v>1178</v>
      </c>
      <c r="J9" s="18"/>
      <c r="K9" s="30">
        <f>COUNTIF(K10:K28,"1")</f>
        <v>4</v>
      </c>
      <c r="L9" s="30">
        <f>COUNTIF(L10:L28,"1")</f>
        <v>8</v>
      </c>
    </row>
    <row r="10" spans="1:12" s="30" customFormat="1" ht="18" customHeight="1">
      <c r="A10" s="26" t="s">
        <v>8</v>
      </c>
      <c r="B10" s="27" t="s">
        <v>25</v>
      </c>
      <c r="C10" s="55"/>
      <c r="D10" s="34">
        <f>SUM(D11:D11)</f>
        <v>35</v>
      </c>
      <c r="E10" s="27"/>
      <c r="F10" s="23">
        <f>+F11</f>
        <v>10500</v>
      </c>
      <c r="G10" s="23">
        <f t="shared" ref="G10:I10" si="0">+G11</f>
        <v>8179</v>
      </c>
      <c r="H10" s="23">
        <f t="shared" si="0"/>
        <v>8118</v>
      </c>
      <c r="I10" s="23">
        <f t="shared" si="0"/>
        <v>61</v>
      </c>
      <c r="J10" s="21"/>
    </row>
    <row r="11" spans="1:12" s="30" customFormat="1" ht="26">
      <c r="A11" s="13" t="s">
        <v>10</v>
      </c>
      <c r="B11" s="19" t="s">
        <v>2300</v>
      </c>
      <c r="C11" s="13" t="s">
        <v>601</v>
      </c>
      <c r="D11" s="174">
        <v>35</v>
      </c>
      <c r="E11" s="74" t="s">
        <v>118</v>
      </c>
      <c r="F11" s="20">
        <v>10500</v>
      </c>
      <c r="G11" s="20">
        <f>SUM(H11:I11)</f>
        <v>8179</v>
      </c>
      <c r="H11" s="20">
        <v>8118</v>
      </c>
      <c r="I11" s="20">
        <v>61</v>
      </c>
      <c r="J11" s="708"/>
      <c r="K11" s="1177" t="str">
        <f>IF(H11&gt;15000,"1","0")</f>
        <v>0</v>
      </c>
      <c r="L11" s="1177" t="str">
        <f>IF(H11&gt;10000,"1","0")</f>
        <v>0</v>
      </c>
    </row>
    <row r="12" spans="1:12" s="30" customFormat="1" ht="18" customHeight="1">
      <c r="A12" s="26" t="s">
        <v>26</v>
      </c>
      <c r="B12" s="27" t="s">
        <v>23</v>
      </c>
      <c r="C12" s="55"/>
      <c r="D12" s="34">
        <f>SUM(D13:D13)</f>
        <v>35</v>
      </c>
      <c r="E12" s="27"/>
      <c r="F12" s="23">
        <f>+F13</f>
        <v>7600</v>
      </c>
      <c r="G12" s="23">
        <f t="shared" ref="G12:I12" si="1">+G13</f>
        <v>5801</v>
      </c>
      <c r="H12" s="23">
        <f t="shared" si="1"/>
        <v>5740</v>
      </c>
      <c r="I12" s="23">
        <f t="shared" si="1"/>
        <v>61</v>
      </c>
      <c r="J12" s="21"/>
    </row>
    <row r="13" spans="1:12" s="30" customFormat="1" ht="26">
      <c r="A13" s="174">
        <v>1</v>
      </c>
      <c r="B13" s="19" t="s">
        <v>2301</v>
      </c>
      <c r="C13" s="13" t="s">
        <v>334</v>
      </c>
      <c r="D13" s="174">
        <v>35</v>
      </c>
      <c r="E13" s="74" t="s">
        <v>118</v>
      </c>
      <c r="F13" s="20">
        <v>7600</v>
      </c>
      <c r="G13" s="20">
        <f>+H13+I13</f>
        <v>5801</v>
      </c>
      <c r="H13" s="20">
        <v>5740</v>
      </c>
      <c r="I13" s="20">
        <v>61</v>
      </c>
      <c r="J13" s="25"/>
      <c r="K13" s="1177" t="str">
        <f>IF(H13&gt;15000,"1","0")</f>
        <v>0</v>
      </c>
      <c r="L13" s="1177" t="str">
        <f>IF(H13&gt;10000,"1","0")</f>
        <v>0</v>
      </c>
    </row>
    <row r="14" spans="1:12" s="30" customFormat="1" ht="18" customHeight="1">
      <c r="A14" s="26" t="s">
        <v>28</v>
      </c>
      <c r="B14" s="27" t="s">
        <v>21</v>
      </c>
      <c r="C14" s="55"/>
      <c r="D14" s="34">
        <f>SUM(D15:D15)</f>
        <v>51</v>
      </c>
      <c r="E14" s="27"/>
      <c r="F14" s="23">
        <f>+F15</f>
        <v>14500</v>
      </c>
      <c r="G14" s="23">
        <f t="shared" ref="G14:I14" si="2">+G15</f>
        <v>11225</v>
      </c>
      <c r="H14" s="23">
        <f t="shared" si="2"/>
        <v>11136</v>
      </c>
      <c r="I14" s="23">
        <f t="shared" si="2"/>
        <v>89</v>
      </c>
      <c r="J14" s="21"/>
    </row>
    <row r="15" spans="1:12" s="30" customFormat="1" ht="26">
      <c r="A15" s="174">
        <v>1</v>
      </c>
      <c r="B15" s="19" t="s">
        <v>2302</v>
      </c>
      <c r="C15" s="13" t="s">
        <v>176</v>
      </c>
      <c r="D15" s="174">
        <v>51</v>
      </c>
      <c r="E15" s="74" t="s">
        <v>118</v>
      </c>
      <c r="F15" s="20">
        <v>14500</v>
      </c>
      <c r="G15" s="20">
        <f t="shared" ref="G15" si="3">+H15+I15</f>
        <v>11225</v>
      </c>
      <c r="H15" s="20">
        <v>11136</v>
      </c>
      <c r="I15" s="20">
        <v>89</v>
      </c>
      <c r="J15" s="708"/>
      <c r="K15" s="1177" t="str">
        <f>IF(H15&gt;15000,"1","0")</f>
        <v>0</v>
      </c>
      <c r="L15" s="1177" t="str">
        <f>IF(H15&gt;10000,"1","0")</f>
        <v>1</v>
      </c>
    </row>
    <row r="16" spans="1:12" s="30" customFormat="1" ht="18" customHeight="1">
      <c r="A16" s="26" t="s">
        <v>29</v>
      </c>
      <c r="B16" s="27" t="s">
        <v>19</v>
      </c>
      <c r="C16" s="55"/>
      <c r="D16" s="34">
        <f>SUM(D17:D17)</f>
        <v>90</v>
      </c>
      <c r="E16" s="27"/>
      <c r="F16" s="23">
        <f>+F17</f>
        <v>21000</v>
      </c>
      <c r="G16" s="23">
        <f t="shared" ref="G16:I16" si="4">+G17</f>
        <v>20822</v>
      </c>
      <c r="H16" s="23">
        <f t="shared" si="4"/>
        <v>20665</v>
      </c>
      <c r="I16" s="23">
        <f t="shared" si="4"/>
        <v>157</v>
      </c>
      <c r="J16" s="21"/>
    </row>
    <row r="17" spans="1:12" s="30" customFormat="1" ht="26">
      <c r="A17" s="174">
        <v>1</v>
      </c>
      <c r="B17" s="19" t="s">
        <v>2924</v>
      </c>
      <c r="C17" s="13" t="s">
        <v>594</v>
      </c>
      <c r="D17" s="174">
        <v>90</v>
      </c>
      <c r="E17" s="74" t="s">
        <v>118</v>
      </c>
      <c r="F17" s="20">
        <v>21000</v>
      </c>
      <c r="G17" s="20">
        <f>SUM(H17:I17)</f>
        <v>20822</v>
      </c>
      <c r="H17" s="20">
        <v>20665</v>
      </c>
      <c r="I17" s="20">
        <v>157</v>
      </c>
      <c r="J17" s="708"/>
      <c r="K17" s="1177" t="str">
        <f>IF(H17&gt;15000,"1","0")</f>
        <v>1</v>
      </c>
      <c r="L17" s="1177" t="str">
        <f>IF(H17&gt;10000,"1","0")</f>
        <v>1</v>
      </c>
    </row>
    <row r="18" spans="1:12" s="30" customFormat="1" ht="18" customHeight="1">
      <c r="A18" s="26" t="s">
        <v>30</v>
      </c>
      <c r="B18" s="27" t="s">
        <v>17</v>
      </c>
      <c r="C18" s="55"/>
      <c r="D18" s="34">
        <f>SUM(D19:D20)</f>
        <v>189</v>
      </c>
      <c r="E18" s="27"/>
      <c r="F18" s="21">
        <f>SUM(F19:F20)</f>
        <v>56280</v>
      </c>
      <c r="G18" s="21">
        <f t="shared" ref="G18:I18" si="5">SUM(G19:G20)</f>
        <v>43586</v>
      </c>
      <c r="H18" s="21">
        <f t="shared" si="5"/>
        <v>43258</v>
      </c>
      <c r="I18" s="21">
        <f t="shared" si="5"/>
        <v>328</v>
      </c>
      <c r="J18" s="21"/>
    </row>
    <row r="19" spans="1:12" s="30" customFormat="1" ht="26">
      <c r="A19" s="13" t="s">
        <v>10</v>
      </c>
      <c r="B19" s="19" t="s">
        <v>2294</v>
      </c>
      <c r="C19" s="13" t="s">
        <v>284</v>
      </c>
      <c r="D19" s="174">
        <v>89</v>
      </c>
      <c r="E19" s="74" t="s">
        <v>118</v>
      </c>
      <c r="F19" s="20">
        <v>26500</v>
      </c>
      <c r="G19" s="20">
        <f>SUM(H19:I19)</f>
        <v>20550</v>
      </c>
      <c r="H19" s="20">
        <v>20395</v>
      </c>
      <c r="I19" s="20">
        <v>155</v>
      </c>
      <c r="J19" s="174"/>
      <c r="K19" s="1177" t="str">
        <f>IF(H19&gt;15000,"1","0")</f>
        <v>1</v>
      </c>
      <c r="L19" s="1177" t="str">
        <f>IF(H19&gt;10000,"1","0")</f>
        <v>1</v>
      </c>
    </row>
    <row r="20" spans="1:12" s="30" customFormat="1" ht="26">
      <c r="A20" s="13" t="s">
        <v>12</v>
      </c>
      <c r="B20" s="19" t="s">
        <v>2299</v>
      </c>
      <c r="C20" s="13" t="s">
        <v>286</v>
      </c>
      <c r="D20" s="174">
        <v>100</v>
      </c>
      <c r="E20" s="74" t="s">
        <v>118</v>
      </c>
      <c r="F20" s="20">
        <v>29780</v>
      </c>
      <c r="G20" s="20">
        <f>+H20+I20</f>
        <v>23036</v>
      </c>
      <c r="H20" s="20">
        <v>22863</v>
      </c>
      <c r="I20" s="20">
        <v>173</v>
      </c>
      <c r="J20" s="708"/>
      <c r="K20" s="1177" t="str">
        <f>IF(H20&gt;15000,"1","0")</f>
        <v>1</v>
      </c>
      <c r="L20" s="1177" t="str">
        <f>IF(H20&gt;10000,"1","0")</f>
        <v>1</v>
      </c>
    </row>
    <row r="21" spans="1:12" s="30" customFormat="1" ht="18" customHeight="1">
      <c r="A21" s="26" t="s">
        <v>31</v>
      </c>
      <c r="B21" s="27" t="s">
        <v>15</v>
      </c>
      <c r="C21" s="55"/>
      <c r="D21" s="34">
        <f>+D22</f>
        <v>50</v>
      </c>
      <c r="E21" s="27"/>
      <c r="F21" s="21">
        <f>+F22</f>
        <v>14900</v>
      </c>
      <c r="G21" s="21">
        <f t="shared" ref="G21:I21" si="6">+G22</f>
        <v>11568</v>
      </c>
      <c r="H21" s="21">
        <f t="shared" si="6"/>
        <v>11481</v>
      </c>
      <c r="I21" s="21">
        <f t="shared" si="6"/>
        <v>87</v>
      </c>
      <c r="J21" s="21"/>
    </row>
    <row r="22" spans="1:12" s="30" customFormat="1">
      <c r="A22" s="174">
        <v>1</v>
      </c>
      <c r="B22" s="19" t="s">
        <v>2298</v>
      </c>
      <c r="C22" s="13" t="s">
        <v>216</v>
      </c>
      <c r="D22" s="174">
        <v>50</v>
      </c>
      <c r="E22" s="74" t="s">
        <v>118</v>
      </c>
      <c r="F22" s="20">
        <v>14900</v>
      </c>
      <c r="G22" s="20">
        <f>SUM(H22:I22)</f>
        <v>11568</v>
      </c>
      <c r="H22" s="20">
        <v>11481</v>
      </c>
      <c r="I22" s="20">
        <v>87</v>
      </c>
      <c r="J22" s="709"/>
      <c r="K22" s="1177" t="str">
        <f>IF(H22&gt;15000,"1","0")</f>
        <v>0</v>
      </c>
      <c r="L22" s="1177" t="str">
        <f>IF(H22&gt;10000,"1","0")</f>
        <v>1</v>
      </c>
    </row>
    <row r="23" spans="1:12" s="30" customFormat="1" ht="18" customHeight="1">
      <c r="A23" s="26" t="s">
        <v>80</v>
      </c>
      <c r="B23" s="27" t="s">
        <v>13</v>
      </c>
      <c r="C23" s="55"/>
      <c r="D23" s="34">
        <f>SUM(D24:D25)</f>
        <v>129</v>
      </c>
      <c r="E23" s="27"/>
      <c r="F23" s="21">
        <f>SUM(F24:F25)</f>
        <v>38500</v>
      </c>
      <c r="G23" s="21">
        <f t="shared" ref="G23:I23" si="7">SUM(G24:G25)</f>
        <v>29845</v>
      </c>
      <c r="H23" s="21">
        <f t="shared" si="7"/>
        <v>29620</v>
      </c>
      <c r="I23" s="21">
        <f t="shared" si="7"/>
        <v>225</v>
      </c>
      <c r="J23" s="21"/>
    </row>
    <row r="24" spans="1:12" s="30" customFormat="1" ht="18" customHeight="1">
      <c r="A24" s="174">
        <v>1</v>
      </c>
      <c r="B24" s="19" t="s">
        <v>2297</v>
      </c>
      <c r="C24" s="13" t="s">
        <v>113</v>
      </c>
      <c r="D24" s="174">
        <v>67</v>
      </c>
      <c r="E24" s="74" t="s">
        <v>118</v>
      </c>
      <c r="F24" s="20">
        <v>20000</v>
      </c>
      <c r="G24" s="20">
        <f>+H24+I24</f>
        <v>15502</v>
      </c>
      <c r="H24" s="20">
        <v>15385</v>
      </c>
      <c r="I24" s="20">
        <v>117</v>
      </c>
      <c r="J24" s="25"/>
      <c r="K24" s="1177" t="str">
        <f>IF(H24&gt;15000,"1","0")</f>
        <v>1</v>
      </c>
      <c r="L24" s="1177" t="str">
        <f>IF(H24&gt;10000,"1","0")</f>
        <v>1</v>
      </c>
    </row>
    <row r="25" spans="1:12" s="30" customFormat="1" ht="30" customHeight="1">
      <c r="A25" s="174">
        <v>2</v>
      </c>
      <c r="B25" s="19" t="s">
        <v>2351</v>
      </c>
      <c r="C25" s="13" t="s">
        <v>114</v>
      </c>
      <c r="D25" s="174">
        <v>62</v>
      </c>
      <c r="E25" s="74" t="s">
        <v>118</v>
      </c>
      <c r="F25" s="20">
        <v>18500</v>
      </c>
      <c r="G25" s="20">
        <f t="shared" ref="G25" si="8">+H25+I25</f>
        <v>14343</v>
      </c>
      <c r="H25" s="20">
        <v>14235</v>
      </c>
      <c r="I25" s="20">
        <v>108</v>
      </c>
      <c r="J25" s="25"/>
      <c r="K25" s="1177" t="str">
        <f>IF(H25&gt;15000,"1","0")</f>
        <v>0</v>
      </c>
      <c r="L25" s="1177" t="str">
        <f>IF(H25&gt;10000,"1","0")</f>
        <v>1</v>
      </c>
    </row>
    <row r="26" spans="1:12" s="30" customFormat="1" ht="18" customHeight="1">
      <c r="A26" s="26" t="s">
        <v>81</v>
      </c>
      <c r="B26" s="27" t="s">
        <v>11</v>
      </c>
      <c r="C26" s="55"/>
      <c r="D26" s="34">
        <f>SUM(D27:D28)</f>
        <v>98</v>
      </c>
      <c r="E26" s="27"/>
      <c r="F26" s="21">
        <f>SUM(F27:F28)</f>
        <v>25400</v>
      </c>
      <c r="G26" s="21">
        <f t="shared" ref="G26:I26" si="9">SUM(G27:G28)</f>
        <v>19598</v>
      </c>
      <c r="H26" s="21">
        <f t="shared" si="9"/>
        <v>19428</v>
      </c>
      <c r="I26" s="21">
        <f t="shared" si="9"/>
        <v>170</v>
      </c>
      <c r="J26" s="21"/>
    </row>
    <row r="27" spans="1:12" s="30" customFormat="1" ht="26">
      <c r="A27" s="174">
        <v>1</v>
      </c>
      <c r="B27" s="19" t="s">
        <v>2295</v>
      </c>
      <c r="C27" s="13" t="s">
        <v>689</v>
      </c>
      <c r="D27" s="174">
        <v>20</v>
      </c>
      <c r="E27" s="74" t="s">
        <v>118</v>
      </c>
      <c r="F27" s="20">
        <v>5900</v>
      </c>
      <c r="G27" s="20">
        <f>+H27+I27</f>
        <v>4668</v>
      </c>
      <c r="H27" s="20">
        <v>4634</v>
      </c>
      <c r="I27" s="20">
        <v>34</v>
      </c>
      <c r="J27" s="25"/>
      <c r="K27" s="1177" t="str">
        <f>IF(H27&gt;15000,"1","0")</f>
        <v>0</v>
      </c>
      <c r="L27" s="1177" t="str">
        <f>IF(H27&gt;10000,"1","0")</f>
        <v>0</v>
      </c>
    </row>
    <row r="28" spans="1:12" s="30" customFormat="1" ht="26">
      <c r="A28" s="174">
        <v>2</v>
      </c>
      <c r="B28" s="19" t="s">
        <v>2296</v>
      </c>
      <c r="C28" s="13" t="s">
        <v>627</v>
      </c>
      <c r="D28" s="174">
        <v>78</v>
      </c>
      <c r="E28" s="74" t="s">
        <v>118</v>
      </c>
      <c r="F28" s="20">
        <v>19500</v>
      </c>
      <c r="G28" s="20">
        <f t="shared" ref="G28" si="10">+H28+I28</f>
        <v>14930</v>
      </c>
      <c r="H28" s="20">
        <v>14794</v>
      </c>
      <c r="I28" s="20">
        <v>136</v>
      </c>
      <c r="J28" s="25"/>
      <c r="K28" s="1177" t="str">
        <f>IF(H28&gt;15000,"1","0")</f>
        <v>0</v>
      </c>
      <c r="L28" s="1177" t="str">
        <f>IF(H28&gt;10000,"1","0")</f>
        <v>1</v>
      </c>
    </row>
    <row r="29" spans="1:12" ht="13.5" customHeight="1">
      <c r="A29" s="63"/>
      <c r="B29" s="61"/>
      <c r="C29" s="62"/>
      <c r="D29" s="63"/>
      <c r="E29" s="62"/>
      <c r="F29" s="64"/>
      <c r="G29" s="64"/>
      <c r="H29" s="64"/>
      <c r="I29" s="64"/>
      <c r="J29" s="64"/>
    </row>
    <row r="30" spans="1:12" s="35" customFormat="1" ht="18" customHeight="1">
      <c r="A30" s="1764" t="s">
        <v>2464</v>
      </c>
      <c r="B30" s="1764"/>
      <c r="C30" s="1764"/>
      <c r="D30" s="1764"/>
      <c r="E30" s="1764"/>
      <c r="F30" s="1764"/>
      <c r="G30" s="1764"/>
      <c r="H30" s="1764"/>
      <c r="I30" s="1764"/>
      <c r="J30" s="1764"/>
    </row>
    <row r="31" spans="1:12" ht="18" customHeight="1">
      <c r="A31" s="600"/>
      <c r="B31" s="601"/>
      <c r="C31" s="601"/>
      <c r="D31" s="601"/>
      <c r="E31" s="601"/>
      <c r="F31" s="83"/>
      <c r="G31" s="83"/>
      <c r="H31" s="83"/>
      <c r="I31" s="83"/>
      <c r="J31" s="83"/>
    </row>
    <row r="32" spans="1:12" ht="18" customHeight="1">
      <c r="A32" s="600"/>
      <c r="B32" s="601"/>
      <c r="C32" s="601"/>
      <c r="D32" s="601"/>
      <c r="E32" s="601"/>
      <c r="F32" s="83"/>
      <c r="G32" s="83"/>
      <c r="H32" s="83"/>
      <c r="I32" s="83"/>
      <c r="J32" s="83"/>
    </row>
    <row r="33" spans="1:10" ht="18" customHeight="1">
      <c r="A33" s="600"/>
      <c r="B33" s="601"/>
      <c r="C33" s="601"/>
      <c r="D33" s="601"/>
      <c r="E33" s="601"/>
      <c r="F33" s="83"/>
      <c r="G33" s="83"/>
      <c r="H33" s="83"/>
      <c r="I33" s="83"/>
      <c r="J33" s="83"/>
    </row>
    <row r="34" spans="1:10" ht="18" customHeight="1">
      <c r="A34" s="600"/>
      <c r="B34" s="601"/>
      <c r="C34" s="601"/>
      <c r="D34" s="601"/>
      <c r="E34" s="601"/>
      <c r="F34" s="83"/>
      <c r="G34" s="83"/>
      <c r="H34" s="83"/>
      <c r="I34" s="83"/>
      <c r="J34" s="83"/>
    </row>
    <row r="35" spans="1:10" ht="18" customHeight="1">
      <c r="A35" s="600"/>
      <c r="B35" s="601"/>
      <c r="C35" s="601"/>
      <c r="D35" s="601"/>
      <c r="E35" s="601"/>
      <c r="F35" s="83"/>
      <c r="G35" s="83"/>
      <c r="H35" s="83"/>
      <c r="I35" s="83"/>
      <c r="J35" s="83"/>
    </row>
    <row r="36" spans="1:10" ht="18" customHeight="1">
      <c r="A36" s="600"/>
      <c r="B36" s="601"/>
      <c r="C36" s="601"/>
      <c r="D36" s="601"/>
      <c r="E36" s="601"/>
      <c r="F36" s="83"/>
      <c r="G36" s="83"/>
      <c r="H36" s="83"/>
      <c r="I36" s="83"/>
      <c r="J36" s="83"/>
    </row>
    <row r="37" spans="1:10" ht="18" customHeight="1">
      <c r="A37" s="600"/>
      <c r="B37" s="601"/>
      <c r="C37" s="601"/>
      <c r="D37" s="601"/>
      <c r="E37" s="601"/>
      <c r="F37" s="83"/>
      <c r="G37" s="83"/>
      <c r="H37" s="83"/>
      <c r="I37" s="83"/>
      <c r="J37" s="83"/>
    </row>
    <row r="38" spans="1:10" ht="18" customHeight="1">
      <c r="A38" s="600"/>
      <c r="B38" s="601"/>
      <c r="C38" s="601"/>
      <c r="D38" s="601"/>
      <c r="E38" s="601"/>
      <c r="F38" s="83"/>
      <c r="G38" s="83"/>
      <c r="H38" s="83"/>
      <c r="I38" s="83"/>
      <c r="J38" s="83"/>
    </row>
    <row r="39" spans="1:10" ht="18" customHeight="1">
      <c r="A39" s="600"/>
      <c r="B39" s="601"/>
      <c r="C39" s="601"/>
      <c r="D39" s="601"/>
      <c r="E39" s="601"/>
      <c r="F39" s="83"/>
      <c r="G39" s="83"/>
      <c r="H39" s="83"/>
      <c r="I39" s="83"/>
      <c r="J39" s="83"/>
    </row>
    <row r="40" spans="1:10" ht="18" customHeight="1">
      <c r="A40" s="600"/>
      <c r="B40" s="601"/>
      <c r="C40" s="601"/>
      <c r="D40" s="601"/>
      <c r="E40" s="601"/>
      <c r="F40" s="83"/>
      <c r="G40" s="83"/>
      <c r="H40" s="83"/>
      <c r="I40" s="83"/>
      <c r="J40" s="83"/>
    </row>
    <row r="41" spans="1:10" ht="18" customHeight="1">
      <c r="A41" s="600"/>
      <c r="B41" s="601"/>
      <c r="C41" s="601"/>
      <c r="D41" s="601"/>
      <c r="E41" s="601"/>
      <c r="F41" s="83"/>
      <c r="G41" s="83"/>
      <c r="H41" s="83"/>
      <c r="I41" s="83"/>
      <c r="J41" s="83"/>
    </row>
    <row r="42" spans="1:10" ht="18" customHeight="1">
      <c r="A42" s="600"/>
      <c r="B42" s="601"/>
      <c r="C42" s="601"/>
      <c r="D42" s="601"/>
      <c r="E42" s="601"/>
      <c r="F42" s="83"/>
      <c r="G42" s="83"/>
      <c r="H42" s="83"/>
      <c r="I42" s="83"/>
      <c r="J42" s="83"/>
    </row>
    <row r="43" spans="1:10" ht="18" customHeight="1">
      <c r="A43" s="600"/>
      <c r="B43" s="601"/>
      <c r="C43" s="601"/>
      <c r="D43" s="601"/>
      <c r="E43" s="601"/>
      <c r="F43" s="83"/>
      <c r="G43" s="83"/>
      <c r="H43" s="83"/>
      <c r="I43" s="83"/>
      <c r="J43" s="83"/>
    </row>
    <row r="44" spans="1:10" ht="18" customHeight="1">
      <c r="A44" s="600"/>
      <c r="B44" s="601"/>
      <c r="C44" s="601"/>
      <c r="D44" s="601"/>
      <c r="E44" s="601"/>
      <c r="F44" s="83"/>
      <c r="G44" s="83"/>
      <c r="H44" s="83"/>
      <c r="I44" s="83"/>
      <c r="J44" s="83"/>
    </row>
    <row r="45" spans="1:10" ht="18" customHeight="1">
      <c r="A45" s="600"/>
      <c r="B45" s="601"/>
      <c r="C45" s="601"/>
      <c r="D45" s="601"/>
      <c r="E45" s="601"/>
      <c r="F45" s="83"/>
      <c r="G45" s="83"/>
      <c r="H45" s="83"/>
      <c r="I45" s="83"/>
      <c r="J45" s="83"/>
    </row>
    <row r="46" spans="1:10" ht="18" customHeight="1">
      <c r="A46" s="600"/>
      <c r="B46" s="601"/>
      <c r="C46" s="601"/>
      <c r="D46" s="601"/>
      <c r="E46" s="601"/>
      <c r="F46" s="83"/>
      <c r="G46" s="83"/>
      <c r="H46" s="83"/>
      <c r="I46" s="83"/>
      <c r="J46" s="83"/>
    </row>
    <row r="47" spans="1:10" ht="18" customHeight="1">
      <c r="A47" s="600"/>
      <c r="B47" s="601"/>
      <c r="C47" s="601"/>
      <c r="D47" s="601"/>
      <c r="E47" s="601"/>
      <c r="F47" s="83"/>
      <c r="G47" s="83"/>
      <c r="H47" s="83"/>
      <c r="I47" s="83"/>
      <c r="J47" s="83"/>
    </row>
    <row r="48" spans="1:10" ht="18" customHeight="1">
      <c r="A48" s="600"/>
      <c r="B48" s="601"/>
      <c r="C48" s="601"/>
      <c r="D48" s="601"/>
      <c r="E48" s="601"/>
      <c r="F48" s="83"/>
      <c r="G48" s="83"/>
      <c r="H48" s="83"/>
      <c r="I48" s="83"/>
      <c r="J48" s="83"/>
    </row>
    <row r="49" spans="1:10">
      <c r="A49" s="602"/>
      <c r="B49" s="601"/>
      <c r="C49" s="601"/>
      <c r="D49" s="601"/>
      <c r="E49" s="601"/>
      <c r="F49" s="83"/>
      <c r="G49" s="83"/>
      <c r="H49" s="83"/>
      <c r="I49" s="83"/>
      <c r="J49" s="83"/>
    </row>
    <row r="50" spans="1:10" ht="13.5" customHeight="1"/>
    <row r="51" spans="1:10">
      <c r="A51" s="43"/>
      <c r="B51" s="43"/>
      <c r="C51" s="43"/>
      <c r="D51" s="43"/>
      <c r="E51" s="43"/>
      <c r="F51" s="43"/>
      <c r="G51" s="43"/>
      <c r="H51" s="43"/>
      <c r="I51" s="43"/>
      <c r="J51" s="43"/>
    </row>
    <row r="52" spans="1:10">
      <c r="A52" s="42"/>
      <c r="B52" s="42"/>
      <c r="C52" s="42"/>
      <c r="D52" s="42"/>
      <c r="E52" s="42"/>
      <c r="F52" s="42"/>
      <c r="G52" s="42"/>
      <c r="H52" s="42"/>
      <c r="I52" s="42"/>
      <c r="J52" s="42"/>
    </row>
    <row r="53" spans="1:10">
      <c r="A53" s="42"/>
      <c r="B53" s="42"/>
      <c r="C53" s="42"/>
      <c r="D53" s="42"/>
      <c r="E53" s="42"/>
      <c r="F53" s="42"/>
      <c r="G53" s="42"/>
      <c r="H53" s="42"/>
      <c r="I53" s="42"/>
      <c r="J53" s="42"/>
    </row>
    <row r="54" spans="1:10">
      <c r="A54" s="42"/>
      <c r="B54" s="42"/>
      <c r="C54" s="42"/>
      <c r="D54" s="42"/>
      <c r="E54" s="42"/>
      <c r="F54" s="42"/>
      <c r="G54" s="42"/>
      <c r="H54" s="42"/>
      <c r="I54" s="42"/>
      <c r="J54" s="42"/>
    </row>
    <row r="55" spans="1:10" ht="18" customHeight="1">
      <c r="A55" s="43"/>
      <c r="B55" s="43"/>
      <c r="C55" s="86"/>
      <c r="D55" s="86"/>
      <c r="E55" s="86"/>
    </row>
    <row r="56" spans="1:10" ht="18" customHeight="1">
      <c r="A56" s="42"/>
      <c r="B56" s="42"/>
      <c r="C56" s="42"/>
      <c r="D56" s="42"/>
      <c r="E56" s="42"/>
      <c r="F56" s="42"/>
      <c r="G56" s="42"/>
      <c r="H56" s="42"/>
      <c r="I56" s="42"/>
      <c r="J56" s="42"/>
    </row>
    <row r="57" spans="1:10" ht="18" customHeight="1"/>
    <row r="58" spans="1:10" ht="18" customHeight="1"/>
    <row r="59" spans="1:10" ht="18" customHeight="1"/>
    <row r="60" spans="1:10" ht="18" customHeight="1"/>
    <row r="61" spans="1:10" ht="18" customHeight="1"/>
    <row r="62" spans="1:10" ht="18" customHeight="1"/>
    <row r="63" spans="1:10" ht="18" customHeight="1"/>
    <row r="64" spans="1:10" ht="18" customHeight="1"/>
    <row r="65" ht="18" customHeight="1"/>
    <row r="66" ht="18" customHeight="1"/>
    <row r="67" ht="18" customHeight="1"/>
    <row r="68" ht="18"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sheetData>
  <autoFilter ref="A8:J30"/>
  <mergeCells count="17">
    <mergeCell ref="H6:H7"/>
    <mergeCell ref="K6:K7"/>
    <mergeCell ref="L6:L7"/>
    <mergeCell ref="A1:J1"/>
    <mergeCell ref="A4:J4"/>
    <mergeCell ref="A30:J30"/>
    <mergeCell ref="A2:B2"/>
    <mergeCell ref="A3:J3"/>
    <mergeCell ref="A5:J5"/>
    <mergeCell ref="A6:A7"/>
    <mergeCell ref="J6:J7"/>
    <mergeCell ref="B6:B7"/>
    <mergeCell ref="C6:C7"/>
    <mergeCell ref="D6:D7"/>
    <mergeCell ref="E6:E7"/>
    <mergeCell ref="F6:F7"/>
    <mergeCell ref="I2:J2"/>
  </mergeCells>
  <pageMargins left="0.5" right="0.5" top="0.5" bottom="0.5" header="0.47" footer="0.3"/>
  <pageSetup paperSize="9" scale="90" orientation="portrait" r:id="rId1"/>
  <headerFooter>
    <oddFooter>Page &amp;P</oddFooter>
  </headerFooter>
  <ignoredErrors>
    <ignoredError sqref="A11:J16 A18:J28 A17 C17:E17 G17:J17"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220"/>
  <sheetViews>
    <sheetView workbookViewId="0">
      <selection activeCell="F6" sqref="F6:F10"/>
    </sheetView>
  </sheetViews>
  <sheetFormatPr defaultColWidth="9.08203125" defaultRowHeight="13"/>
  <cols>
    <col min="1" max="1" width="5.6640625" style="75" customWidth="1"/>
    <col min="2" max="2" width="55.33203125" style="75" customWidth="1"/>
    <col min="3" max="3" width="14.33203125" style="75" customWidth="1"/>
    <col min="4" max="4" width="9.33203125" style="75" hidden="1" customWidth="1"/>
    <col min="5" max="8" width="7.9140625" style="75" hidden="1" customWidth="1"/>
    <col min="9" max="9" width="9.08203125" style="75" hidden="1" customWidth="1"/>
    <col min="10" max="10" width="15.4140625" style="75" customWidth="1"/>
    <col min="11" max="11" width="10.08203125" style="75" customWidth="1"/>
    <col min="12" max="16384" width="9.08203125" style="75"/>
  </cols>
  <sheetData>
    <row r="1" spans="1:10" ht="24" customHeight="1">
      <c r="A1" s="1780" t="s">
        <v>2785</v>
      </c>
      <c r="B1" s="1780"/>
      <c r="C1" s="1780"/>
      <c r="D1" s="1780"/>
      <c r="E1" s="1780"/>
      <c r="F1" s="1780"/>
      <c r="G1" s="1780"/>
      <c r="H1" s="1780"/>
      <c r="I1" s="1780"/>
      <c r="J1" s="1780"/>
    </row>
    <row r="2" spans="1:10" s="107" customFormat="1" ht="18" hidden="1" customHeight="1">
      <c r="A2" s="1784"/>
      <c r="B2" s="1784"/>
      <c r="C2" s="1090"/>
      <c r="D2" s="1091"/>
      <c r="E2" s="1091"/>
      <c r="F2" s="1091"/>
      <c r="G2" s="1091"/>
      <c r="H2" s="1091"/>
      <c r="I2" s="1785" t="s">
        <v>39</v>
      </c>
      <c r="J2" s="1785"/>
    </row>
    <row r="3" spans="1:10" ht="18" customHeight="1">
      <c r="A3" s="1780" t="s">
        <v>722</v>
      </c>
      <c r="B3" s="1780"/>
      <c r="C3" s="1780"/>
      <c r="D3" s="1780"/>
      <c r="E3" s="1780"/>
      <c r="F3" s="1780"/>
      <c r="G3" s="1780"/>
      <c r="H3" s="1780"/>
      <c r="I3" s="1780"/>
      <c r="J3" s="1780"/>
    </row>
    <row r="4" spans="1:10" ht="30" customHeight="1">
      <c r="A4" s="1780" t="s">
        <v>723</v>
      </c>
      <c r="B4" s="1780"/>
      <c r="C4" s="1780"/>
      <c r="D4" s="1780"/>
      <c r="E4" s="1780"/>
      <c r="F4" s="1780"/>
      <c r="G4" s="1780"/>
      <c r="H4" s="1780"/>
      <c r="I4" s="1780"/>
      <c r="J4" s="1780"/>
    </row>
    <row r="5" spans="1:10" s="82" customFormat="1" ht="30" customHeight="1">
      <c r="A5" s="1781" t="e">
        <f>#REF!</f>
        <v>#REF!</v>
      </c>
      <c r="B5" s="1781"/>
      <c r="C5" s="1781"/>
      <c r="D5" s="1781"/>
      <c r="E5" s="1781"/>
      <c r="F5" s="1781"/>
      <c r="G5" s="1781"/>
      <c r="H5" s="1781"/>
      <c r="I5" s="1781"/>
      <c r="J5" s="1781"/>
    </row>
    <row r="6" spans="1:10" ht="18" customHeight="1">
      <c r="A6" s="1783" t="s">
        <v>3</v>
      </c>
      <c r="B6" s="1783"/>
      <c r="C6" s="1783"/>
      <c r="D6" s="1783"/>
      <c r="E6" s="1783"/>
      <c r="F6" s="1783"/>
      <c r="G6" s="1783"/>
      <c r="H6" s="1783"/>
      <c r="I6" s="1783"/>
      <c r="J6" s="1783"/>
    </row>
    <row r="7" spans="1:10" ht="30" customHeight="1">
      <c r="A7" s="1786" t="s">
        <v>4</v>
      </c>
      <c r="B7" s="1786" t="s">
        <v>5</v>
      </c>
      <c r="C7" s="1787" t="s">
        <v>2537</v>
      </c>
      <c r="D7" s="1045"/>
      <c r="E7" s="1786" t="s">
        <v>724</v>
      </c>
      <c r="F7" s="1786"/>
      <c r="G7" s="1786" t="s">
        <v>725</v>
      </c>
      <c r="H7" s="1786" t="s">
        <v>726</v>
      </c>
      <c r="I7" s="1786" t="s">
        <v>727</v>
      </c>
      <c r="J7" s="1786" t="s">
        <v>33</v>
      </c>
    </row>
    <row r="8" spans="1:10" ht="18.75" customHeight="1">
      <c r="A8" s="1786"/>
      <c r="B8" s="1786"/>
      <c r="C8" s="1788"/>
      <c r="D8" s="710" t="s">
        <v>720</v>
      </c>
      <c r="E8" s="710" t="s">
        <v>719</v>
      </c>
      <c r="F8" s="710" t="s">
        <v>720</v>
      </c>
      <c r="G8" s="1786"/>
      <c r="H8" s="1786"/>
      <c r="I8" s="1786"/>
      <c r="J8" s="1786"/>
    </row>
    <row r="9" spans="1:10" s="485" customFormat="1" ht="18" hidden="1" customHeight="1">
      <c r="A9" s="484">
        <v>1</v>
      </c>
      <c r="B9" s="484">
        <v>2</v>
      </c>
      <c r="C9" s="484" t="s">
        <v>14</v>
      </c>
      <c r="D9" s="484" t="s">
        <v>16</v>
      </c>
      <c r="E9" s="484" t="s">
        <v>18</v>
      </c>
      <c r="F9" s="484" t="s">
        <v>20</v>
      </c>
      <c r="G9" s="484" t="s">
        <v>22</v>
      </c>
      <c r="H9" s="484" t="s">
        <v>24</v>
      </c>
      <c r="I9" s="484">
        <v>5</v>
      </c>
      <c r="J9" s="484">
        <v>6</v>
      </c>
    </row>
    <row r="10" spans="1:10" ht="18" customHeight="1">
      <c r="A10" s="36"/>
      <c r="B10" s="36" t="s">
        <v>7</v>
      </c>
      <c r="C10" s="23">
        <f>+C11+C21</f>
        <v>28733</v>
      </c>
      <c r="D10" s="23">
        <f t="shared" ref="D10:I10" si="0">+D11+D21</f>
        <v>1012345.3200000001</v>
      </c>
      <c r="E10" s="23">
        <f t="shared" si="0"/>
        <v>0</v>
      </c>
      <c r="F10" s="23">
        <f t="shared" si="0"/>
        <v>8173.0999999999922</v>
      </c>
      <c r="G10" s="23">
        <f t="shared" si="0"/>
        <v>0</v>
      </c>
      <c r="H10" s="23">
        <f t="shared" si="0"/>
        <v>0</v>
      </c>
      <c r="I10" s="23">
        <f t="shared" si="0"/>
        <v>1041078.3200000001</v>
      </c>
      <c r="J10" s="23"/>
    </row>
    <row r="11" spans="1:10" s="105" customFormat="1" ht="33.75" customHeight="1">
      <c r="A11" s="721" t="s">
        <v>8</v>
      </c>
      <c r="B11" s="54" t="s">
        <v>729</v>
      </c>
      <c r="C11" s="23">
        <f>SUM(C12:C19)</f>
        <v>0</v>
      </c>
      <c r="D11" s="23">
        <f>SUM(D12:D20)</f>
        <v>778860</v>
      </c>
      <c r="E11" s="23">
        <f t="shared" ref="E11:H11" si="1">SUM(E12:E19)</f>
        <v>0</v>
      </c>
      <c r="F11" s="23">
        <f t="shared" si="1"/>
        <v>8173.0999999999922</v>
      </c>
      <c r="G11" s="23">
        <f t="shared" si="1"/>
        <v>0</v>
      </c>
      <c r="H11" s="23">
        <f t="shared" si="1"/>
        <v>0</v>
      </c>
      <c r="I11" s="23">
        <f>SUM(I12:I20)</f>
        <v>778860</v>
      </c>
      <c r="J11" s="1046" t="s">
        <v>730</v>
      </c>
    </row>
    <row r="12" spans="1:10" s="105" customFormat="1" ht="18" hidden="1" customHeight="1">
      <c r="A12" s="95" t="s">
        <v>10</v>
      </c>
      <c r="B12" s="12" t="s">
        <v>25</v>
      </c>
      <c r="C12" s="20"/>
      <c r="D12" s="20">
        <f>VLOOKUP(B12,'3.1'!B10:H80,6,0)</f>
        <v>2190</v>
      </c>
      <c r="E12" s="20"/>
      <c r="F12" s="20">
        <f>+'[2]3.1'!J9</f>
        <v>0</v>
      </c>
      <c r="G12" s="20"/>
      <c r="H12" s="20"/>
      <c r="I12" s="44">
        <f>+D12+C12</f>
        <v>2190</v>
      </c>
      <c r="J12" s="1047"/>
    </row>
    <row r="13" spans="1:10" s="105" customFormat="1" ht="18" hidden="1" customHeight="1">
      <c r="A13" s="95" t="s">
        <v>12</v>
      </c>
      <c r="B13" s="12" t="s">
        <v>23</v>
      </c>
      <c r="C13" s="20"/>
      <c r="D13" s="20">
        <f>VLOOKUP(B13,'3.1'!B11:H80,6,0)</f>
        <v>15398</v>
      </c>
      <c r="E13" s="20"/>
      <c r="F13" s="20">
        <f>+'[2]3.1'!J19</f>
        <v>91.000000000000014</v>
      </c>
      <c r="G13" s="20"/>
      <c r="H13" s="20"/>
      <c r="I13" s="44">
        <f t="shared" ref="I13:I20" si="2">+D13+C13</f>
        <v>15398</v>
      </c>
      <c r="J13" s="1047"/>
    </row>
    <row r="14" spans="1:10" s="105" customFormat="1" ht="18" hidden="1" customHeight="1">
      <c r="A14" s="95" t="s">
        <v>14</v>
      </c>
      <c r="B14" s="12" t="s">
        <v>21</v>
      </c>
      <c r="C14" s="20"/>
      <c r="D14" s="20">
        <f>VLOOKUP(B14,'3.1'!B12:H80,6,0)</f>
        <v>0</v>
      </c>
      <c r="E14" s="20"/>
      <c r="F14" s="20">
        <f>+'[2]3.1'!J29</f>
        <v>0</v>
      </c>
      <c r="G14" s="20"/>
      <c r="H14" s="20"/>
      <c r="I14" s="44">
        <f t="shared" si="2"/>
        <v>0</v>
      </c>
      <c r="J14" s="1047"/>
    </row>
    <row r="15" spans="1:10" s="105" customFormat="1" ht="18" hidden="1" customHeight="1">
      <c r="A15" s="95" t="s">
        <v>16</v>
      </c>
      <c r="B15" s="12" t="s">
        <v>19</v>
      </c>
      <c r="C15" s="20"/>
      <c r="D15" s="20">
        <f>VLOOKUP(B15,'3.1'!B13:H80,6,0)</f>
        <v>11829</v>
      </c>
      <c r="E15" s="20"/>
      <c r="F15" s="20">
        <f>+'[2]3.1'!J39</f>
        <v>0</v>
      </c>
      <c r="G15" s="20"/>
      <c r="H15" s="20"/>
      <c r="I15" s="44">
        <f t="shared" si="2"/>
        <v>11829</v>
      </c>
      <c r="J15" s="1047"/>
    </row>
    <row r="16" spans="1:10" s="105" customFormat="1" ht="18" hidden="1" customHeight="1">
      <c r="A16" s="95" t="s">
        <v>18</v>
      </c>
      <c r="B16" s="12" t="s">
        <v>17</v>
      </c>
      <c r="C16" s="20"/>
      <c r="D16" s="20">
        <f>VLOOKUP(B16,'3.1'!B14:H80,6,0)</f>
        <v>99282.8</v>
      </c>
      <c r="E16" s="20"/>
      <c r="F16" s="20">
        <f>+'[2]3.1'!J49</f>
        <v>1063.0599999999995</v>
      </c>
      <c r="G16" s="20"/>
      <c r="H16" s="20"/>
      <c r="I16" s="44">
        <f t="shared" si="2"/>
        <v>99282.8</v>
      </c>
      <c r="J16" s="1047"/>
    </row>
    <row r="17" spans="1:10" s="105" customFormat="1" ht="18" hidden="1" customHeight="1">
      <c r="A17" s="95" t="s">
        <v>20</v>
      </c>
      <c r="B17" s="12" t="s">
        <v>15</v>
      </c>
      <c r="C17" s="20"/>
      <c r="D17" s="20">
        <f>VLOOKUP(B17,'3.1'!B15:H80,6,0)</f>
        <v>184566</v>
      </c>
      <c r="E17" s="20"/>
      <c r="F17" s="20">
        <f>+'[2]3.1'!J59</f>
        <v>2243.9999999999964</v>
      </c>
      <c r="G17" s="20"/>
      <c r="H17" s="20"/>
      <c r="I17" s="44">
        <f t="shared" si="2"/>
        <v>184566</v>
      </c>
      <c r="J17" s="1047"/>
    </row>
    <row r="18" spans="1:10" s="105" customFormat="1" ht="18" hidden="1" customHeight="1">
      <c r="A18" s="95" t="s">
        <v>22</v>
      </c>
      <c r="B18" s="12" t="s">
        <v>13</v>
      </c>
      <c r="C18" s="20"/>
      <c r="D18" s="20">
        <f>VLOOKUP(B18,'3.1'!B16:H80,6,0)</f>
        <v>226919.40000000002</v>
      </c>
      <c r="E18" s="20"/>
      <c r="F18" s="20">
        <f>+'[2]3.1'!J69</f>
        <v>3002.2799999999961</v>
      </c>
      <c r="G18" s="20"/>
      <c r="H18" s="20"/>
      <c r="I18" s="44">
        <f t="shared" si="2"/>
        <v>226919.40000000002</v>
      </c>
      <c r="J18" s="1047"/>
    </row>
    <row r="19" spans="1:10" s="105" customFormat="1" ht="18" hidden="1" customHeight="1">
      <c r="A19" s="95" t="s">
        <v>24</v>
      </c>
      <c r="B19" s="12" t="s">
        <v>11</v>
      </c>
      <c r="C19" s="20"/>
      <c r="D19" s="20">
        <f>VLOOKUP(B19,'3.1'!B17:H80,6,0)</f>
        <v>238674.8</v>
      </c>
      <c r="E19" s="20"/>
      <c r="F19" s="20">
        <f>+'[2]3.1'!J79</f>
        <v>1772.76</v>
      </c>
      <c r="G19" s="20"/>
      <c r="H19" s="20"/>
      <c r="I19" s="44">
        <f t="shared" si="2"/>
        <v>238674.8</v>
      </c>
      <c r="J19" s="1047"/>
    </row>
    <row r="20" spans="1:10" s="444" customFormat="1" ht="18" hidden="1" customHeight="1">
      <c r="A20" s="442" t="s">
        <v>1612</v>
      </c>
      <c r="B20" s="394" t="s">
        <v>1912</v>
      </c>
      <c r="C20" s="391"/>
      <c r="D20" s="391">
        <f>+'3.1'!G81</f>
        <v>0</v>
      </c>
      <c r="E20" s="391"/>
      <c r="F20" s="391"/>
      <c r="G20" s="391"/>
      <c r="H20" s="391"/>
      <c r="I20" s="713">
        <f t="shared" si="2"/>
        <v>0</v>
      </c>
      <c r="J20" s="1048"/>
    </row>
    <row r="21" spans="1:10" s="106" customFormat="1" ht="42.75" customHeight="1">
      <c r="A21" s="93" t="s">
        <v>26</v>
      </c>
      <c r="B21" s="54" t="s">
        <v>731</v>
      </c>
      <c r="C21" s="21">
        <f>+C22+C36</f>
        <v>28733</v>
      </c>
      <c r="D21" s="21">
        <f t="shared" ref="D21:I21" si="3">+D22+D36</f>
        <v>233485.32</v>
      </c>
      <c r="E21" s="21">
        <f t="shared" si="3"/>
        <v>0</v>
      </c>
      <c r="F21" s="21">
        <f t="shared" si="3"/>
        <v>0</v>
      </c>
      <c r="G21" s="21">
        <f t="shared" si="3"/>
        <v>0</v>
      </c>
      <c r="H21" s="21">
        <f t="shared" si="3"/>
        <v>0</v>
      </c>
      <c r="I21" s="21">
        <f t="shared" si="3"/>
        <v>262218.32</v>
      </c>
      <c r="J21" s="697" t="s">
        <v>732</v>
      </c>
    </row>
    <row r="22" spans="1:10" s="724" customFormat="1" ht="30" customHeight="1">
      <c r="A22" s="474" t="s">
        <v>1612</v>
      </c>
      <c r="B22" s="711" t="s">
        <v>1979</v>
      </c>
      <c r="C22" s="392">
        <f>+C23+C26</f>
        <v>0</v>
      </c>
      <c r="D22" s="392">
        <f>+D23+D26</f>
        <v>205804.32</v>
      </c>
      <c r="E22" s="392"/>
      <c r="F22" s="392"/>
      <c r="G22" s="392"/>
      <c r="H22" s="392"/>
      <c r="I22" s="392">
        <f>+I23+I26</f>
        <v>205804.32</v>
      </c>
      <c r="J22" s="1082" t="s">
        <v>2539</v>
      </c>
    </row>
    <row r="23" spans="1:10" s="444" customFormat="1" ht="18.75" hidden="1" customHeight="1">
      <c r="A23" s="125">
        <v>1</v>
      </c>
      <c r="B23" s="712" t="s">
        <v>733</v>
      </c>
      <c r="C23" s="713">
        <f>SUM(C24:C25)</f>
        <v>0</v>
      </c>
      <c r="D23" s="713">
        <f>SUM(D24:D25)</f>
        <v>20580</v>
      </c>
      <c r="E23" s="713">
        <f t="shared" ref="E23:H23" si="4">+E24+E25</f>
        <v>0</v>
      </c>
      <c r="F23" s="713">
        <f t="shared" si="4"/>
        <v>4506</v>
      </c>
      <c r="G23" s="713">
        <f t="shared" si="4"/>
        <v>0</v>
      </c>
      <c r="H23" s="713">
        <f t="shared" si="4"/>
        <v>0</v>
      </c>
      <c r="I23" s="713">
        <f>SUM(I24:I25)</f>
        <v>20580</v>
      </c>
      <c r="J23" s="443"/>
    </row>
    <row r="24" spans="1:10" s="105" customFormat="1" ht="18.75" hidden="1" customHeight="1">
      <c r="A24" s="13" t="s">
        <v>710</v>
      </c>
      <c r="B24" s="638" t="s">
        <v>734</v>
      </c>
      <c r="C24" s="44">
        <v>0</v>
      </c>
      <c r="D24" s="44">
        <f>+'3.2'!E10</f>
        <v>19789</v>
      </c>
      <c r="E24" s="44"/>
      <c r="F24" s="44">
        <f>+'[2]3.2'!G10</f>
        <v>4399</v>
      </c>
      <c r="G24" s="44"/>
      <c r="H24" s="44"/>
      <c r="I24" s="44">
        <f>+D24+C24</f>
        <v>19789</v>
      </c>
      <c r="J24" s="714"/>
    </row>
    <row r="25" spans="1:10" s="105" customFormat="1" ht="18.75" hidden="1" customHeight="1">
      <c r="A25" s="13" t="s">
        <v>711</v>
      </c>
      <c r="B25" s="638" t="s">
        <v>735</v>
      </c>
      <c r="C25" s="44">
        <v>0</v>
      </c>
      <c r="D25" s="44">
        <f>+'3.2'!E11</f>
        <v>791</v>
      </c>
      <c r="E25" s="44"/>
      <c r="F25" s="44">
        <f>+'[2]3.2'!G13</f>
        <v>107</v>
      </c>
      <c r="G25" s="44"/>
      <c r="H25" s="44"/>
      <c r="I25" s="44">
        <f>+D25+C25</f>
        <v>791</v>
      </c>
      <c r="J25" s="714"/>
    </row>
    <row r="26" spans="1:10" s="444" customFormat="1" ht="18.75" hidden="1" customHeight="1">
      <c r="A26" s="125">
        <v>2</v>
      </c>
      <c r="B26" s="712" t="s">
        <v>736</v>
      </c>
      <c r="C26" s="713">
        <f>SUM(C27:C34)</f>
        <v>0</v>
      </c>
      <c r="D26" s="713">
        <f>SUM(D27:D35)</f>
        <v>185224.32000000001</v>
      </c>
      <c r="E26" s="713">
        <f>SUM(E27:E34)</f>
        <v>0</v>
      </c>
      <c r="F26" s="713">
        <f>SUM(F27:F33)</f>
        <v>19554</v>
      </c>
      <c r="G26" s="713">
        <f>SUM(G27:G33)</f>
        <v>0</v>
      </c>
      <c r="H26" s="713">
        <f>SUM(H27:H33)</f>
        <v>0</v>
      </c>
      <c r="I26" s="713">
        <f>SUM(I27:I35)</f>
        <v>185224.32000000001</v>
      </c>
      <c r="J26" s="443"/>
    </row>
    <row r="27" spans="1:10" s="105" customFormat="1" ht="18" hidden="1" customHeight="1">
      <c r="A27" s="13" t="s">
        <v>710</v>
      </c>
      <c r="B27" s="12" t="s">
        <v>25</v>
      </c>
      <c r="C27" s="20">
        <f>+'3.2'!D15+'3.2'!D17</f>
        <v>0</v>
      </c>
      <c r="D27" s="20">
        <f>+'3.2'!E15+'3.2'!E17</f>
        <v>1795</v>
      </c>
      <c r="E27" s="20"/>
      <c r="F27" s="20">
        <f>+'[2]3.2'!G16</f>
        <v>297</v>
      </c>
      <c r="G27" s="20"/>
      <c r="H27" s="20"/>
      <c r="I27" s="44">
        <f>+C27+D27</f>
        <v>1795</v>
      </c>
      <c r="J27" s="723"/>
    </row>
    <row r="28" spans="1:10" s="105" customFormat="1" ht="18" hidden="1" customHeight="1">
      <c r="A28" s="13" t="s">
        <v>711</v>
      </c>
      <c r="B28" s="12" t="s">
        <v>23</v>
      </c>
      <c r="C28" s="20">
        <f>+'3.2'!D19+'3.2'!D21</f>
        <v>0</v>
      </c>
      <c r="D28" s="20">
        <f>+'3.2'!E19+'3.2'!E21</f>
        <v>18086</v>
      </c>
      <c r="E28" s="20"/>
      <c r="F28" s="20">
        <f>+'[2]3.2'!G20</f>
        <v>1697</v>
      </c>
      <c r="G28" s="20"/>
      <c r="H28" s="20"/>
      <c r="I28" s="44">
        <f t="shared" ref="I28:I34" si="5">+C28+D28</f>
        <v>18086</v>
      </c>
      <c r="J28" s="723"/>
    </row>
    <row r="29" spans="1:10" s="105" customFormat="1" ht="18" hidden="1" customHeight="1">
      <c r="A29" s="13" t="s">
        <v>712</v>
      </c>
      <c r="B29" s="12" t="s">
        <v>21</v>
      </c>
      <c r="C29" s="20">
        <f>+'3.2'!D23+'3.2'!D25</f>
        <v>0</v>
      </c>
      <c r="D29" s="20">
        <f>+'3.2'!E23+'3.2'!E25</f>
        <v>6732</v>
      </c>
      <c r="E29" s="20"/>
      <c r="F29" s="20">
        <f>+'[2]3.2'!G24</f>
        <v>618</v>
      </c>
      <c r="G29" s="20"/>
      <c r="H29" s="20"/>
      <c r="I29" s="44">
        <f t="shared" si="5"/>
        <v>6732</v>
      </c>
      <c r="J29" s="723"/>
    </row>
    <row r="30" spans="1:10" s="105" customFormat="1" ht="18" hidden="1" customHeight="1">
      <c r="A30" s="13" t="s">
        <v>713</v>
      </c>
      <c r="B30" s="12" t="s">
        <v>19</v>
      </c>
      <c r="C30" s="20">
        <f>+'3.2'!D27+'3.2'!D29</f>
        <v>0</v>
      </c>
      <c r="D30" s="20">
        <f>+'3.2'!E27+'3.2'!E29</f>
        <v>25253</v>
      </c>
      <c r="E30" s="20"/>
      <c r="F30" s="20">
        <f>+'[2]3.2'!G28</f>
        <v>1703</v>
      </c>
      <c r="G30" s="20"/>
      <c r="H30" s="20"/>
      <c r="I30" s="44">
        <f t="shared" si="5"/>
        <v>25253</v>
      </c>
      <c r="J30" s="723"/>
    </row>
    <row r="31" spans="1:10" s="105" customFormat="1" ht="18" hidden="1" customHeight="1">
      <c r="A31" s="13" t="s">
        <v>1943</v>
      </c>
      <c r="B31" s="12" t="s">
        <v>17</v>
      </c>
      <c r="C31" s="20">
        <f>+'3.2'!D31+'3.2'!D33</f>
        <v>0</v>
      </c>
      <c r="D31" s="20">
        <f>+'3.2'!E31+'3.2'!E33</f>
        <v>36410.32</v>
      </c>
      <c r="E31" s="20"/>
      <c r="F31" s="20">
        <f>+'[2]3.2'!G32</f>
        <v>2605</v>
      </c>
      <c r="G31" s="20"/>
      <c r="H31" s="20"/>
      <c r="I31" s="44">
        <f t="shared" si="5"/>
        <v>36410.32</v>
      </c>
      <c r="J31" s="723"/>
    </row>
    <row r="32" spans="1:10" s="105" customFormat="1" ht="18" hidden="1" customHeight="1">
      <c r="A32" s="13" t="s">
        <v>1944</v>
      </c>
      <c r="B32" s="12" t="s">
        <v>15</v>
      </c>
      <c r="C32" s="20">
        <f>+'3.2'!D35+'3.2'!D37</f>
        <v>0</v>
      </c>
      <c r="D32" s="20">
        <f>+'3.2'!E35+'3.2'!E37</f>
        <v>47325</v>
      </c>
      <c r="E32" s="20"/>
      <c r="F32" s="20">
        <f>+'[2]3.2'!G36</f>
        <v>6660</v>
      </c>
      <c r="G32" s="20"/>
      <c r="H32" s="20"/>
      <c r="I32" s="44">
        <f t="shared" si="5"/>
        <v>47325</v>
      </c>
      <c r="J32" s="723"/>
    </row>
    <row r="33" spans="1:10" s="105" customFormat="1" ht="18" hidden="1" customHeight="1">
      <c r="A33" s="13" t="s">
        <v>1945</v>
      </c>
      <c r="B33" s="12" t="s">
        <v>13</v>
      </c>
      <c r="C33" s="20">
        <f>+'3.2'!D39+'3.2'!D41</f>
        <v>0</v>
      </c>
      <c r="D33" s="20">
        <f>+'3.2'!E39+'3.2'!E41</f>
        <v>19410</v>
      </c>
      <c r="E33" s="20"/>
      <c r="F33" s="20">
        <f>+'[2]3.2'!G40</f>
        <v>5974</v>
      </c>
      <c r="G33" s="20"/>
      <c r="H33" s="20"/>
      <c r="I33" s="44">
        <f t="shared" si="5"/>
        <v>19410</v>
      </c>
      <c r="J33" s="723"/>
    </row>
    <row r="34" spans="1:10" s="105" customFormat="1" ht="18" hidden="1" customHeight="1">
      <c r="A34" s="13" t="s">
        <v>1980</v>
      </c>
      <c r="B34" s="12" t="s">
        <v>11</v>
      </c>
      <c r="C34" s="20">
        <f>+'3.2'!D43+'3.2'!D45</f>
        <v>0</v>
      </c>
      <c r="D34" s="20">
        <f>+'3.2'!E43+'3.2'!E45</f>
        <v>30213</v>
      </c>
      <c r="E34" s="20"/>
      <c r="F34" s="20">
        <f>+'[2]3.2'!G44</f>
        <v>2147</v>
      </c>
      <c r="G34" s="20"/>
      <c r="H34" s="20"/>
      <c r="I34" s="44">
        <f t="shared" si="5"/>
        <v>30213</v>
      </c>
      <c r="J34" s="723"/>
    </row>
    <row r="35" spans="1:10" s="444" customFormat="1" ht="18" hidden="1" customHeight="1">
      <c r="A35" s="125">
        <v>3</v>
      </c>
      <c r="B35" s="394" t="s">
        <v>1912</v>
      </c>
      <c r="C35" s="391"/>
      <c r="D35" s="391">
        <f>+'3.2'!E46</f>
        <v>0</v>
      </c>
      <c r="E35" s="713"/>
      <c r="F35" s="713"/>
      <c r="G35" s="391"/>
      <c r="H35" s="391"/>
      <c r="I35" s="391">
        <f>+D35+C35</f>
        <v>0</v>
      </c>
      <c r="J35" s="442"/>
    </row>
    <row r="36" spans="1:10" s="724" customFormat="1" ht="18" customHeight="1">
      <c r="A36" s="474" t="s">
        <v>1612</v>
      </c>
      <c r="B36" s="715" t="s">
        <v>1978</v>
      </c>
      <c r="C36" s="392">
        <f t="shared" ref="C36:D36" si="6">SUM(C37:C44)</f>
        <v>28733</v>
      </c>
      <c r="D36" s="392">
        <f t="shared" si="6"/>
        <v>27681</v>
      </c>
      <c r="E36" s="716"/>
      <c r="F36" s="716"/>
      <c r="G36" s="392"/>
      <c r="H36" s="392"/>
      <c r="I36" s="392">
        <f>SUM(I37:I44)</f>
        <v>56414</v>
      </c>
      <c r="J36" s="474"/>
    </row>
    <row r="37" spans="1:10" s="444" customFormat="1" ht="18" customHeight="1">
      <c r="A37" s="13" t="s">
        <v>710</v>
      </c>
      <c r="B37" s="12" t="s">
        <v>25</v>
      </c>
      <c r="C37" s="20">
        <f>+'3.2'!D16</f>
        <v>0</v>
      </c>
      <c r="D37" s="20">
        <f>+'3.2'!E16</f>
        <v>0</v>
      </c>
      <c r="E37" s="44"/>
      <c r="F37" s="44"/>
      <c r="G37" s="20"/>
      <c r="H37" s="20"/>
      <c r="I37" s="20">
        <f>SUM(C37:D37)</f>
        <v>0</v>
      </c>
      <c r="J37" s="442"/>
    </row>
    <row r="38" spans="1:10" s="444" customFormat="1" ht="18" customHeight="1">
      <c r="A38" s="13" t="s">
        <v>711</v>
      </c>
      <c r="B38" s="12" t="s">
        <v>23</v>
      </c>
      <c r="C38" s="20">
        <f>+'3.2'!D20</f>
        <v>0</v>
      </c>
      <c r="D38" s="20">
        <f>+'3.2'!E20</f>
        <v>0</v>
      </c>
      <c r="E38" s="44"/>
      <c r="F38" s="44"/>
      <c r="G38" s="20"/>
      <c r="H38" s="20"/>
      <c r="I38" s="20">
        <f>SUM(C38:D38)</f>
        <v>0</v>
      </c>
      <c r="J38" s="442"/>
    </row>
    <row r="39" spans="1:10" s="444" customFormat="1" ht="18" customHeight="1">
      <c r="A39" s="13" t="s">
        <v>712</v>
      </c>
      <c r="B39" s="12" t="s">
        <v>21</v>
      </c>
      <c r="C39" s="20">
        <f>+'3.2'!D24</f>
        <v>1796</v>
      </c>
      <c r="D39" s="20">
        <f>+'3.2'!E24</f>
        <v>1730</v>
      </c>
      <c r="E39" s="44"/>
      <c r="F39" s="44"/>
      <c r="G39" s="20"/>
      <c r="H39" s="20"/>
      <c r="I39" s="20">
        <f t="shared" ref="I39:I44" si="7">SUM(C39:D39)</f>
        <v>3526</v>
      </c>
      <c r="J39" s="442"/>
    </row>
    <row r="40" spans="1:10" s="444" customFormat="1" ht="18" customHeight="1">
      <c r="A40" s="13" t="s">
        <v>713</v>
      </c>
      <c r="B40" s="12" t="s">
        <v>19</v>
      </c>
      <c r="C40" s="20">
        <f>+'3.2'!D28</f>
        <v>5387</v>
      </c>
      <c r="D40" s="20">
        <f>+'3.2'!E28</f>
        <v>5190</v>
      </c>
      <c r="E40" s="44"/>
      <c r="F40" s="44"/>
      <c r="G40" s="20"/>
      <c r="H40" s="20"/>
      <c r="I40" s="20">
        <f t="shared" si="7"/>
        <v>10577</v>
      </c>
      <c r="J40" s="442"/>
    </row>
    <row r="41" spans="1:10" s="444" customFormat="1" ht="18" customHeight="1">
      <c r="A41" s="13" t="s">
        <v>1943</v>
      </c>
      <c r="B41" s="12" t="s">
        <v>17</v>
      </c>
      <c r="C41" s="20">
        <f>+'3.2'!D32</f>
        <v>5387</v>
      </c>
      <c r="D41" s="20">
        <f>+'3.2'!E32</f>
        <v>5190</v>
      </c>
      <c r="E41" s="44"/>
      <c r="F41" s="44"/>
      <c r="G41" s="20"/>
      <c r="H41" s="20"/>
      <c r="I41" s="20">
        <f t="shared" si="7"/>
        <v>10577</v>
      </c>
      <c r="J41" s="442"/>
    </row>
    <row r="42" spans="1:10" s="444" customFormat="1" ht="18" customHeight="1">
      <c r="A42" s="13" t="s">
        <v>1944</v>
      </c>
      <c r="B42" s="12" t="s">
        <v>15</v>
      </c>
      <c r="C42" s="20">
        <f>+'3.2'!D36</f>
        <v>5387</v>
      </c>
      <c r="D42" s="20">
        <f>+'3.2'!E36</f>
        <v>5190</v>
      </c>
      <c r="E42" s="44"/>
      <c r="F42" s="44"/>
      <c r="G42" s="20"/>
      <c r="H42" s="20"/>
      <c r="I42" s="20">
        <f t="shared" si="7"/>
        <v>10577</v>
      </c>
      <c r="J42" s="442"/>
    </row>
    <row r="43" spans="1:10" s="444" customFormat="1" ht="18" customHeight="1">
      <c r="A43" s="13" t="s">
        <v>1945</v>
      </c>
      <c r="B43" s="12" t="s">
        <v>13</v>
      </c>
      <c r="C43" s="20">
        <f>+'3.2'!D40</f>
        <v>1796</v>
      </c>
      <c r="D43" s="20">
        <f>+'3.2'!E40</f>
        <v>1730</v>
      </c>
      <c r="E43" s="44"/>
      <c r="F43" s="44"/>
      <c r="G43" s="20"/>
      <c r="H43" s="20"/>
      <c r="I43" s="20">
        <f t="shared" si="7"/>
        <v>3526</v>
      </c>
      <c r="J43" s="442"/>
    </row>
    <row r="44" spans="1:10" s="444" customFormat="1" ht="18" customHeight="1">
      <c r="A44" s="41" t="s">
        <v>1980</v>
      </c>
      <c r="B44" s="705" t="s">
        <v>11</v>
      </c>
      <c r="C44" s="706">
        <f>+'3.2'!D44</f>
        <v>8980</v>
      </c>
      <c r="D44" s="706">
        <f>+'3.2'!E44</f>
        <v>8651</v>
      </c>
      <c r="E44" s="45"/>
      <c r="F44" s="45"/>
      <c r="G44" s="706"/>
      <c r="H44" s="706"/>
      <c r="I44" s="706">
        <f t="shared" si="7"/>
        <v>17631</v>
      </c>
      <c r="J44" s="725"/>
    </row>
    <row r="45" spans="1:10" s="444" customFormat="1" ht="18" customHeight="1">
      <c r="A45" s="717"/>
      <c r="B45" s="718"/>
      <c r="C45" s="719"/>
      <c r="D45" s="719"/>
      <c r="E45" s="720"/>
      <c r="F45" s="720"/>
      <c r="G45" s="719"/>
      <c r="H45" s="719"/>
      <c r="I45" s="719"/>
      <c r="J45" s="717"/>
    </row>
    <row r="46" spans="1:10" s="444" customFormat="1" ht="18" customHeight="1">
      <c r="A46" s="1782" t="s">
        <v>2465</v>
      </c>
      <c r="B46" s="1782"/>
      <c r="C46" s="1782"/>
      <c r="D46" s="1782"/>
      <c r="E46" s="1782"/>
      <c r="F46" s="1782"/>
      <c r="G46" s="1782"/>
      <c r="H46" s="1782"/>
      <c r="I46" s="1782"/>
      <c r="J46" s="1782"/>
    </row>
    <row r="47" spans="1:10" ht="18" customHeight="1"/>
    <row r="48" spans="1:10" ht="18" customHeight="1"/>
    <row r="49" ht="18"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sheetData>
  <mergeCells count="16">
    <mergeCell ref="A1:J1"/>
    <mergeCell ref="A5:J5"/>
    <mergeCell ref="A46:J46"/>
    <mergeCell ref="A6:J6"/>
    <mergeCell ref="A2:B2"/>
    <mergeCell ref="I2:J2"/>
    <mergeCell ref="A3:J3"/>
    <mergeCell ref="A4:J4"/>
    <mergeCell ref="I7:I8"/>
    <mergeCell ref="J7:J8"/>
    <mergeCell ref="A7:A8"/>
    <mergeCell ref="B7:B8"/>
    <mergeCell ref="E7:F7"/>
    <mergeCell ref="G7:G8"/>
    <mergeCell ref="H7:H8"/>
    <mergeCell ref="C7:C8"/>
  </mergeCells>
  <phoneticPr fontId="19" type="noConversion"/>
  <pageMargins left="0.5" right="0.5" top="0.5" bottom="0.5" header="0.47" footer="0.3"/>
  <pageSetup paperSize="9" scale="90" orientation="portrait" r:id="rId1"/>
  <headerFooter>
    <oddFooter>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0070C0"/>
  </sheetPr>
  <dimension ref="A1:I204"/>
  <sheetViews>
    <sheetView workbookViewId="0">
      <pane xSplit="5" ySplit="7" topLeftCell="F11" activePane="bottomRight" state="frozen"/>
      <selection pane="topRight" activeCell="F1" sqref="F1"/>
      <selection pane="bottomLeft" activeCell="A8" sqref="A8"/>
      <selection pane="bottomRight" activeCell="N59" sqref="N59"/>
    </sheetView>
  </sheetViews>
  <sheetFormatPr defaultRowHeight="15.5"/>
  <cols>
    <col min="1" max="1" width="4.33203125" style="731" customWidth="1"/>
    <col min="2" max="2" width="58.08203125" style="731" customWidth="1"/>
    <col min="3" max="3" width="6.08203125" style="731" customWidth="1"/>
    <col min="4" max="4" width="7" style="746" customWidth="1"/>
    <col min="5" max="5" width="6.33203125" style="746" customWidth="1"/>
    <col min="6" max="6" width="8.6640625" style="731" customWidth="1"/>
    <col min="7" max="7" width="8.4140625" style="731" customWidth="1"/>
    <col min="8" max="8" width="7.4140625" style="588" hidden="1" customWidth="1"/>
    <col min="9" max="9" width="6.6640625" style="731" customWidth="1"/>
    <col min="10" max="232" width="9.08203125" style="731"/>
    <col min="233" max="233" width="4.33203125" style="731" customWidth="1"/>
    <col min="234" max="234" width="59.6640625" style="731" customWidth="1"/>
    <col min="235" max="235" width="7" style="731" customWidth="1"/>
    <col min="236" max="236" width="8.08203125" style="731" customWidth="1"/>
    <col min="237" max="237" width="8.6640625" style="731" customWidth="1"/>
    <col min="238" max="238" width="7.9140625" style="731" customWidth="1"/>
    <col min="239" max="239" width="10.33203125" style="731" customWidth="1"/>
    <col min="240" max="240" width="7.4140625" style="731" customWidth="1"/>
    <col min="241" max="241" width="9.4140625" style="731" customWidth="1"/>
    <col min="242" max="242" width="43.6640625" style="731" customWidth="1"/>
    <col min="243" max="243" width="9.08203125" style="731"/>
    <col min="244" max="244" width="14.08203125" style="731" bestFit="1" customWidth="1"/>
    <col min="245" max="488" width="9.08203125" style="731"/>
    <col min="489" max="489" width="4.33203125" style="731" customWidth="1"/>
    <col min="490" max="490" width="59.6640625" style="731" customWidth="1"/>
    <col min="491" max="491" width="7" style="731" customWidth="1"/>
    <col min="492" max="492" width="8.08203125" style="731" customWidth="1"/>
    <col min="493" max="493" width="8.6640625" style="731" customWidth="1"/>
    <col min="494" max="494" width="7.9140625" style="731" customWidth="1"/>
    <col min="495" max="495" width="10.33203125" style="731" customWidth="1"/>
    <col min="496" max="496" width="7.4140625" style="731" customWidth="1"/>
    <col min="497" max="497" width="9.4140625" style="731" customWidth="1"/>
    <col min="498" max="498" width="43.6640625" style="731" customWidth="1"/>
    <col min="499" max="499" width="9.08203125" style="731"/>
    <col min="500" max="500" width="14.08203125" style="731" bestFit="1" customWidth="1"/>
    <col min="501" max="744" width="9.08203125" style="731"/>
    <col min="745" max="745" width="4.33203125" style="731" customWidth="1"/>
    <col min="746" max="746" width="59.6640625" style="731" customWidth="1"/>
    <col min="747" max="747" width="7" style="731" customWidth="1"/>
    <col min="748" max="748" width="8.08203125" style="731" customWidth="1"/>
    <col min="749" max="749" width="8.6640625" style="731" customWidth="1"/>
    <col min="750" max="750" width="7.9140625" style="731" customWidth="1"/>
    <col min="751" max="751" width="10.33203125" style="731" customWidth="1"/>
    <col min="752" max="752" width="7.4140625" style="731" customWidth="1"/>
    <col min="753" max="753" width="9.4140625" style="731" customWidth="1"/>
    <col min="754" max="754" width="43.6640625" style="731" customWidth="1"/>
    <col min="755" max="755" width="9.08203125" style="731"/>
    <col min="756" max="756" width="14.08203125" style="731" bestFit="1" customWidth="1"/>
    <col min="757" max="1000" width="9.08203125" style="731"/>
    <col min="1001" max="1001" width="4.33203125" style="731" customWidth="1"/>
    <col min="1002" max="1002" width="59.6640625" style="731" customWidth="1"/>
    <col min="1003" max="1003" width="7" style="731" customWidth="1"/>
    <col min="1004" max="1004" width="8.08203125" style="731" customWidth="1"/>
    <col min="1005" max="1005" width="8.6640625" style="731" customWidth="1"/>
    <col min="1006" max="1006" width="7.9140625" style="731" customWidth="1"/>
    <col min="1007" max="1007" width="10.33203125" style="731" customWidth="1"/>
    <col min="1008" max="1008" width="7.4140625" style="731" customWidth="1"/>
    <col min="1009" max="1009" width="9.4140625" style="731" customWidth="1"/>
    <col min="1010" max="1010" width="43.6640625" style="731" customWidth="1"/>
    <col min="1011" max="1011" width="9.08203125" style="731"/>
    <col min="1012" max="1012" width="14.08203125" style="731" bestFit="1" customWidth="1"/>
    <col min="1013" max="1256" width="9.08203125" style="731"/>
    <col min="1257" max="1257" width="4.33203125" style="731" customWidth="1"/>
    <col min="1258" max="1258" width="59.6640625" style="731" customWidth="1"/>
    <col min="1259" max="1259" width="7" style="731" customWidth="1"/>
    <col min="1260" max="1260" width="8.08203125" style="731" customWidth="1"/>
    <col min="1261" max="1261" width="8.6640625" style="731" customWidth="1"/>
    <col min="1262" max="1262" width="7.9140625" style="731" customWidth="1"/>
    <col min="1263" max="1263" width="10.33203125" style="731" customWidth="1"/>
    <col min="1264" max="1264" width="7.4140625" style="731" customWidth="1"/>
    <col min="1265" max="1265" width="9.4140625" style="731" customWidth="1"/>
    <col min="1266" max="1266" width="43.6640625" style="731" customWidth="1"/>
    <col min="1267" max="1267" width="9.08203125" style="731"/>
    <col min="1268" max="1268" width="14.08203125" style="731" bestFit="1" customWidth="1"/>
    <col min="1269" max="1512" width="9.08203125" style="731"/>
    <col min="1513" max="1513" width="4.33203125" style="731" customWidth="1"/>
    <col min="1514" max="1514" width="59.6640625" style="731" customWidth="1"/>
    <col min="1515" max="1515" width="7" style="731" customWidth="1"/>
    <col min="1516" max="1516" width="8.08203125" style="731" customWidth="1"/>
    <col min="1517" max="1517" width="8.6640625" style="731" customWidth="1"/>
    <col min="1518" max="1518" width="7.9140625" style="731" customWidth="1"/>
    <col min="1519" max="1519" width="10.33203125" style="731" customWidth="1"/>
    <col min="1520" max="1520" width="7.4140625" style="731" customWidth="1"/>
    <col min="1521" max="1521" width="9.4140625" style="731" customWidth="1"/>
    <col min="1522" max="1522" width="43.6640625" style="731" customWidth="1"/>
    <col min="1523" max="1523" width="9.08203125" style="731"/>
    <col min="1524" max="1524" width="14.08203125" style="731" bestFit="1" customWidth="1"/>
    <col min="1525" max="1768" width="9.08203125" style="731"/>
    <col min="1769" max="1769" width="4.33203125" style="731" customWidth="1"/>
    <col min="1770" max="1770" width="59.6640625" style="731" customWidth="1"/>
    <col min="1771" max="1771" width="7" style="731" customWidth="1"/>
    <col min="1772" max="1772" width="8.08203125" style="731" customWidth="1"/>
    <col min="1773" max="1773" width="8.6640625" style="731" customWidth="1"/>
    <col min="1774" max="1774" width="7.9140625" style="731" customWidth="1"/>
    <col min="1775" max="1775" width="10.33203125" style="731" customWidth="1"/>
    <col min="1776" max="1776" width="7.4140625" style="731" customWidth="1"/>
    <col min="1777" max="1777" width="9.4140625" style="731" customWidth="1"/>
    <col min="1778" max="1778" width="43.6640625" style="731" customWidth="1"/>
    <col min="1779" max="1779" width="9.08203125" style="731"/>
    <col min="1780" max="1780" width="14.08203125" style="731" bestFit="1" customWidth="1"/>
    <col min="1781" max="2024" width="9.08203125" style="731"/>
    <col min="2025" max="2025" width="4.33203125" style="731" customWidth="1"/>
    <col min="2026" max="2026" width="59.6640625" style="731" customWidth="1"/>
    <col min="2027" max="2027" width="7" style="731" customWidth="1"/>
    <col min="2028" max="2028" width="8.08203125" style="731" customWidth="1"/>
    <col min="2029" max="2029" width="8.6640625" style="731" customWidth="1"/>
    <col min="2030" max="2030" width="7.9140625" style="731" customWidth="1"/>
    <col min="2031" max="2031" width="10.33203125" style="731" customWidth="1"/>
    <col min="2032" max="2032" width="7.4140625" style="731" customWidth="1"/>
    <col min="2033" max="2033" width="9.4140625" style="731" customWidth="1"/>
    <col min="2034" max="2034" width="43.6640625" style="731" customWidth="1"/>
    <col min="2035" max="2035" width="9.08203125" style="731"/>
    <col min="2036" max="2036" width="14.08203125" style="731" bestFit="1" customWidth="1"/>
    <col min="2037" max="2280" width="9.08203125" style="731"/>
    <col min="2281" max="2281" width="4.33203125" style="731" customWidth="1"/>
    <col min="2282" max="2282" width="59.6640625" style="731" customWidth="1"/>
    <col min="2283" max="2283" width="7" style="731" customWidth="1"/>
    <col min="2284" max="2284" width="8.08203125" style="731" customWidth="1"/>
    <col min="2285" max="2285" width="8.6640625" style="731" customWidth="1"/>
    <col min="2286" max="2286" width="7.9140625" style="731" customWidth="1"/>
    <col min="2287" max="2287" width="10.33203125" style="731" customWidth="1"/>
    <col min="2288" max="2288" width="7.4140625" style="731" customWidth="1"/>
    <col min="2289" max="2289" width="9.4140625" style="731" customWidth="1"/>
    <col min="2290" max="2290" width="43.6640625" style="731" customWidth="1"/>
    <col min="2291" max="2291" width="9.08203125" style="731"/>
    <col min="2292" max="2292" width="14.08203125" style="731" bestFit="1" customWidth="1"/>
    <col min="2293" max="2536" width="9.08203125" style="731"/>
    <col min="2537" max="2537" width="4.33203125" style="731" customWidth="1"/>
    <col min="2538" max="2538" width="59.6640625" style="731" customWidth="1"/>
    <col min="2539" max="2539" width="7" style="731" customWidth="1"/>
    <col min="2540" max="2540" width="8.08203125" style="731" customWidth="1"/>
    <col min="2541" max="2541" width="8.6640625" style="731" customWidth="1"/>
    <col min="2542" max="2542" width="7.9140625" style="731" customWidth="1"/>
    <col min="2543" max="2543" width="10.33203125" style="731" customWidth="1"/>
    <col min="2544" max="2544" width="7.4140625" style="731" customWidth="1"/>
    <col min="2545" max="2545" width="9.4140625" style="731" customWidth="1"/>
    <col min="2546" max="2546" width="43.6640625" style="731" customWidth="1"/>
    <col min="2547" max="2547" width="9.08203125" style="731"/>
    <col min="2548" max="2548" width="14.08203125" style="731" bestFit="1" customWidth="1"/>
    <col min="2549" max="2792" width="9.08203125" style="731"/>
    <col min="2793" max="2793" width="4.33203125" style="731" customWidth="1"/>
    <col min="2794" max="2794" width="59.6640625" style="731" customWidth="1"/>
    <col min="2795" max="2795" width="7" style="731" customWidth="1"/>
    <col min="2796" max="2796" width="8.08203125" style="731" customWidth="1"/>
    <col min="2797" max="2797" width="8.6640625" style="731" customWidth="1"/>
    <col min="2798" max="2798" width="7.9140625" style="731" customWidth="1"/>
    <col min="2799" max="2799" width="10.33203125" style="731" customWidth="1"/>
    <col min="2800" max="2800" width="7.4140625" style="731" customWidth="1"/>
    <col min="2801" max="2801" width="9.4140625" style="731" customWidth="1"/>
    <col min="2802" max="2802" width="43.6640625" style="731" customWidth="1"/>
    <col min="2803" max="2803" width="9.08203125" style="731"/>
    <col min="2804" max="2804" width="14.08203125" style="731" bestFit="1" customWidth="1"/>
    <col min="2805" max="3048" width="9.08203125" style="731"/>
    <col min="3049" max="3049" width="4.33203125" style="731" customWidth="1"/>
    <col min="3050" max="3050" width="59.6640625" style="731" customWidth="1"/>
    <col min="3051" max="3051" width="7" style="731" customWidth="1"/>
    <col min="3052" max="3052" width="8.08203125" style="731" customWidth="1"/>
    <col min="3053" max="3053" width="8.6640625" style="731" customWidth="1"/>
    <col min="3054" max="3054" width="7.9140625" style="731" customWidth="1"/>
    <col min="3055" max="3055" width="10.33203125" style="731" customWidth="1"/>
    <col min="3056" max="3056" width="7.4140625" style="731" customWidth="1"/>
    <col min="3057" max="3057" width="9.4140625" style="731" customWidth="1"/>
    <col min="3058" max="3058" width="43.6640625" style="731" customWidth="1"/>
    <col min="3059" max="3059" width="9.08203125" style="731"/>
    <col min="3060" max="3060" width="14.08203125" style="731" bestFit="1" customWidth="1"/>
    <col min="3061" max="3304" width="9.08203125" style="731"/>
    <col min="3305" max="3305" width="4.33203125" style="731" customWidth="1"/>
    <col min="3306" max="3306" width="59.6640625" style="731" customWidth="1"/>
    <col min="3307" max="3307" width="7" style="731" customWidth="1"/>
    <col min="3308" max="3308" width="8.08203125" style="731" customWidth="1"/>
    <col min="3309" max="3309" width="8.6640625" style="731" customWidth="1"/>
    <col min="3310" max="3310" width="7.9140625" style="731" customWidth="1"/>
    <col min="3311" max="3311" width="10.33203125" style="731" customWidth="1"/>
    <col min="3312" max="3312" width="7.4140625" style="731" customWidth="1"/>
    <col min="3313" max="3313" width="9.4140625" style="731" customWidth="1"/>
    <col min="3314" max="3314" width="43.6640625" style="731" customWidth="1"/>
    <col min="3315" max="3315" width="9.08203125" style="731"/>
    <col min="3316" max="3316" width="14.08203125" style="731" bestFit="1" customWidth="1"/>
    <col min="3317" max="3560" width="9.08203125" style="731"/>
    <col min="3561" max="3561" width="4.33203125" style="731" customWidth="1"/>
    <col min="3562" max="3562" width="59.6640625" style="731" customWidth="1"/>
    <col min="3563" max="3563" width="7" style="731" customWidth="1"/>
    <col min="3564" max="3564" width="8.08203125" style="731" customWidth="1"/>
    <col min="3565" max="3565" width="8.6640625" style="731" customWidth="1"/>
    <col min="3566" max="3566" width="7.9140625" style="731" customWidth="1"/>
    <col min="3567" max="3567" width="10.33203125" style="731" customWidth="1"/>
    <col min="3568" max="3568" width="7.4140625" style="731" customWidth="1"/>
    <col min="3569" max="3569" width="9.4140625" style="731" customWidth="1"/>
    <col min="3570" max="3570" width="43.6640625" style="731" customWidth="1"/>
    <col min="3571" max="3571" width="9.08203125" style="731"/>
    <col min="3572" max="3572" width="14.08203125" style="731" bestFit="1" customWidth="1"/>
    <col min="3573" max="3816" width="9.08203125" style="731"/>
    <col min="3817" max="3817" width="4.33203125" style="731" customWidth="1"/>
    <col min="3818" max="3818" width="59.6640625" style="731" customWidth="1"/>
    <col min="3819" max="3819" width="7" style="731" customWidth="1"/>
    <col min="3820" max="3820" width="8.08203125" style="731" customWidth="1"/>
    <col min="3821" max="3821" width="8.6640625" style="731" customWidth="1"/>
    <col min="3822" max="3822" width="7.9140625" style="731" customWidth="1"/>
    <col min="3823" max="3823" width="10.33203125" style="731" customWidth="1"/>
    <col min="3824" max="3824" width="7.4140625" style="731" customWidth="1"/>
    <col min="3825" max="3825" width="9.4140625" style="731" customWidth="1"/>
    <col min="3826" max="3826" width="43.6640625" style="731" customWidth="1"/>
    <col min="3827" max="3827" width="9.08203125" style="731"/>
    <col min="3828" max="3828" width="14.08203125" style="731" bestFit="1" customWidth="1"/>
    <col min="3829" max="4072" width="9.08203125" style="731"/>
    <col min="4073" max="4073" width="4.33203125" style="731" customWidth="1"/>
    <col min="4074" max="4074" width="59.6640625" style="731" customWidth="1"/>
    <col min="4075" max="4075" width="7" style="731" customWidth="1"/>
    <col min="4076" max="4076" width="8.08203125" style="731" customWidth="1"/>
    <col min="4077" max="4077" width="8.6640625" style="731" customWidth="1"/>
    <col min="4078" max="4078" width="7.9140625" style="731" customWidth="1"/>
    <col min="4079" max="4079" width="10.33203125" style="731" customWidth="1"/>
    <col min="4080" max="4080" width="7.4140625" style="731" customWidth="1"/>
    <col min="4081" max="4081" width="9.4140625" style="731" customWidth="1"/>
    <col min="4082" max="4082" width="43.6640625" style="731" customWidth="1"/>
    <col min="4083" max="4083" width="9.08203125" style="731"/>
    <col min="4084" max="4084" width="14.08203125" style="731" bestFit="1" customWidth="1"/>
    <col min="4085" max="4328" width="9.08203125" style="731"/>
    <col min="4329" max="4329" width="4.33203125" style="731" customWidth="1"/>
    <col min="4330" max="4330" width="59.6640625" style="731" customWidth="1"/>
    <col min="4331" max="4331" width="7" style="731" customWidth="1"/>
    <col min="4332" max="4332" width="8.08203125" style="731" customWidth="1"/>
    <col min="4333" max="4333" width="8.6640625" style="731" customWidth="1"/>
    <col min="4334" max="4334" width="7.9140625" style="731" customWidth="1"/>
    <col min="4335" max="4335" width="10.33203125" style="731" customWidth="1"/>
    <col min="4336" max="4336" width="7.4140625" style="731" customWidth="1"/>
    <col min="4337" max="4337" width="9.4140625" style="731" customWidth="1"/>
    <col min="4338" max="4338" width="43.6640625" style="731" customWidth="1"/>
    <col min="4339" max="4339" width="9.08203125" style="731"/>
    <col min="4340" max="4340" width="14.08203125" style="731" bestFit="1" customWidth="1"/>
    <col min="4341" max="4584" width="9.08203125" style="731"/>
    <col min="4585" max="4585" width="4.33203125" style="731" customWidth="1"/>
    <col min="4586" max="4586" width="59.6640625" style="731" customWidth="1"/>
    <col min="4587" max="4587" width="7" style="731" customWidth="1"/>
    <col min="4588" max="4588" width="8.08203125" style="731" customWidth="1"/>
    <col min="4589" max="4589" width="8.6640625" style="731" customWidth="1"/>
    <col min="4590" max="4590" width="7.9140625" style="731" customWidth="1"/>
    <col min="4591" max="4591" width="10.33203125" style="731" customWidth="1"/>
    <col min="4592" max="4592" width="7.4140625" style="731" customWidth="1"/>
    <col min="4593" max="4593" width="9.4140625" style="731" customWidth="1"/>
    <col min="4594" max="4594" width="43.6640625" style="731" customWidth="1"/>
    <col min="4595" max="4595" width="9.08203125" style="731"/>
    <col min="4596" max="4596" width="14.08203125" style="731" bestFit="1" customWidth="1"/>
    <col min="4597" max="4840" width="9.08203125" style="731"/>
    <col min="4841" max="4841" width="4.33203125" style="731" customWidth="1"/>
    <col min="4842" max="4842" width="59.6640625" style="731" customWidth="1"/>
    <col min="4843" max="4843" width="7" style="731" customWidth="1"/>
    <col min="4844" max="4844" width="8.08203125" style="731" customWidth="1"/>
    <col min="4845" max="4845" width="8.6640625" style="731" customWidth="1"/>
    <col min="4846" max="4846" width="7.9140625" style="731" customWidth="1"/>
    <col min="4847" max="4847" width="10.33203125" style="731" customWidth="1"/>
    <col min="4848" max="4848" width="7.4140625" style="731" customWidth="1"/>
    <col min="4849" max="4849" width="9.4140625" style="731" customWidth="1"/>
    <col min="4850" max="4850" width="43.6640625" style="731" customWidth="1"/>
    <col min="4851" max="4851" width="9.08203125" style="731"/>
    <col min="4852" max="4852" width="14.08203125" style="731" bestFit="1" customWidth="1"/>
    <col min="4853" max="5096" width="9.08203125" style="731"/>
    <col min="5097" max="5097" width="4.33203125" style="731" customWidth="1"/>
    <col min="5098" max="5098" width="59.6640625" style="731" customWidth="1"/>
    <col min="5099" max="5099" width="7" style="731" customWidth="1"/>
    <col min="5100" max="5100" width="8.08203125" style="731" customWidth="1"/>
    <col min="5101" max="5101" width="8.6640625" style="731" customWidth="1"/>
    <col min="5102" max="5102" width="7.9140625" style="731" customWidth="1"/>
    <col min="5103" max="5103" width="10.33203125" style="731" customWidth="1"/>
    <col min="5104" max="5104" width="7.4140625" style="731" customWidth="1"/>
    <col min="5105" max="5105" width="9.4140625" style="731" customWidth="1"/>
    <col min="5106" max="5106" width="43.6640625" style="731" customWidth="1"/>
    <col min="5107" max="5107" width="9.08203125" style="731"/>
    <col min="5108" max="5108" width="14.08203125" style="731" bestFit="1" customWidth="1"/>
    <col min="5109" max="5352" width="9.08203125" style="731"/>
    <col min="5353" max="5353" width="4.33203125" style="731" customWidth="1"/>
    <col min="5354" max="5354" width="59.6640625" style="731" customWidth="1"/>
    <col min="5355" max="5355" width="7" style="731" customWidth="1"/>
    <col min="5356" max="5356" width="8.08203125" style="731" customWidth="1"/>
    <col min="5357" max="5357" width="8.6640625" style="731" customWidth="1"/>
    <col min="5358" max="5358" width="7.9140625" style="731" customWidth="1"/>
    <col min="5359" max="5359" width="10.33203125" style="731" customWidth="1"/>
    <col min="5360" max="5360" width="7.4140625" style="731" customWidth="1"/>
    <col min="5361" max="5361" width="9.4140625" style="731" customWidth="1"/>
    <col min="5362" max="5362" width="43.6640625" style="731" customWidth="1"/>
    <col min="5363" max="5363" width="9.08203125" style="731"/>
    <col min="5364" max="5364" width="14.08203125" style="731" bestFit="1" customWidth="1"/>
    <col min="5365" max="5608" width="9.08203125" style="731"/>
    <col min="5609" max="5609" width="4.33203125" style="731" customWidth="1"/>
    <col min="5610" max="5610" width="59.6640625" style="731" customWidth="1"/>
    <col min="5611" max="5611" width="7" style="731" customWidth="1"/>
    <col min="5612" max="5612" width="8.08203125" style="731" customWidth="1"/>
    <col min="5613" max="5613" width="8.6640625" style="731" customWidth="1"/>
    <col min="5614" max="5614" width="7.9140625" style="731" customWidth="1"/>
    <col min="5615" max="5615" width="10.33203125" style="731" customWidth="1"/>
    <col min="5616" max="5616" width="7.4140625" style="731" customWidth="1"/>
    <col min="5617" max="5617" width="9.4140625" style="731" customWidth="1"/>
    <col min="5618" max="5618" width="43.6640625" style="731" customWidth="1"/>
    <col min="5619" max="5619" width="9.08203125" style="731"/>
    <col min="5620" max="5620" width="14.08203125" style="731" bestFit="1" customWidth="1"/>
    <col min="5621" max="5864" width="9.08203125" style="731"/>
    <col min="5865" max="5865" width="4.33203125" style="731" customWidth="1"/>
    <col min="5866" max="5866" width="59.6640625" style="731" customWidth="1"/>
    <col min="5867" max="5867" width="7" style="731" customWidth="1"/>
    <col min="5868" max="5868" width="8.08203125" style="731" customWidth="1"/>
    <col min="5869" max="5869" width="8.6640625" style="731" customWidth="1"/>
    <col min="5870" max="5870" width="7.9140625" style="731" customWidth="1"/>
    <col min="5871" max="5871" width="10.33203125" style="731" customWidth="1"/>
    <col min="5872" max="5872" width="7.4140625" style="731" customWidth="1"/>
    <col min="5873" max="5873" width="9.4140625" style="731" customWidth="1"/>
    <col min="5874" max="5874" width="43.6640625" style="731" customWidth="1"/>
    <col min="5875" max="5875" width="9.08203125" style="731"/>
    <col min="5876" max="5876" width="14.08203125" style="731" bestFit="1" customWidth="1"/>
    <col min="5877" max="6120" width="9.08203125" style="731"/>
    <col min="6121" max="6121" width="4.33203125" style="731" customWidth="1"/>
    <col min="6122" max="6122" width="59.6640625" style="731" customWidth="1"/>
    <col min="6123" max="6123" width="7" style="731" customWidth="1"/>
    <col min="6124" max="6124" width="8.08203125" style="731" customWidth="1"/>
    <col min="6125" max="6125" width="8.6640625" style="731" customWidth="1"/>
    <col min="6126" max="6126" width="7.9140625" style="731" customWidth="1"/>
    <col min="6127" max="6127" width="10.33203125" style="731" customWidth="1"/>
    <col min="6128" max="6128" width="7.4140625" style="731" customWidth="1"/>
    <col min="6129" max="6129" width="9.4140625" style="731" customWidth="1"/>
    <col min="6130" max="6130" width="43.6640625" style="731" customWidth="1"/>
    <col min="6131" max="6131" width="9.08203125" style="731"/>
    <col min="6132" max="6132" width="14.08203125" style="731" bestFit="1" customWidth="1"/>
    <col min="6133" max="6376" width="9.08203125" style="731"/>
    <col min="6377" max="6377" width="4.33203125" style="731" customWidth="1"/>
    <col min="6378" max="6378" width="59.6640625" style="731" customWidth="1"/>
    <col min="6379" max="6379" width="7" style="731" customWidth="1"/>
    <col min="6380" max="6380" width="8.08203125" style="731" customWidth="1"/>
    <col min="6381" max="6381" width="8.6640625" style="731" customWidth="1"/>
    <col min="6382" max="6382" width="7.9140625" style="731" customWidth="1"/>
    <col min="6383" max="6383" width="10.33203125" style="731" customWidth="1"/>
    <col min="6384" max="6384" width="7.4140625" style="731" customWidth="1"/>
    <col min="6385" max="6385" width="9.4140625" style="731" customWidth="1"/>
    <col min="6386" max="6386" width="43.6640625" style="731" customWidth="1"/>
    <col min="6387" max="6387" width="9.08203125" style="731"/>
    <col min="6388" max="6388" width="14.08203125" style="731" bestFit="1" customWidth="1"/>
    <col min="6389" max="6632" width="9.08203125" style="731"/>
    <col min="6633" max="6633" width="4.33203125" style="731" customWidth="1"/>
    <col min="6634" max="6634" width="59.6640625" style="731" customWidth="1"/>
    <col min="6635" max="6635" width="7" style="731" customWidth="1"/>
    <col min="6636" max="6636" width="8.08203125" style="731" customWidth="1"/>
    <col min="6637" max="6637" width="8.6640625" style="731" customWidth="1"/>
    <col min="6638" max="6638" width="7.9140625" style="731" customWidth="1"/>
    <col min="6639" max="6639" width="10.33203125" style="731" customWidth="1"/>
    <col min="6640" max="6640" width="7.4140625" style="731" customWidth="1"/>
    <col min="6641" max="6641" width="9.4140625" style="731" customWidth="1"/>
    <col min="6642" max="6642" width="43.6640625" style="731" customWidth="1"/>
    <col min="6643" max="6643" width="9.08203125" style="731"/>
    <col min="6644" max="6644" width="14.08203125" style="731" bestFit="1" customWidth="1"/>
    <col min="6645" max="6888" width="9.08203125" style="731"/>
    <col min="6889" max="6889" width="4.33203125" style="731" customWidth="1"/>
    <col min="6890" max="6890" width="59.6640625" style="731" customWidth="1"/>
    <col min="6891" max="6891" width="7" style="731" customWidth="1"/>
    <col min="6892" max="6892" width="8.08203125" style="731" customWidth="1"/>
    <col min="6893" max="6893" width="8.6640625" style="731" customWidth="1"/>
    <col min="6894" max="6894" width="7.9140625" style="731" customWidth="1"/>
    <col min="6895" max="6895" width="10.33203125" style="731" customWidth="1"/>
    <col min="6896" max="6896" width="7.4140625" style="731" customWidth="1"/>
    <col min="6897" max="6897" width="9.4140625" style="731" customWidth="1"/>
    <col min="6898" max="6898" width="43.6640625" style="731" customWidth="1"/>
    <col min="6899" max="6899" width="9.08203125" style="731"/>
    <col min="6900" max="6900" width="14.08203125" style="731" bestFit="1" customWidth="1"/>
    <col min="6901" max="7144" width="9.08203125" style="731"/>
    <col min="7145" max="7145" width="4.33203125" style="731" customWidth="1"/>
    <col min="7146" max="7146" width="59.6640625" style="731" customWidth="1"/>
    <col min="7147" max="7147" width="7" style="731" customWidth="1"/>
    <col min="7148" max="7148" width="8.08203125" style="731" customWidth="1"/>
    <col min="7149" max="7149" width="8.6640625" style="731" customWidth="1"/>
    <col min="7150" max="7150" width="7.9140625" style="731" customWidth="1"/>
    <col min="7151" max="7151" width="10.33203125" style="731" customWidth="1"/>
    <col min="7152" max="7152" width="7.4140625" style="731" customWidth="1"/>
    <col min="7153" max="7153" width="9.4140625" style="731" customWidth="1"/>
    <col min="7154" max="7154" width="43.6640625" style="731" customWidth="1"/>
    <col min="7155" max="7155" width="9.08203125" style="731"/>
    <col min="7156" max="7156" width="14.08203125" style="731" bestFit="1" customWidth="1"/>
    <col min="7157" max="7400" width="9.08203125" style="731"/>
    <col min="7401" max="7401" width="4.33203125" style="731" customWidth="1"/>
    <col min="7402" max="7402" width="59.6640625" style="731" customWidth="1"/>
    <col min="7403" max="7403" width="7" style="731" customWidth="1"/>
    <col min="7404" max="7404" width="8.08203125" style="731" customWidth="1"/>
    <col min="7405" max="7405" width="8.6640625" style="731" customWidth="1"/>
    <col min="7406" max="7406" width="7.9140625" style="731" customWidth="1"/>
    <col min="7407" max="7407" width="10.33203125" style="731" customWidth="1"/>
    <col min="7408" max="7408" width="7.4140625" style="731" customWidth="1"/>
    <col min="7409" max="7409" width="9.4140625" style="731" customWidth="1"/>
    <col min="7410" max="7410" width="43.6640625" style="731" customWidth="1"/>
    <col min="7411" max="7411" width="9.08203125" style="731"/>
    <col min="7412" max="7412" width="14.08203125" style="731" bestFit="1" customWidth="1"/>
    <col min="7413" max="7656" width="9.08203125" style="731"/>
    <col min="7657" max="7657" width="4.33203125" style="731" customWidth="1"/>
    <col min="7658" max="7658" width="59.6640625" style="731" customWidth="1"/>
    <col min="7659" max="7659" width="7" style="731" customWidth="1"/>
    <col min="7660" max="7660" width="8.08203125" style="731" customWidth="1"/>
    <col min="7661" max="7661" width="8.6640625" style="731" customWidth="1"/>
    <col min="7662" max="7662" width="7.9140625" style="731" customWidth="1"/>
    <col min="7663" max="7663" width="10.33203125" style="731" customWidth="1"/>
    <col min="7664" max="7664" width="7.4140625" style="731" customWidth="1"/>
    <col min="7665" max="7665" width="9.4140625" style="731" customWidth="1"/>
    <col min="7666" max="7666" width="43.6640625" style="731" customWidth="1"/>
    <col min="7667" max="7667" width="9.08203125" style="731"/>
    <col min="7668" max="7668" width="14.08203125" style="731" bestFit="1" customWidth="1"/>
    <col min="7669" max="7912" width="9.08203125" style="731"/>
    <col min="7913" max="7913" width="4.33203125" style="731" customWidth="1"/>
    <col min="7914" max="7914" width="59.6640625" style="731" customWidth="1"/>
    <col min="7915" max="7915" width="7" style="731" customWidth="1"/>
    <col min="7916" max="7916" width="8.08203125" style="731" customWidth="1"/>
    <col min="7917" max="7917" width="8.6640625" style="731" customWidth="1"/>
    <col min="7918" max="7918" width="7.9140625" style="731" customWidth="1"/>
    <col min="7919" max="7919" width="10.33203125" style="731" customWidth="1"/>
    <col min="7920" max="7920" width="7.4140625" style="731" customWidth="1"/>
    <col min="7921" max="7921" width="9.4140625" style="731" customWidth="1"/>
    <col min="7922" max="7922" width="43.6640625" style="731" customWidth="1"/>
    <col min="7923" max="7923" width="9.08203125" style="731"/>
    <col min="7924" max="7924" width="14.08203125" style="731" bestFit="1" customWidth="1"/>
    <col min="7925" max="8168" width="9.08203125" style="731"/>
    <col min="8169" max="8169" width="4.33203125" style="731" customWidth="1"/>
    <col min="8170" max="8170" width="59.6640625" style="731" customWidth="1"/>
    <col min="8171" max="8171" width="7" style="731" customWidth="1"/>
    <col min="8172" max="8172" width="8.08203125" style="731" customWidth="1"/>
    <col min="8173" max="8173" width="8.6640625" style="731" customWidth="1"/>
    <col min="8174" max="8174" width="7.9140625" style="731" customWidth="1"/>
    <col min="8175" max="8175" width="10.33203125" style="731" customWidth="1"/>
    <col min="8176" max="8176" width="7.4140625" style="731" customWidth="1"/>
    <col min="8177" max="8177" width="9.4140625" style="731" customWidth="1"/>
    <col min="8178" max="8178" width="43.6640625" style="731" customWidth="1"/>
    <col min="8179" max="8179" width="9.08203125" style="731"/>
    <col min="8180" max="8180" width="14.08203125" style="731" bestFit="1" customWidth="1"/>
    <col min="8181" max="8424" width="9.08203125" style="731"/>
    <col min="8425" max="8425" width="4.33203125" style="731" customWidth="1"/>
    <col min="8426" max="8426" width="59.6640625" style="731" customWidth="1"/>
    <col min="8427" max="8427" width="7" style="731" customWidth="1"/>
    <col min="8428" max="8428" width="8.08203125" style="731" customWidth="1"/>
    <col min="8429" max="8429" width="8.6640625" style="731" customWidth="1"/>
    <col min="8430" max="8430" width="7.9140625" style="731" customWidth="1"/>
    <col min="8431" max="8431" width="10.33203125" style="731" customWidth="1"/>
    <col min="8432" max="8432" width="7.4140625" style="731" customWidth="1"/>
    <col min="8433" max="8433" width="9.4140625" style="731" customWidth="1"/>
    <col min="8434" max="8434" width="43.6640625" style="731" customWidth="1"/>
    <col min="8435" max="8435" width="9.08203125" style="731"/>
    <col min="8436" max="8436" width="14.08203125" style="731" bestFit="1" customWidth="1"/>
    <col min="8437" max="8680" width="9.08203125" style="731"/>
    <col min="8681" max="8681" width="4.33203125" style="731" customWidth="1"/>
    <col min="8682" max="8682" width="59.6640625" style="731" customWidth="1"/>
    <col min="8683" max="8683" width="7" style="731" customWidth="1"/>
    <col min="8684" max="8684" width="8.08203125" style="731" customWidth="1"/>
    <col min="8685" max="8685" width="8.6640625" style="731" customWidth="1"/>
    <col min="8686" max="8686" width="7.9140625" style="731" customWidth="1"/>
    <col min="8687" max="8687" width="10.33203125" style="731" customWidth="1"/>
    <col min="8688" max="8688" width="7.4140625" style="731" customWidth="1"/>
    <col min="8689" max="8689" width="9.4140625" style="731" customWidth="1"/>
    <col min="8690" max="8690" width="43.6640625" style="731" customWidth="1"/>
    <col min="8691" max="8691" width="9.08203125" style="731"/>
    <col min="8692" max="8692" width="14.08203125" style="731" bestFit="1" customWidth="1"/>
    <col min="8693" max="8936" width="9.08203125" style="731"/>
    <col min="8937" max="8937" width="4.33203125" style="731" customWidth="1"/>
    <col min="8938" max="8938" width="59.6640625" style="731" customWidth="1"/>
    <col min="8939" max="8939" width="7" style="731" customWidth="1"/>
    <col min="8940" max="8940" width="8.08203125" style="731" customWidth="1"/>
    <col min="8941" max="8941" width="8.6640625" style="731" customWidth="1"/>
    <col min="8942" max="8942" width="7.9140625" style="731" customWidth="1"/>
    <col min="8943" max="8943" width="10.33203125" style="731" customWidth="1"/>
    <col min="8944" max="8944" width="7.4140625" style="731" customWidth="1"/>
    <col min="8945" max="8945" width="9.4140625" style="731" customWidth="1"/>
    <col min="8946" max="8946" width="43.6640625" style="731" customWidth="1"/>
    <col min="8947" max="8947" width="9.08203125" style="731"/>
    <col min="8948" max="8948" width="14.08203125" style="731" bestFit="1" customWidth="1"/>
    <col min="8949" max="9192" width="9.08203125" style="731"/>
    <col min="9193" max="9193" width="4.33203125" style="731" customWidth="1"/>
    <col min="9194" max="9194" width="59.6640625" style="731" customWidth="1"/>
    <col min="9195" max="9195" width="7" style="731" customWidth="1"/>
    <col min="9196" max="9196" width="8.08203125" style="731" customWidth="1"/>
    <col min="9197" max="9197" width="8.6640625" style="731" customWidth="1"/>
    <col min="9198" max="9198" width="7.9140625" style="731" customWidth="1"/>
    <col min="9199" max="9199" width="10.33203125" style="731" customWidth="1"/>
    <col min="9200" max="9200" width="7.4140625" style="731" customWidth="1"/>
    <col min="9201" max="9201" width="9.4140625" style="731" customWidth="1"/>
    <col min="9202" max="9202" width="43.6640625" style="731" customWidth="1"/>
    <col min="9203" max="9203" width="9.08203125" style="731"/>
    <col min="9204" max="9204" width="14.08203125" style="731" bestFit="1" customWidth="1"/>
    <col min="9205" max="9448" width="9.08203125" style="731"/>
    <col min="9449" max="9449" width="4.33203125" style="731" customWidth="1"/>
    <col min="9450" max="9450" width="59.6640625" style="731" customWidth="1"/>
    <col min="9451" max="9451" width="7" style="731" customWidth="1"/>
    <col min="9452" max="9452" width="8.08203125" style="731" customWidth="1"/>
    <col min="9453" max="9453" width="8.6640625" style="731" customWidth="1"/>
    <col min="9454" max="9454" width="7.9140625" style="731" customWidth="1"/>
    <col min="9455" max="9455" width="10.33203125" style="731" customWidth="1"/>
    <col min="9456" max="9456" width="7.4140625" style="731" customWidth="1"/>
    <col min="9457" max="9457" width="9.4140625" style="731" customWidth="1"/>
    <col min="9458" max="9458" width="43.6640625" style="731" customWidth="1"/>
    <col min="9459" max="9459" width="9.08203125" style="731"/>
    <col min="9460" max="9460" width="14.08203125" style="731" bestFit="1" customWidth="1"/>
    <col min="9461" max="9704" width="9.08203125" style="731"/>
    <col min="9705" max="9705" width="4.33203125" style="731" customWidth="1"/>
    <col min="9706" max="9706" width="59.6640625" style="731" customWidth="1"/>
    <col min="9707" max="9707" width="7" style="731" customWidth="1"/>
    <col min="9708" max="9708" width="8.08203125" style="731" customWidth="1"/>
    <col min="9709" max="9709" width="8.6640625" style="731" customWidth="1"/>
    <col min="9710" max="9710" width="7.9140625" style="731" customWidth="1"/>
    <col min="9711" max="9711" width="10.33203125" style="731" customWidth="1"/>
    <col min="9712" max="9712" width="7.4140625" style="731" customWidth="1"/>
    <col min="9713" max="9713" width="9.4140625" style="731" customWidth="1"/>
    <col min="9714" max="9714" width="43.6640625" style="731" customWidth="1"/>
    <col min="9715" max="9715" width="9.08203125" style="731"/>
    <col min="9716" max="9716" width="14.08203125" style="731" bestFit="1" customWidth="1"/>
    <col min="9717" max="9960" width="9.08203125" style="731"/>
    <col min="9961" max="9961" width="4.33203125" style="731" customWidth="1"/>
    <col min="9962" max="9962" width="59.6640625" style="731" customWidth="1"/>
    <col min="9963" max="9963" width="7" style="731" customWidth="1"/>
    <col min="9964" max="9964" width="8.08203125" style="731" customWidth="1"/>
    <col min="9965" max="9965" width="8.6640625" style="731" customWidth="1"/>
    <col min="9966" max="9966" width="7.9140625" style="731" customWidth="1"/>
    <col min="9967" max="9967" width="10.33203125" style="731" customWidth="1"/>
    <col min="9968" max="9968" width="7.4140625" style="731" customWidth="1"/>
    <col min="9969" max="9969" width="9.4140625" style="731" customWidth="1"/>
    <col min="9970" max="9970" width="43.6640625" style="731" customWidth="1"/>
    <col min="9971" max="9971" width="9.08203125" style="731"/>
    <col min="9972" max="9972" width="14.08203125" style="731" bestFit="1" customWidth="1"/>
    <col min="9973" max="10216" width="9.08203125" style="731"/>
    <col min="10217" max="10217" width="4.33203125" style="731" customWidth="1"/>
    <col min="10218" max="10218" width="59.6640625" style="731" customWidth="1"/>
    <col min="10219" max="10219" width="7" style="731" customWidth="1"/>
    <col min="10220" max="10220" width="8.08203125" style="731" customWidth="1"/>
    <col min="10221" max="10221" width="8.6640625" style="731" customWidth="1"/>
    <col min="10222" max="10222" width="7.9140625" style="731" customWidth="1"/>
    <col min="10223" max="10223" width="10.33203125" style="731" customWidth="1"/>
    <col min="10224" max="10224" width="7.4140625" style="731" customWidth="1"/>
    <col min="10225" max="10225" width="9.4140625" style="731" customWidth="1"/>
    <col min="10226" max="10226" width="43.6640625" style="731" customWidth="1"/>
    <col min="10227" max="10227" width="9.08203125" style="731"/>
    <col min="10228" max="10228" width="14.08203125" style="731" bestFit="1" customWidth="1"/>
    <col min="10229" max="10472" width="9.08203125" style="731"/>
    <col min="10473" max="10473" width="4.33203125" style="731" customWidth="1"/>
    <col min="10474" max="10474" width="59.6640625" style="731" customWidth="1"/>
    <col min="10475" max="10475" width="7" style="731" customWidth="1"/>
    <col min="10476" max="10476" width="8.08203125" style="731" customWidth="1"/>
    <col min="10477" max="10477" width="8.6640625" style="731" customWidth="1"/>
    <col min="10478" max="10478" width="7.9140625" style="731" customWidth="1"/>
    <col min="10479" max="10479" width="10.33203125" style="731" customWidth="1"/>
    <col min="10480" max="10480" width="7.4140625" style="731" customWidth="1"/>
    <col min="10481" max="10481" width="9.4140625" style="731" customWidth="1"/>
    <col min="10482" max="10482" width="43.6640625" style="731" customWidth="1"/>
    <col min="10483" max="10483" width="9.08203125" style="731"/>
    <col min="10484" max="10484" width="14.08203125" style="731" bestFit="1" customWidth="1"/>
    <col min="10485" max="10728" width="9.08203125" style="731"/>
    <col min="10729" max="10729" width="4.33203125" style="731" customWidth="1"/>
    <col min="10730" max="10730" width="59.6640625" style="731" customWidth="1"/>
    <col min="10731" max="10731" width="7" style="731" customWidth="1"/>
    <col min="10732" max="10732" width="8.08203125" style="731" customWidth="1"/>
    <col min="10733" max="10733" width="8.6640625" style="731" customWidth="1"/>
    <col min="10734" max="10734" width="7.9140625" style="731" customWidth="1"/>
    <col min="10735" max="10735" width="10.33203125" style="731" customWidth="1"/>
    <col min="10736" max="10736" width="7.4140625" style="731" customWidth="1"/>
    <col min="10737" max="10737" width="9.4140625" style="731" customWidth="1"/>
    <col min="10738" max="10738" width="43.6640625" style="731" customWidth="1"/>
    <col min="10739" max="10739" width="9.08203125" style="731"/>
    <col min="10740" max="10740" width="14.08203125" style="731" bestFit="1" customWidth="1"/>
    <col min="10741" max="10984" width="9.08203125" style="731"/>
    <col min="10985" max="10985" width="4.33203125" style="731" customWidth="1"/>
    <col min="10986" max="10986" width="59.6640625" style="731" customWidth="1"/>
    <col min="10987" max="10987" width="7" style="731" customWidth="1"/>
    <col min="10988" max="10988" width="8.08203125" style="731" customWidth="1"/>
    <col min="10989" max="10989" width="8.6640625" style="731" customWidth="1"/>
    <col min="10990" max="10990" width="7.9140625" style="731" customWidth="1"/>
    <col min="10991" max="10991" width="10.33203125" style="731" customWidth="1"/>
    <col min="10992" max="10992" width="7.4140625" style="731" customWidth="1"/>
    <col min="10993" max="10993" width="9.4140625" style="731" customWidth="1"/>
    <col min="10994" max="10994" width="43.6640625" style="731" customWidth="1"/>
    <col min="10995" max="10995" width="9.08203125" style="731"/>
    <col min="10996" max="10996" width="14.08203125" style="731" bestFit="1" customWidth="1"/>
    <col min="10997" max="11240" width="9.08203125" style="731"/>
    <col min="11241" max="11241" width="4.33203125" style="731" customWidth="1"/>
    <col min="11242" max="11242" width="59.6640625" style="731" customWidth="1"/>
    <col min="11243" max="11243" width="7" style="731" customWidth="1"/>
    <col min="11244" max="11244" width="8.08203125" style="731" customWidth="1"/>
    <col min="11245" max="11245" width="8.6640625" style="731" customWidth="1"/>
    <col min="11246" max="11246" width="7.9140625" style="731" customWidth="1"/>
    <col min="11247" max="11247" width="10.33203125" style="731" customWidth="1"/>
    <col min="11248" max="11248" width="7.4140625" style="731" customWidth="1"/>
    <col min="11249" max="11249" width="9.4140625" style="731" customWidth="1"/>
    <col min="11250" max="11250" width="43.6640625" style="731" customWidth="1"/>
    <col min="11251" max="11251" width="9.08203125" style="731"/>
    <col min="11252" max="11252" width="14.08203125" style="731" bestFit="1" customWidth="1"/>
    <col min="11253" max="11496" width="9.08203125" style="731"/>
    <col min="11497" max="11497" width="4.33203125" style="731" customWidth="1"/>
    <col min="11498" max="11498" width="59.6640625" style="731" customWidth="1"/>
    <col min="11499" max="11499" width="7" style="731" customWidth="1"/>
    <col min="11500" max="11500" width="8.08203125" style="731" customWidth="1"/>
    <col min="11501" max="11501" width="8.6640625" style="731" customWidth="1"/>
    <col min="11502" max="11502" width="7.9140625" style="731" customWidth="1"/>
    <col min="11503" max="11503" width="10.33203125" style="731" customWidth="1"/>
    <col min="11504" max="11504" width="7.4140625" style="731" customWidth="1"/>
    <col min="11505" max="11505" width="9.4140625" style="731" customWidth="1"/>
    <col min="11506" max="11506" width="43.6640625" style="731" customWidth="1"/>
    <col min="11507" max="11507" width="9.08203125" style="731"/>
    <col min="11508" max="11508" width="14.08203125" style="731" bestFit="1" customWidth="1"/>
    <col min="11509" max="11752" width="9.08203125" style="731"/>
    <col min="11753" max="11753" width="4.33203125" style="731" customWidth="1"/>
    <col min="11754" max="11754" width="59.6640625" style="731" customWidth="1"/>
    <col min="11755" max="11755" width="7" style="731" customWidth="1"/>
    <col min="11756" max="11756" width="8.08203125" style="731" customWidth="1"/>
    <col min="11757" max="11757" width="8.6640625" style="731" customWidth="1"/>
    <col min="11758" max="11758" width="7.9140625" style="731" customWidth="1"/>
    <col min="11759" max="11759" width="10.33203125" style="731" customWidth="1"/>
    <col min="11760" max="11760" width="7.4140625" style="731" customWidth="1"/>
    <col min="11761" max="11761" width="9.4140625" style="731" customWidth="1"/>
    <col min="11762" max="11762" width="43.6640625" style="731" customWidth="1"/>
    <col min="11763" max="11763" width="9.08203125" style="731"/>
    <col min="11764" max="11764" width="14.08203125" style="731" bestFit="1" customWidth="1"/>
    <col min="11765" max="12008" width="9.08203125" style="731"/>
    <col min="12009" max="12009" width="4.33203125" style="731" customWidth="1"/>
    <col min="12010" max="12010" width="59.6640625" style="731" customWidth="1"/>
    <col min="12011" max="12011" width="7" style="731" customWidth="1"/>
    <col min="12012" max="12012" width="8.08203125" style="731" customWidth="1"/>
    <col min="12013" max="12013" width="8.6640625" style="731" customWidth="1"/>
    <col min="12014" max="12014" width="7.9140625" style="731" customWidth="1"/>
    <col min="12015" max="12015" width="10.33203125" style="731" customWidth="1"/>
    <col min="12016" max="12016" width="7.4140625" style="731" customWidth="1"/>
    <col min="12017" max="12017" width="9.4140625" style="731" customWidth="1"/>
    <col min="12018" max="12018" width="43.6640625" style="731" customWidth="1"/>
    <col min="12019" max="12019" width="9.08203125" style="731"/>
    <col min="12020" max="12020" width="14.08203125" style="731" bestFit="1" customWidth="1"/>
    <col min="12021" max="12264" width="9.08203125" style="731"/>
    <col min="12265" max="12265" width="4.33203125" style="731" customWidth="1"/>
    <col min="12266" max="12266" width="59.6640625" style="731" customWidth="1"/>
    <col min="12267" max="12267" width="7" style="731" customWidth="1"/>
    <col min="12268" max="12268" width="8.08203125" style="731" customWidth="1"/>
    <col min="12269" max="12269" width="8.6640625" style="731" customWidth="1"/>
    <col min="12270" max="12270" width="7.9140625" style="731" customWidth="1"/>
    <col min="12271" max="12271" width="10.33203125" style="731" customWidth="1"/>
    <col min="12272" max="12272" width="7.4140625" style="731" customWidth="1"/>
    <col min="12273" max="12273" width="9.4140625" style="731" customWidth="1"/>
    <col min="12274" max="12274" width="43.6640625" style="731" customWidth="1"/>
    <col min="12275" max="12275" width="9.08203125" style="731"/>
    <col min="12276" max="12276" width="14.08203125" style="731" bestFit="1" customWidth="1"/>
    <col min="12277" max="12520" width="9.08203125" style="731"/>
    <col min="12521" max="12521" width="4.33203125" style="731" customWidth="1"/>
    <col min="12522" max="12522" width="59.6640625" style="731" customWidth="1"/>
    <col min="12523" max="12523" width="7" style="731" customWidth="1"/>
    <col min="12524" max="12524" width="8.08203125" style="731" customWidth="1"/>
    <col min="12525" max="12525" width="8.6640625" style="731" customWidth="1"/>
    <col min="12526" max="12526" width="7.9140625" style="731" customWidth="1"/>
    <col min="12527" max="12527" width="10.33203125" style="731" customWidth="1"/>
    <col min="12528" max="12528" width="7.4140625" style="731" customWidth="1"/>
    <col min="12529" max="12529" width="9.4140625" style="731" customWidth="1"/>
    <col min="12530" max="12530" width="43.6640625" style="731" customWidth="1"/>
    <col min="12531" max="12531" width="9.08203125" style="731"/>
    <col min="12532" max="12532" width="14.08203125" style="731" bestFit="1" customWidth="1"/>
    <col min="12533" max="12776" width="9.08203125" style="731"/>
    <col min="12777" max="12777" width="4.33203125" style="731" customWidth="1"/>
    <col min="12778" max="12778" width="59.6640625" style="731" customWidth="1"/>
    <col min="12779" max="12779" width="7" style="731" customWidth="1"/>
    <col min="12780" max="12780" width="8.08203125" style="731" customWidth="1"/>
    <col min="12781" max="12781" width="8.6640625" style="731" customWidth="1"/>
    <col min="12782" max="12782" width="7.9140625" style="731" customWidth="1"/>
    <col min="12783" max="12783" width="10.33203125" style="731" customWidth="1"/>
    <col min="12784" max="12784" width="7.4140625" style="731" customWidth="1"/>
    <col min="12785" max="12785" width="9.4140625" style="731" customWidth="1"/>
    <col min="12786" max="12786" width="43.6640625" style="731" customWidth="1"/>
    <col min="12787" max="12787" width="9.08203125" style="731"/>
    <col min="12788" max="12788" width="14.08203125" style="731" bestFit="1" customWidth="1"/>
    <col min="12789" max="13032" width="9.08203125" style="731"/>
    <col min="13033" max="13033" width="4.33203125" style="731" customWidth="1"/>
    <col min="13034" max="13034" width="59.6640625" style="731" customWidth="1"/>
    <col min="13035" max="13035" width="7" style="731" customWidth="1"/>
    <col min="13036" max="13036" width="8.08203125" style="731" customWidth="1"/>
    <col min="13037" max="13037" width="8.6640625" style="731" customWidth="1"/>
    <col min="13038" max="13038" width="7.9140625" style="731" customWidth="1"/>
    <col min="13039" max="13039" width="10.33203125" style="731" customWidth="1"/>
    <col min="13040" max="13040" width="7.4140625" style="731" customWidth="1"/>
    <col min="13041" max="13041" width="9.4140625" style="731" customWidth="1"/>
    <col min="13042" max="13042" width="43.6640625" style="731" customWidth="1"/>
    <col min="13043" max="13043" width="9.08203125" style="731"/>
    <col min="13044" max="13044" width="14.08203125" style="731" bestFit="1" customWidth="1"/>
    <col min="13045" max="13288" width="9.08203125" style="731"/>
    <col min="13289" max="13289" width="4.33203125" style="731" customWidth="1"/>
    <col min="13290" max="13290" width="59.6640625" style="731" customWidth="1"/>
    <col min="13291" max="13291" width="7" style="731" customWidth="1"/>
    <col min="13292" max="13292" width="8.08203125" style="731" customWidth="1"/>
    <col min="13293" max="13293" width="8.6640625" style="731" customWidth="1"/>
    <col min="13294" max="13294" width="7.9140625" style="731" customWidth="1"/>
    <col min="13295" max="13295" width="10.33203125" style="731" customWidth="1"/>
    <col min="13296" max="13296" width="7.4140625" style="731" customWidth="1"/>
    <col min="13297" max="13297" width="9.4140625" style="731" customWidth="1"/>
    <col min="13298" max="13298" width="43.6640625" style="731" customWidth="1"/>
    <col min="13299" max="13299" width="9.08203125" style="731"/>
    <col min="13300" max="13300" width="14.08203125" style="731" bestFit="1" customWidth="1"/>
    <col min="13301" max="13544" width="9.08203125" style="731"/>
    <col min="13545" max="13545" width="4.33203125" style="731" customWidth="1"/>
    <col min="13546" max="13546" width="59.6640625" style="731" customWidth="1"/>
    <col min="13547" max="13547" width="7" style="731" customWidth="1"/>
    <col min="13548" max="13548" width="8.08203125" style="731" customWidth="1"/>
    <col min="13549" max="13549" width="8.6640625" style="731" customWidth="1"/>
    <col min="13550" max="13550" width="7.9140625" style="731" customWidth="1"/>
    <col min="13551" max="13551" width="10.33203125" style="731" customWidth="1"/>
    <col min="13552" max="13552" width="7.4140625" style="731" customWidth="1"/>
    <col min="13553" max="13553" width="9.4140625" style="731" customWidth="1"/>
    <col min="13554" max="13554" width="43.6640625" style="731" customWidth="1"/>
    <col min="13555" max="13555" width="9.08203125" style="731"/>
    <col min="13556" max="13556" width="14.08203125" style="731" bestFit="1" customWidth="1"/>
    <col min="13557" max="13800" width="9.08203125" style="731"/>
    <col min="13801" max="13801" width="4.33203125" style="731" customWidth="1"/>
    <col min="13802" max="13802" width="59.6640625" style="731" customWidth="1"/>
    <col min="13803" max="13803" width="7" style="731" customWidth="1"/>
    <col min="13804" max="13804" width="8.08203125" style="731" customWidth="1"/>
    <col min="13805" max="13805" width="8.6640625" style="731" customWidth="1"/>
    <col min="13806" max="13806" width="7.9140625" style="731" customWidth="1"/>
    <col min="13807" max="13807" width="10.33203125" style="731" customWidth="1"/>
    <col min="13808" max="13808" width="7.4140625" style="731" customWidth="1"/>
    <col min="13809" max="13809" width="9.4140625" style="731" customWidth="1"/>
    <col min="13810" max="13810" width="43.6640625" style="731" customWidth="1"/>
    <col min="13811" max="13811" width="9.08203125" style="731"/>
    <col min="13812" max="13812" width="14.08203125" style="731" bestFit="1" customWidth="1"/>
    <col min="13813" max="14056" width="9.08203125" style="731"/>
    <col min="14057" max="14057" width="4.33203125" style="731" customWidth="1"/>
    <col min="14058" max="14058" width="59.6640625" style="731" customWidth="1"/>
    <col min="14059" max="14059" width="7" style="731" customWidth="1"/>
    <col min="14060" max="14060" width="8.08203125" style="731" customWidth="1"/>
    <col min="14061" max="14061" width="8.6640625" style="731" customWidth="1"/>
    <col min="14062" max="14062" width="7.9140625" style="731" customWidth="1"/>
    <col min="14063" max="14063" width="10.33203125" style="731" customWidth="1"/>
    <col min="14064" max="14064" width="7.4140625" style="731" customWidth="1"/>
    <col min="14065" max="14065" width="9.4140625" style="731" customWidth="1"/>
    <col min="14066" max="14066" width="43.6640625" style="731" customWidth="1"/>
    <col min="14067" max="14067" width="9.08203125" style="731"/>
    <col min="14068" max="14068" width="14.08203125" style="731" bestFit="1" customWidth="1"/>
    <col min="14069" max="14312" width="9.08203125" style="731"/>
    <col min="14313" max="14313" width="4.33203125" style="731" customWidth="1"/>
    <col min="14314" max="14314" width="59.6640625" style="731" customWidth="1"/>
    <col min="14315" max="14315" width="7" style="731" customWidth="1"/>
    <col min="14316" max="14316" width="8.08203125" style="731" customWidth="1"/>
    <col min="14317" max="14317" width="8.6640625" style="731" customWidth="1"/>
    <col min="14318" max="14318" width="7.9140625" style="731" customWidth="1"/>
    <col min="14319" max="14319" width="10.33203125" style="731" customWidth="1"/>
    <col min="14320" max="14320" width="7.4140625" style="731" customWidth="1"/>
    <col min="14321" max="14321" width="9.4140625" style="731" customWidth="1"/>
    <col min="14322" max="14322" width="43.6640625" style="731" customWidth="1"/>
    <col min="14323" max="14323" width="9.08203125" style="731"/>
    <col min="14324" max="14324" width="14.08203125" style="731" bestFit="1" customWidth="1"/>
    <col min="14325" max="14568" width="9.08203125" style="731"/>
    <col min="14569" max="14569" width="4.33203125" style="731" customWidth="1"/>
    <col min="14570" max="14570" width="59.6640625" style="731" customWidth="1"/>
    <col min="14571" max="14571" width="7" style="731" customWidth="1"/>
    <col min="14572" max="14572" width="8.08203125" style="731" customWidth="1"/>
    <col min="14573" max="14573" width="8.6640625" style="731" customWidth="1"/>
    <col min="14574" max="14574" width="7.9140625" style="731" customWidth="1"/>
    <col min="14575" max="14575" width="10.33203125" style="731" customWidth="1"/>
    <col min="14576" max="14576" width="7.4140625" style="731" customWidth="1"/>
    <col min="14577" max="14577" width="9.4140625" style="731" customWidth="1"/>
    <col min="14578" max="14578" width="43.6640625" style="731" customWidth="1"/>
    <col min="14579" max="14579" width="9.08203125" style="731"/>
    <col min="14580" max="14580" width="14.08203125" style="731" bestFit="1" customWidth="1"/>
    <col min="14581" max="14824" width="9.08203125" style="731"/>
    <col min="14825" max="14825" width="4.33203125" style="731" customWidth="1"/>
    <col min="14826" max="14826" width="59.6640625" style="731" customWidth="1"/>
    <col min="14827" max="14827" width="7" style="731" customWidth="1"/>
    <col min="14828" max="14828" width="8.08203125" style="731" customWidth="1"/>
    <col min="14829" max="14829" width="8.6640625" style="731" customWidth="1"/>
    <col min="14830" max="14830" width="7.9140625" style="731" customWidth="1"/>
    <col min="14831" max="14831" width="10.33203125" style="731" customWidth="1"/>
    <col min="14832" max="14832" width="7.4140625" style="731" customWidth="1"/>
    <col min="14833" max="14833" width="9.4140625" style="731" customWidth="1"/>
    <col min="14834" max="14834" width="43.6640625" style="731" customWidth="1"/>
    <col min="14835" max="14835" width="9.08203125" style="731"/>
    <col min="14836" max="14836" width="14.08203125" style="731" bestFit="1" customWidth="1"/>
    <col min="14837" max="15080" width="9.08203125" style="731"/>
    <col min="15081" max="15081" width="4.33203125" style="731" customWidth="1"/>
    <col min="15082" max="15082" width="59.6640625" style="731" customWidth="1"/>
    <col min="15083" max="15083" width="7" style="731" customWidth="1"/>
    <col min="15084" max="15084" width="8.08203125" style="731" customWidth="1"/>
    <col min="15085" max="15085" width="8.6640625" style="731" customWidth="1"/>
    <col min="15086" max="15086" width="7.9140625" style="731" customWidth="1"/>
    <col min="15087" max="15087" width="10.33203125" style="731" customWidth="1"/>
    <col min="15088" max="15088" width="7.4140625" style="731" customWidth="1"/>
    <col min="15089" max="15089" width="9.4140625" style="731" customWidth="1"/>
    <col min="15090" max="15090" width="43.6640625" style="731" customWidth="1"/>
    <col min="15091" max="15091" width="9.08203125" style="731"/>
    <col min="15092" max="15092" width="14.08203125" style="731" bestFit="1" customWidth="1"/>
    <col min="15093" max="15336" width="9.08203125" style="731"/>
    <col min="15337" max="15337" width="4.33203125" style="731" customWidth="1"/>
    <col min="15338" max="15338" width="59.6640625" style="731" customWidth="1"/>
    <col min="15339" max="15339" width="7" style="731" customWidth="1"/>
    <col min="15340" max="15340" width="8.08203125" style="731" customWidth="1"/>
    <col min="15341" max="15341" width="8.6640625" style="731" customWidth="1"/>
    <col min="15342" max="15342" width="7.9140625" style="731" customWidth="1"/>
    <col min="15343" max="15343" width="10.33203125" style="731" customWidth="1"/>
    <col min="15344" max="15344" width="7.4140625" style="731" customWidth="1"/>
    <col min="15345" max="15345" width="9.4140625" style="731" customWidth="1"/>
    <col min="15346" max="15346" width="43.6640625" style="731" customWidth="1"/>
    <col min="15347" max="15347" width="9.08203125" style="731"/>
    <col min="15348" max="15348" width="14.08203125" style="731" bestFit="1" customWidth="1"/>
    <col min="15349" max="15592" width="9.08203125" style="731"/>
    <col min="15593" max="15593" width="4.33203125" style="731" customWidth="1"/>
    <col min="15594" max="15594" width="59.6640625" style="731" customWidth="1"/>
    <col min="15595" max="15595" width="7" style="731" customWidth="1"/>
    <col min="15596" max="15596" width="8.08203125" style="731" customWidth="1"/>
    <col min="15597" max="15597" width="8.6640625" style="731" customWidth="1"/>
    <col min="15598" max="15598" width="7.9140625" style="731" customWidth="1"/>
    <col min="15599" max="15599" width="10.33203125" style="731" customWidth="1"/>
    <col min="15600" max="15600" width="7.4140625" style="731" customWidth="1"/>
    <col min="15601" max="15601" width="9.4140625" style="731" customWidth="1"/>
    <col min="15602" max="15602" width="43.6640625" style="731" customWidth="1"/>
    <col min="15603" max="15603" width="9.08203125" style="731"/>
    <col min="15604" max="15604" width="14.08203125" style="731" bestFit="1" customWidth="1"/>
    <col min="15605" max="15848" width="9.08203125" style="731"/>
    <col min="15849" max="15849" width="4.33203125" style="731" customWidth="1"/>
    <col min="15850" max="15850" width="59.6640625" style="731" customWidth="1"/>
    <col min="15851" max="15851" width="7" style="731" customWidth="1"/>
    <col min="15852" max="15852" width="8.08203125" style="731" customWidth="1"/>
    <col min="15853" max="15853" width="8.6640625" style="731" customWidth="1"/>
    <col min="15854" max="15854" width="7.9140625" style="731" customWidth="1"/>
    <col min="15855" max="15855" width="10.33203125" style="731" customWidth="1"/>
    <col min="15856" max="15856" width="7.4140625" style="731" customWidth="1"/>
    <col min="15857" max="15857" width="9.4140625" style="731" customWidth="1"/>
    <col min="15858" max="15858" width="43.6640625" style="731" customWidth="1"/>
    <col min="15859" max="15859" width="9.08203125" style="731"/>
    <col min="15860" max="15860" width="14.08203125" style="731" bestFit="1" customWidth="1"/>
    <col min="15861" max="16104" width="9.08203125" style="731"/>
    <col min="16105" max="16105" width="4.33203125" style="731" customWidth="1"/>
    <col min="16106" max="16106" width="59.6640625" style="731" customWidth="1"/>
    <col min="16107" max="16107" width="7" style="731" customWidth="1"/>
    <col min="16108" max="16108" width="8.08203125" style="731" customWidth="1"/>
    <col min="16109" max="16109" width="8.6640625" style="731" customWidth="1"/>
    <col min="16110" max="16110" width="7.9140625" style="731" customWidth="1"/>
    <col min="16111" max="16111" width="10.33203125" style="731" customWidth="1"/>
    <col min="16112" max="16112" width="7.4140625" style="731" customWidth="1"/>
    <col min="16113" max="16113" width="9.4140625" style="731" customWidth="1"/>
    <col min="16114" max="16114" width="43.6640625" style="731" customWidth="1"/>
    <col min="16115" max="16115" width="9.08203125" style="731"/>
    <col min="16116" max="16116" width="14.08203125" style="731" bestFit="1" customWidth="1"/>
    <col min="16117" max="16384" width="9.08203125" style="731"/>
  </cols>
  <sheetData>
    <row r="1" spans="1:9" s="639" customFormat="1" ht="18" customHeight="1">
      <c r="A1" s="1794"/>
      <c r="B1" s="1794"/>
      <c r="D1" s="732"/>
      <c r="E1" s="732"/>
      <c r="G1" s="1798" t="s">
        <v>730</v>
      </c>
      <c r="H1" s="1799"/>
      <c r="I1" s="1798"/>
    </row>
    <row r="2" spans="1:9" s="639" customFormat="1" ht="18" customHeight="1">
      <c r="A2" s="1714" t="s">
        <v>1903</v>
      </c>
      <c r="B2" s="1714"/>
      <c r="C2" s="1714"/>
      <c r="D2" s="1714"/>
      <c r="E2" s="1714"/>
      <c r="F2" s="1714"/>
      <c r="G2" s="1714"/>
      <c r="H2" s="1745"/>
      <c r="I2" s="1714"/>
    </row>
    <row r="3" spans="1:9" s="639" customFormat="1" ht="18" customHeight="1">
      <c r="A3" s="733"/>
      <c r="B3" s="733"/>
      <c r="C3" s="733"/>
      <c r="D3" s="734"/>
      <c r="E3" s="734"/>
      <c r="F3" s="733"/>
      <c r="G3" s="733"/>
      <c r="H3" s="582"/>
      <c r="I3" s="726" t="s">
        <v>3</v>
      </c>
    </row>
    <row r="4" spans="1:9" ht="11.15" customHeight="1">
      <c r="A4" s="1721" t="s">
        <v>894</v>
      </c>
      <c r="B4" s="1721" t="s">
        <v>1904</v>
      </c>
      <c r="C4" s="1721" t="s">
        <v>896</v>
      </c>
      <c r="D4" s="1795" t="s">
        <v>738</v>
      </c>
      <c r="E4" s="1795" t="s">
        <v>739</v>
      </c>
      <c r="F4" s="1721" t="s">
        <v>36</v>
      </c>
      <c r="G4" s="1721" t="s">
        <v>1600</v>
      </c>
      <c r="H4" s="1791" t="s">
        <v>1601</v>
      </c>
      <c r="I4" s="1721" t="s">
        <v>33</v>
      </c>
    </row>
    <row r="5" spans="1:9" ht="11.15" customHeight="1">
      <c r="A5" s="1722"/>
      <c r="B5" s="1722"/>
      <c r="C5" s="1722"/>
      <c r="D5" s="1796"/>
      <c r="E5" s="1796"/>
      <c r="F5" s="1722"/>
      <c r="G5" s="1722"/>
      <c r="H5" s="1792"/>
      <c r="I5" s="1722"/>
    </row>
    <row r="6" spans="1:9" ht="11.15" customHeight="1">
      <c r="A6" s="1722"/>
      <c r="B6" s="1722"/>
      <c r="C6" s="1722"/>
      <c r="D6" s="1796"/>
      <c r="E6" s="1796"/>
      <c r="F6" s="1722"/>
      <c r="G6" s="1722"/>
      <c r="H6" s="1792"/>
      <c r="I6" s="1722"/>
    </row>
    <row r="7" spans="1:9" ht="11.15" customHeight="1">
      <c r="A7" s="1723"/>
      <c r="B7" s="1723"/>
      <c r="C7" s="1723"/>
      <c r="D7" s="1797"/>
      <c r="E7" s="1797"/>
      <c r="F7" s="1723"/>
      <c r="G7" s="1723"/>
      <c r="H7" s="1793"/>
      <c r="I7" s="1723"/>
    </row>
    <row r="8" spans="1:9" s="740" customFormat="1" ht="18" customHeight="1">
      <c r="A8" s="462">
        <v>1</v>
      </c>
      <c r="B8" s="462">
        <v>2</v>
      </c>
      <c r="C8" s="462">
        <v>3</v>
      </c>
      <c r="D8" s="735">
        <v>4</v>
      </c>
      <c r="E8" s="735">
        <v>5</v>
      </c>
      <c r="F8" s="462">
        <v>6</v>
      </c>
      <c r="G8" s="462">
        <v>7</v>
      </c>
      <c r="H8" s="583">
        <v>8</v>
      </c>
      <c r="I8" s="462" t="s">
        <v>24</v>
      </c>
    </row>
    <row r="9" spans="1:9" s="639" customFormat="1" ht="18" customHeight="1">
      <c r="A9" s="669"/>
      <c r="B9" s="26" t="s">
        <v>6</v>
      </c>
      <c r="C9" s="669"/>
      <c r="D9" s="736"/>
      <c r="E9" s="736"/>
      <c r="F9" s="737">
        <f>+F10+F20+F30+F31+F41+F51+F61+F71</f>
        <v>841081</v>
      </c>
      <c r="G9" s="737">
        <f t="shared" ref="G9:H9" si="0">+G10+G20+G30+G31+G41+G51+G61+G71</f>
        <v>778860</v>
      </c>
      <c r="H9" s="584">
        <f t="shared" si="0"/>
        <v>62221</v>
      </c>
      <c r="I9" s="727"/>
    </row>
    <row r="10" spans="1:9" ht="18" customHeight="1">
      <c r="A10" s="664" t="s">
        <v>8</v>
      </c>
      <c r="B10" s="441" t="s">
        <v>25</v>
      </c>
      <c r="C10" s="13"/>
      <c r="D10" s="738"/>
      <c r="E10" s="738"/>
      <c r="F10" s="737">
        <f>SUM(F11:F19)-F14</f>
        <v>3584</v>
      </c>
      <c r="G10" s="737">
        <f t="shared" ref="G10" si="1">SUM(G11:G19)-G14</f>
        <v>2190</v>
      </c>
      <c r="H10" s="584">
        <f t="shared" ref="H10" si="2">SUM(H11:H19)-H14</f>
        <v>1394</v>
      </c>
      <c r="I10" s="728"/>
    </row>
    <row r="11" spans="1:9" s="639" customFormat="1" ht="18" customHeight="1">
      <c r="A11" s="18" t="s">
        <v>742</v>
      </c>
      <c r="B11" s="669" t="s">
        <v>1905</v>
      </c>
      <c r="C11" s="13" t="s">
        <v>743</v>
      </c>
      <c r="D11" s="17">
        <v>2240</v>
      </c>
      <c r="E11" s="739">
        <v>0.4</v>
      </c>
      <c r="F11" s="16">
        <f>SUM(G11:J11)</f>
        <v>3584</v>
      </c>
      <c r="G11" s="16">
        <v>2190</v>
      </c>
      <c r="H11" s="585">
        <v>1394</v>
      </c>
      <c r="I11" s="729"/>
    </row>
    <row r="12" spans="1:9" s="381" customFormat="1" ht="18" hidden="1" customHeight="1">
      <c r="A12" s="122" t="s">
        <v>742</v>
      </c>
      <c r="B12" s="221" t="s">
        <v>1906</v>
      </c>
      <c r="C12" s="112" t="s">
        <v>743</v>
      </c>
      <c r="D12" s="129"/>
      <c r="E12" s="577"/>
      <c r="F12" s="291">
        <f t="shared" ref="F12:F19" si="3">SUM(G12:J12)</f>
        <v>0</v>
      </c>
      <c r="G12" s="291"/>
      <c r="H12" s="585"/>
      <c r="I12" s="173" t="s">
        <v>1774</v>
      </c>
    </row>
    <row r="13" spans="1:9" s="381" customFormat="1" ht="18" hidden="1" customHeight="1">
      <c r="A13" s="122" t="s">
        <v>742</v>
      </c>
      <c r="B13" s="221" t="s">
        <v>1907</v>
      </c>
      <c r="C13" s="112" t="s">
        <v>743</v>
      </c>
      <c r="D13" s="129"/>
      <c r="E13" s="577"/>
      <c r="F13" s="291">
        <f t="shared" si="3"/>
        <v>0</v>
      </c>
      <c r="G13" s="291"/>
      <c r="H13" s="585"/>
      <c r="I13" s="173" t="s">
        <v>1774</v>
      </c>
    </row>
    <row r="14" spans="1:9" s="381" customFormat="1" ht="18" hidden="1" customHeight="1">
      <c r="A14" s="122" t="s">
        <v>742</v>
      </c>
      <c r="B14" s="221" t="s">
        <v>1908</v>
      </c>
      <c r="C14" s="112" t="s">
        <v>743</v>
      </c>
      <c r="D14" s="292"/>
      <c r="E14" s="576"/>
      <c r="F14" s="291">
        <f t="shared" si="3"/>
        <v>0</v>
      </c>
      <c r="G14" s="291"/>
      <c r="H14" s="585"/>
      <c r="I14" s="173" t="s">
        <v>1774</v>
      </c>
    </row>
    <row r="15" spans="1:9" s="380" customFormat="1" ht="18" hidden="1" customHeight="1">
      <c r="A15" s="551"/>
      <c r="B15" s="571" t="s">
        <v>2292</v>
      </c>
      <c r="C15" s="119" t="s">
        <v>743</v>
      </c>
      <c r="D15" s="292"/>
      <c r="E15" s="576"/>
      <c r="F15" s="291">
        <f t="shared" si="3"/>
        <v>0</v>
      </c>
      <c r="G15" s="291"/>
      <c r="H15" s="585"/>
      <c r="I15" s="173" t="s">
        <v>1774</v>
      </c>
    </row>
    <row r="16" spans="1:9" s="380" customFormat="1" ht="18" hidden="1" customHeight="1">
      <c r="A16" s="551"/>
      <c r="B16" s="571" t="s">
        <v>744</v>
      </c>
      <c r="C16" s="119" t="s">
        <v>743</v>
      </c>
      <c r="D16" s="292"/>
      <c r="E16" s="576"/>
      <c r="F16" s="291">
        <f t="shared" si="3"/>
        <v>0</v>
      </c>
      <c r="G16" s="291"/>
      <c r="H16" s="585"/>
      <c r="I16" s="173" t="s">
        <v>1774</v>
      </c>
    </row>
    <row r="17" spans="1:9" s="380" customFormat="1" ht="18" hidden="1" customHeight="1">
      <c r="A17" s="122" t="s">
        <v>742</v>
      </c>
      <c r="B17" s="221" t="s">
        <v>1909</v>
      </c>
      <c r="C17" s="112" t="s">
        <v>743</v>
      </c>
      <c r="D17" s="575"/>
      <c r="E17" s="576"/>
      <c r="F17" s="291">
        <f t="shared" si="3"/>
        <v>0</v>
      </c>
      <c r="G17" s="291"/>
      <c r="H17" s="585"/>
      <c r="I17" s="173" t="s">
        <v>1774</v>
      </c>
    </row>
    <row r="18" spans="1:9" s="381" customFormat="1" ht="26" hidden="1">
      <c r="A18" s="122" t="s">
        <v>742</v>
      </c>
      <c r="B18" s="572" t="s">
        <v>1910</v>
      </c>
      <c r="C18" s="112" t="s">
        <v>745</v>
      </c>
      <c r="D18" s="129"/>
      <c r="E18" s="577"/>
      <c r="F18" s="291">
        <f t="shared" si="3"/>
        <v>0</v>
      </c>
      <c r="G18" s="291">
        <v>0</v>
      </c>
      <c r="H18" s="585">
        <v>0</v>
      </c>
      <c r="I18" s="173" t="s">
        <v>1774</v>
      </c>
    </row>
    <row r="19" spans="1:9" s="381" customFormat="1" ht="13" hidden="1">
      <c r="A19" s="122" t="s">
        <v>742</v>
      </c>
      <c r="B19" s="572" t="s">
        <v>1911</v>
      </c>
      <c r="C19" s="112"/>
      <c r="D19" s="129"/>
      <c r="E19" s="577"/>
      <c r="F19" s="291">
        <f t="shared" si="3"/>
        <v>0</v>
      </c>
      <c r="G19" s="291"/>
      <c r="H19" s="585"/>
      <c r="I19" s="173" t="s">
        <v>1774</v>
      </c>
    </row>
    <row r="20" spans="1:9" s="639" customFormat="1" ht="15" customHeight="1">
      <c r="A20" s="664" t="s">
        <v>26</v>
      </c>
      <c r="B20" s="441" t="s">
        <v>23</v>
      </c>
      <c r="C20" s="13"/>
      <c r="D20" s="34"/>
      <c r="E20" s="741"/>
      <c r="F20" s="737">
        <f>SUM(F21:F29)-F24</f>
        <v>20100</v>
      </c>
      <c r="G20" s="737">
        <f t="shared" ref="G20" si="4">SUM(G21:G29)-G24</f>
        <v>15398</v>
      </c>
      <c r="H20" s="584">
        <f t="shared" ref="H20" si="5">SUM(H21:H29)-H24</f>
        <v>4702</v>
      </c>
      <c r="I20" s="729"/>
    </row>
    <row r="21" spans="1:9" s="639" customFormat="1" ht="18" customHeight="1">
      <c r="A21" s="18" t="s">
        <v>742</v>
      </c>
      <c r="B21" s="669" t="s">
        <v>1905</v>
      </c>
      <c r="C21" s="13" t="s">
        <v>743</v>
      </c>
      <c r="D21" s="17">
        <v>11500</v>
      </c>
      <c r="E21" s="739">
        <v>0.4</v>
      </c>
      <c r="F21" s="16">
        <f t="shared" ref="F21:F29" si="6">SUM(G21:J21)</f>
        <v>18400</v>
      </c>
      <c r="G21" s="16">
        <v>13783</v>
      </c>
      <c r="H21" s="585">
        <v>4617</v>
      </c>
      <c r="I21" s="729"/>
    </row>
    <row r="22" spans="1:9" s="379" customFormat="1" ht="18" hidden="1" customHeight="1">
      <c r="A22" s="122" t="s">
        <v>742</v>
      </c>
      <c r="B22" s="221" t="s">
        <v>1906</v>
      </c>
      <c r="C22" s="112" t="s">
        <v>743</v>
      </c>
      <c r="D22" s="570"/>
      <c r="E22" s="578"/>
      <c r="F22" s="420">
        <f t="shared" si="6"/>
        <v>0</v>
      </c>
      <c r="G22" s="291"/>
      <c r="H22" s="585"/>
      <c r="I22" s="173" t="s">
        <v>1774</v>
      </c>
    </row>
    <row r="23" spans="1:9" s="380" customFormat="1" ht="18" hidden="1" customHeight="1">
      <c r="A23" s="122" t="s">
        <v>742</v>
      </c>
      <c r="B23" s="221" t="s">
        <v>1907</v>
      </c>
      <c r="C23" s="112" t="s">
        <v>743</v>
      </c>
      <c r="D23" s="570"/>
      <c r="E23" s="578"/>
      <c r="F23" s="420">
        <f t="shared" si="6"/>
        <v>0</v>
      </c>
      <c r="G23" s="291"/>
      <c r="H23" s="585"/>
      <c r="I23" s="173" t="s">
        <v>1774</v>
      </c>
    </row>
    <row r="24" spans="1:9" s="639" customFormat="1" ht="18" customHeight="1">
      <c r="A24" s="18" t="s">
        <v>742</v>
      </c>
      <c r="B24" s="669" t="s">
        <v>1908</v>
      </c>
      <c r="C24" s="13" t="s">
        <v>743</v>
      </c>
      <c r="D24" s="174">
        <f>+D25+D26</f>
        <v>170</v>
      </c>
      <c r="E24" s="37"/>
      <c r="F24" s="16">
        <f t="shared" ref="F24:G24" si="7">+F25+F26</f>
        <v>1700</v>
      </c>
      <c r="G24" s="16">
        <f t="shared" si="7"/>
        <v>1615</v>
      </c>
      <c r="H24" s="585">
        <f>+H25+H26</f>
        <v>85</v>
      </c>
      <c r="I24" s="729"/>
    </row>
    <row r="25" spans="1:9" s="381" customFormat="1" ht="18" hidden="1" customHeight="1">
      <c r="A25" s="551"/>
      <c r="B25" s="571" t="s">
        <v>2292</v>
      </c>
      <c r="C25" s="119" t="s">
        <v>743</v>
      </c>
      <c r="D25" s="134">
        <v>70</v>
      </c>
      <c r="E25" s="579">
        <v>10</v>
      </c>
      <c r="F25" s="574">
        <f>+G25+H25</f>
        <v>700</v>
      </c>
      <c r="G25" s="574">
        <v>665</v>
      </c>
      <c r="H25" s="586">
        <v>35</v>
      </c>
      <c r="I25" s="173" t="s">
        <v>1774</v>
      </c>
    </row>
    <row r="26" spans="1:9" s="381" customFormat="1" ht="18" hidden="1" customHeight="1">
      <c r="A26" s="551"/>
      <c r="B26" s="571" t="s">
        <v>744</v>
      </c>
      <c r="C26" s="119" t="s">
        <v>743</v>
      </c>
      <c r="D26" s="134">
        <v>100</v>
      </c>
      <c r="E26" s="579">
        <v>10</v>
      </c>
      <c r="F26" s="574">
        <f>+G26+H26</f>
        <v>1000</v>
      </c>
      <c r="G26" s="574">
        <v>950</v>
      </c>
      <c r="H26" s="586">
        <v>50</v>
      </c>
      <c r="I26" s="173" t="s">
        <v>1774</v>
      </c>
    </row>
    <row r="27" spans="1:9" s="381" customFormat="1" ht="18" hidden="1" customHeight="1">
      <c r="A27" s="122" t="s">
        <v>742</v>
      </c>
      <c r="B27" s="221" t="s">
        <v>1909</v>
      </c>
      <c r="C27" s="112" t="s">
        <v>743</v>
      </c>
      <c r="D27" s="570"/>
      <c r="E27" s="577">
        <v>30</v>
      </c>
      <c r="F27" s="420">
        <f t="shared" si="6"/>
        <v>0</v>
      </c>
      <c r="G27" s="291">
        <v>0</v>
      </c>
      <c r="H27" s="585">
        <v>0</v>
      </c>
      <c r="I27" s="173" t="s">
        <v>1774</v>
      </c>
    </row>
    <row r="28" spans="1:9" s="380" customFormat="1" ht="18" hidden="1" customHeight="1">
      <c r="A28" s="122" t="s">
        <v>742</v>
      </c>
      <c r="B28" s="572" t="s">
        <v>1910</v>
      </c>
      <c r="C28" s="112" t="s">
        <v>745</v>
      </c>
      <c r="D28" s="129"/>
      <c r="E28" s="577"/>
      <c r="F28" s="291">
        <f t="shared" si="6"/>
        <v>0</v>
      </c>
      <c r="G28" s="291">
        <v>0</v>
      </c>
      <c r="H28" s="585">
        <v>0</v>
      </c>
      <c r="I28" s="173" t="s">
        <v>1774</v>
      </c>
    </row>
    <row r="29" spans="1:9" s="380" customFormat="1" ht="18" hidden="1" customHeight="1">
      <c r="A29" s="122" t="s">
        <v>742</v>
      </c>
      <c r="B29" s="572" t="s">
        <v>1911</v>
      </c>
      <c r="C29" s="112"/>
      <c r="D29" s="129"/>
      <c r="E29" s="577"/>
      <c r="F29" s="291">
        <f t="shared" si="6"/>
        <v>0</v>
      </c>
      <c r="G29" s="291"/>
      <c r="H29" s="585"/>
      <c r="I29" s="173" t="s">
        <v>1774</v>
      </c>
    </row>
    <row r="30" spans="1:9" s="639" customFormat="1" ht="18" customHeight="1">
      <c r="A30" s="664" t="s">
        <v>28</v>
      </c>
      <c r="B30" s="441" t="s">
        <v>21</v>
      </c>
      <c r="C30" s="13"/>
      <c r="D30" s="34"/>
      <c r="E30" s="741"/>
      <c r="F30" s="737"/>
      <c r="G30" s="737"/>
      <c r="H30" s="584"/>
      <c r="I30" s="729"/>
    </row>
    <row r="31" spans="1:9" s="639" customFormat="1" ht="18" customHeight="1">
      <c r="A31" s="664" t="s">
        <v>29</v>
      </c>
      <c r="B31" s="55" t="s">
        <v>19</v>
      </c>
      <c r="C31" s="13"/>
      <c r="D31" s="34"/>
      <c r="E31" s="741"/>
      <c r="F31" s="737">
        <f>SUM(F32:F40)-F35</f>
        <v>19360</v>
      </c>
      <c r="G31" s="737">
        <f t="shared" ref="G31" si="8">SUM(G32:G40)-G35</f>
        <v>11829</v>
      </c>
      <c r="H31" s="584">
        <f t="shared" ref="H31" si="9">SUM(H32:H40)-H35</f>
        <v>7531</v>
      </c>
      <c r="I31" s="729"/>
    </row>
    <row r="32" spans="1:9" s="639" customFormat="1" ht="18" customHeight="1">
      <c r="A32" s="18" t="s">
        <v>742</v>
      </c>
      <c r="B32" s="669" t="s">
        <v>1905</v>
      </c>
      <c r="C32" s="13" t="s">
        <v>743</v>
      </c>
      <c r="D32" s="17">
        <v>12100</v>
      </c>
      <c r="E32" s="739">
        <v>0.4</v>
      </c>
      <c r="F32" s="16">
        <f t="shared" ref="F32:F39" si="10">SUM(G32:J32)</f>
        <v>19360</v>
      </c>
      <c r="G32" s="16">
        <v>11829</v>
      </c>
      <c r="H32" s="585">
        <v>7531</v>
      </c>
      <c r="I32" s="729"/>
    </row>
    <row r="33" spans="1:9" s="380" customFormat="1" ht="27" hidden="1" customHeight="1">
      <c r="A33" s="122" t="s">
        <v>742</v>
      </c>
      <c r="B33" s="221" t="s">
        <v>1906</v>
      </c>
      <c r="C33" s="112" t="s">
        <v>743</v>
      </c>
      <c r="D33" s="570"/>
      <c r="E33" s="578"/>
      <c r="F33" s="291">
        <f t="shared" si="10"/>
        <v>0</v>
      </c>
      <c r="G33" s="291"/>
      <c r="H33" s="585"/>
      <c r="I33" s="173" t="s">
        <v>1774</v>
      </c>
    </row>
    <row r="34" spans="1:9" s="380" customFormat="1" ht="18" hidden="1" customHeight="1">
      <c r="A34" s="122" t="s">
        <v>742</v>
      </c>
      <c r="B34" s="221" t="s">
        <v>1907</v>
      </c>
      <c r="C34" s="112" t="s">
        <v>743</v>
      </c>
      <c r="D34" s="570"/>
      <c r="E34" s="578"/>
      <c r="F34" s="291">
        <f t="shared" si="10"/>
        <v>0</v>
      </c>
      <c r="G34" s="291"/>
      <c r="H34" s="585"/>
      <c r="I34" s="173" t="s">
        <v>1774</v>
      </c>
    </row>
    <row r="35" spans="1:9" s="381" customFormat="1" ht="18" hidden="1" customHeight="1">
      <c r="A35" s="122" t="s">
        <v>742</v>
      </c>
      <c r="B35" s="221" t="s">
        <v>1908</v>
      </c>
      <c r="C35" s="112" t="s">
        <v>743</v>
      </c>
      <c r="D35" s="129"/>
      <c r="E35" s="577"/>
      <c r="F35" s="291"/>
      <c r="G35" s="291"/>
      <c r="H35" s="585"/>
      <c r="I35" s="173" t="s">
        <v>1774</v>
      </c>
    </row>
    <row r="36" spans="1:9" s="381" customFormat="1" ht="18" hidden="1" customHeight="1">
      <c r="A36" s="551"/>
      <c r="B36" s="571" t="s">
        <v>2292</v>
      </c>
      <c r="C36" s="119" t="s">
        <v>743</v>
      </c>
      <c r="D36" s="134"/>
      <c r="E36" s="579"/>
      <c r="F36" s="291">
        <f t="shared" si="10"/>
        <v>0</v>
      </c>
      <c r="G36" s="574"/>
      <c r="H36" s="586"/>
      <c r="I36" s="173" t="s">
        <v>1774</v>
      </c>
    </row>
    <row r="37" spans="1:9" s="381" customFormat="1" ht="18" hidden="1" customHeight="1">
      <c r="A37" s="551"/>
      <c r="B37" s="571" t="s">
        <v>744</v>
      </c>
      <c r="C37" s="119" t="s">
        <v>743</v>
      </c>
      <c r="D37" s="134"/>
      <c r="E37" s="579"/>
      <c r="F37" s="291">
        <f t="shared" si="10"/>
        <v>0</v>
      </c>
      <c r="G37" s="574"/>
      <c r="H37" s="586"/>
      <c r="I37" s="173" t="s">
        <v>1774</v>
      </c>
    </row>
    <row r="38" spans="1:9" s="380" customFormat="1" ht="26.25" hidden="1" customHeight="1">
      <c r="A38" s="122" t="s">
        <v>742</v>
      </c>
      <c r="B38" s="221" t="s">
        <v>1909</v>
      </c>
      <c r="C38" s="112" t="s">
        <v>743</v>
      </c>
      <c r="D38" s="129"/>
      <c r="E38" s="577"/>
      <c r="F38" s="291">
        <f t="shared" si="10"/>
        <v>0</v>
      </c>
      <c r="G38" s="291"/>
      <c r="H38" s="585"/>
      <c r="I38" s="173" t="s">
        <v>1774</v>
      </c>
    </row>
    <row r="39" spans="1:9" s="380" customFormat="1" ht="26.25" hidden="1" customHeight="1">
      <c r="A39" s="122" t="s">
        <v>742</v>
      </c>
      <c r="B39" s="572" t="s">
        <v>1910</v>
      </c>
      <c r="C39" s="112" t="s">
        <v>745</v>
      </c>
      <c r="D39" s="129"/>
      <c r="E39" s="577"/>
      <c r="F39" s="291">
        <f t="shared" si="10"/>
        <v>0</v>
      </c>
      <c r="G39" s="291"/>
      <c r="H39" s="585"/>
      <c r="I39" s="173" t="s">
        <v>1774</v>
      </c>
    </row>
    <row r="40" spans="1:9" s="381" customFormat="1" ht="18" hidden="1" customHeight="1">
      <c r="A40" s="122" t="s">
        <v>742</v>
      </c>
      <c r="B40" s="572" t="s">
        <v>1911</v>
      </c>
      <c r="C40" s="112"/>
      <c r="D40" s="129"/>
      <c r="E40" s="576"/>
      <c r="F40" s="291">
        <f>+SUM(G40:J40)</f>
        <v>0</v>
      </c>
      <c r="G40" s="291"/>
      <c r="H40" s="585"/>
      <c r="I40" s="173" t="s">
        <v>1774</v>
      </c>
    </row>
    <row r="41" spans="1:9" s="639" customFormat="1" ht="18" customHeight="1">
      <c r="A41" s="664" t="s">
        <v>30</v>
      </c>
      <c r="B41" s="441" t="s">
        <v>17</v>
      </c>
      <c r="C41" s="13"/>
      <c r="D41" s="34"/>
      <c r="E41" s="741"/>
      <c r="F41" s="737">
        <f>SUM(F42:F50)-F45</f>
        <v>99282.8</v>
      </c>
      <c r="G41" s="737">
        <f t="shared" ref="G41" si="11">SUM(G42:G50)-G45</f>
        <v>99282.8</v>
      </c>
      <c r="H41" s="584">
        <f t="shared" ref="H41" si="12">SUM(H42:H50)-H45</f>
        <v>0</v>
      </c>
      <c r="I41" s="729"/>
    </row>
    <row r="42" spans="1:9" s="639" customFormat="1" ht="18" customHeight="1">
      <c r="A42" s="18" t="s">
        <v>742</v>
      </c>
      <c r="B42" s="669" t="s">
        <v>1905</v>
      </c>
      <c r="C42" s="13" t="s">
        <v>743</v>
      </c>
      <c r="D42" s="17">
        <v>36200</v>
      </c>
      <c r="E42" s="739">
        <v>0.4</v>
      </c>
      <c r="F42" s="16">
        <f t="shared" ref="F42:F50" si="13">SUM(G42:J42)</f>
        <v>57920</v>
      </c>
      <c r="G42" s="16">
        <v>57920</v>
      </c>
      <c r="H42" s="585"/>
      <c r="I42" s="729"/>
    </row>
    <row r="43" spans="1:9" s="380" customFormat="1" ht="15" hidden="1" customHeight="1">
      <c r="A43" s="122" t="s">
        <v>742</v>
      </c>
      <c r="B43" s="221" t="s">
        <v>1906</v>
      </c>
      <c r="C43" s="112" t="s">
        <v>743</v>
      </c>
      <c r="D43" s="129"/>
      <c r="E43" s="577"/>
      <c r="F43" s="291">
        <f t="shared" si="13"/>
        <v>0</v>
      </c>
      <c r="G43" s="291"/>
      <c r="H43" s="585"/>
      <c r="I43" s="173" t="s">
        <v>1774</v>
      </c>
    </row>
    <row r="44" spans="1:9" s="380" customFormat="1" ht="18" hidden="1" customHeight="1">
      <c r="A44" s="122" t="s">
        <v>742</v>
      </c>
      <c r="B44" s="221" t="s">
        <v>1907</v>
      </c>
      <c r="C44" s="112" t="s">
        <v>743</v>
      </c>
      <c r="D44" s="292"/>
      <c r="E44" s="576"/>
      <c r="F44" s="291"/>
      <c r="G44" s="291"/>
      <c r="H44" s="585"/>
      <c r="I44" s="173" t="s">
        <v>1774</v>
      </c>
    </row>
    <row r="45" spans="1:9" s="639" customFormat="1" ht="18" customHeight="1">
      <c r="A45" s="18" t="s">
        <v>742</v>
      </c>
      <c r="B45" s="669" t="s">
        <v>1908</v>
      </c>
      <c r="C45" s="13" t="s">
        <v>743</v>
      </c>
      <c r="D45" s="17">
        <f>+D46+D47</f>
        <v>800</v>
      </c>
      <c r="E45" s="739"/>
      <c r="F45" s="16">
        <f t="shared" si="13"/>
        <v>8000</v>
      </c>
      <c r="G45" s="16">
        <f>+G46+G47</f>
        <v>8000</v>
      </c>
      <c r="H45" s="585">
        <f>+H46+H47</f>
        <v>0</v>
      </c>
      <c r="I45" s="729"/>
    </row>
    <row r="46" spans="1:9" s="381" customFormat="1" ht="18" hidden="1" customHeight="1">
      <c r="A46" s="551"/>
      <c r="B46" s="571" t="s">
        <v>2292</v>
      </c>
      <c r="C46" s="119" t="s">
        <v>743</v>
      </c>
      <c r="D46" s="573">
        <v>600</v>
      </c>
      <c r="E46" s="580">
        <v>10</v>
      </c>
      <c r="F46" s="574">
        <f t="shared" si="13"/>
        <v>6000</v>
      </c>
      <c r="G46" s="574">
        <v>6000</v>
      </c>
      <c r="H46" s="586"/>
      <c r="I46" s="173" t="s">
        <v>1774</v>
      </c>
    </row>
    <row r="47" spans="1:9" s="381" customFormat="1" ht="18" hidden="1" customHeight="1">
      <c r="A47" s="551"/>
      <c r="B47" s="571" t="s">
        <v>744</v>
      </c>
      <c r="C47" s="119" t="s">
        <v>743</v>
      </c>
      <c r="D47" s="573">
        <v>200</v>
      </c>
      <c r="E47" s="580">
        <v>10</v>
      </c>
      <c r="F47" s="574">
        <f t="shared" si="13"/>
        <v>2000</v>
      </c>
      <c r="G47" s="574">
        <v>2000</v>
      </c>
      <c r="H47" s="586"/>
      <c r="I47" s="173" t="s">
        <v>1774</v>
      </c>
    </row>
    <row r="48" spans="1:9" s="639" customFormat="1" ht="18" customHeight="1">
      <c r="A48" s="18" t="s">
        <v>742</v>
      </c>
      <c r="B48" s="669" t="s">
        <v>1909</v>
      </c>
      <c r="C48" s="13" t="s">
        <v>743</v>
      </c>
      <c r="D48" s="17">
        <v>80</v>
      </c>
      <c r="E48" s="739">
        <v>30</v>
      </c>
      <c r="F48" s="16">
        <f t="shared" si="13"/>
        <v>2400</v>
      </c>
      <c r="G48" s="16">
        <v>2400</v>
      </c>
      <c r="H48" s="585"/>
      <c r="I48" s="729"/>
    </row>
    <row r="49" spans="1:9" s="639" customFormat="1" ht="30" customHeight="1">
      <c r="A49" s="18" t="s">
        <v>742</v>
      </c>
      <c r="B49" s="572" t="s">
        <v>1910</v>
      </c>
      <c r="C49" s="13" t="s">
        <v>745</v>
      </c>
      <c r="D49" s="17">
        <v>911</v>
      </c>
      <c r="E49" s="739"/>
      <c r="F49" s="16">
        <f t="shared" si="13"/>
        <v>26236.799999999999</v>
      </c>
      <c r="G49" s="16">
        <f>D49*4*15*6*4*0.02</f>
        <v>26236.799999999999</v>
      </c>
      <c r="H49" s="585"/>
      <c r="I49" s="729"/>
    </row>
    <row r="50" spans="1:9" s="639" customFormat="1" ht="18" customHeight="1">
      <c r="A50" s="18" t="s">
        <v>742</v>
      </c>
      <c r="B50" s="572" t="s">
        <v>2293</v>
      </c>
      <c r="C50" s="13"/>
      <c r="D50" s="17"/>
      <c r="E50" s="739"/>
      <c r="F50" s="16">
        <f t="shared" si="13"/>
        <v>4726</v>
      </c>
      <c r="G50" s="16">
        <v>4726</v>
      </c>
      <c r="H50" s="585"/>
      <c r="I50" s="729"/>
    </row>
    <row r="51" spans="1:9" s="639" customFormat="1" ht="18" customHeight="1">
      <c r="A51" s="664" t="s">
        <v>31</v>
      </c>
      <c r="B51" s="441" t="s">
        <v>15</v>
      </c>
      <c r="C51" s="13"/>
      <c r="D51" s="34"/>
      <c r="E51" s="741"/>
      <c r="F51" s="737">
        <f>SUM(F52:F60)-F55</f>
        <v>184566</v>
      </c>
      <c r="G51" s="737">
        <f t="shared" ref="G51" si="14">SUM(G52:G60)-G55</f>
        <v>184566</v>
      </c>
      <c r="H51" s="584">
        <f t="shared" ref="H51" si="15">SUM(H52:H60)-H55</f>
        <v>0</v>
      </c>
      <c r="I51" s="729"/>
    </row>
    <row r="52" spans="1:9" s="639" customFormat="1" ht="18" customHeight="1">
      <c r="A52" s="18" t="s">
        <v>742</v>
      </c>
      <c r="B52" s="669" t="s">
        <v>1905</v>
      </c>
      <c r="C52" s="13" t="s">
        <v>743</v>
      </c>
      <c r="D52" s="17">
        <v>42670</v>
      </c>
      <c r="E52" s="739">
        <v>0.4</v>
      </c>
      <c r="F52" s="16">
        <f t="shared" ref="F52:F60" si="16">SUM(G52:J52)</f>
        <v>68272</v>
      </c>
      <c r="G52" s="16">
        <v>68272</v>
      </c>
      <c r="H52" s="585"/>
      <c r="I52" s="729"/>
    </row>
    <row r="53" spans="1:9" s="380" customFormat="1" ht="15" hidden="1" customHeight="1">
      <c r="A53" s="122" t="s">
        <v>742</v>
      </c>
      <c r="B53" s="221" t="s">
        <v>1906</v>
      </c>
      <c r="C53" s="112" t="s">
        <v>743</v>
      </c>
      <c r="D53" s="129"/>
      <c r="E53" s="577"/>
      <c r="F53" s="291">
        <f t="shared" si="16"/>
        <v>0</v>
      </c>
      <c r="G53" s="291"/>
      <c r="H53" s="585"/>
      <c r="I53" s="173" t="s">
        <v>1774</v>
      </c>
    </row>
    <row r="54" spans="1:9" s="380" customFormat="1" ht="18" hidden="1" customHeight="1">
      <c r="A54" s="122" t="s">
        <v>742</v>
      </c>
      <c r="B54" s="221" t="s">
        <v>1907</v>
      </c>
      <c r="C54" s="112" t="s">
        <v>743</v>
      </c>
      <c r="D54" s="292"/>
      <c r="E54" s="576"/>
      <c r="F54" s="291"/>
      <c r="G54" s="291"/>
      <c r="H54" s="585"/>
      <c r="I54" s="173" t="s">
        <v>1774</v>
      </c>
    </row>
    <row r="55" spans="1:9" s="639" customFormat="1" ht="18" customHeight="1">
      <c r="A55" s="18" t="s">
        <v>742</v>
      </c>
      <c r="B55" s="669" t="s">
        <v>1908</v>
      </c>
      <c r="C55" s="13" t="s">
        <v>743</v>
      </c>
      <c r="D55" s="17">
        <f>+D56+D57</f>
        <v>1250</v>
      </c>
      <c r="E55" s="739"/>
      <c r="F55" s="16">
        <f t="shared" si="16"/>
        <v>12500</v>
      </c>
      <c r="G55" s="16">
        <f>+G56+G57</f>
        <v>12500</v>
      </c>
      <c r="H55" s="585">
        <f>+H56+H57</f>
        <v>0</v>
      </c>
      <c r="I55" s="729"/>
    </row>
    <row r="56" spans="1:9" s="381" customFormat="1" ht="18" hidden="1" customHeight="1">
      <c r="A56" s="551"/>
      <c r="B56" s="571" t="s">
        <v>2292</v>
      </c>
      <c r="C56" s="119" t="s">
        <v>743</v>
      </c>
      <c r="D56" s="573">
        <v>750</v>
      </c>
      <c r="E56" s="580">
        <v>10</v>
      </c>
      <c r="F56" s="574">
        <f t="shared" si="16"/>
        <v>7500</v>
      </c>
      <c r="G56" s="574">
        <v>7500</v>
      </c>
      <c r="H56" s="586"/>
      <c r="I56" s="173" t="s">
        <v>1774</v>
      </c>
    </row>
    <row r="57" spans="1:9" s="381" customFormat="1" ht="18" hidden="1" customHeight="1">
      <c r="A57" s="551"/>
      <c r="B57" s="571" t="s">
        <v>744</v>
      </c>
      <c r="C57" s="119" t="s">
        <v>743</v>
      </c>
      <c r="D57" s="573">
        <v>500</v>
      </c>
      <c r="E57" s="580">
        <v>10</v>
      </c>
      <c r="F57" s="574">
        <f t="shared" si="16"/>
        <v>5000</v>
      </c>
      <c r="G57" s="574">
        <v>5000</v>
      </c>
      <c r="H57" s="586"/>
      <c r="I57" s="173" t="s">
        <v>1774</v>
      </c>
    </row>
    <row r="58" spans="1:9" s="639" customFormat="1" ht="18" customHeight="1">
      <c r="A58" s="18" t="s">
        <v>742</v>
      </c>
      <c r="B58" s="669" t="s">
        <v>1909</v>
      </c>
      <c r="C58" s="13" t="s">
        <v>743</v>
      </c>
      <c r="D58" s="17">
        <v>250</v>
      </c>
      <c r="E58" s="739">
        <v>30</v>
      </c>
      <c r="F58" s="16">
        <f t="shared" si="16"/>
        <v>7500</v>
      </c>
      <c r="G58" s="16">
        <v>7500</v>
      </c>
      <c r="H58" s="585"/>
      <c r="I58" s="729"/>
    </row>
    <row r="59" spans="1:9" s="639" customFormat="1" ht="30" customHeight="1">
      <c r="A59" s="18" t="s">
        <v>742</v>
      </c>
      <c r="B59" s="572" t="s">
        <v>1910</v>
      </c>
      <c r="C59" s="13" t="s">
        <v>745</v>
      </c>
      <c r="D59" s="17">
        <v>2225</v>
      </c>
      <c r="E59" s="739"/>
      <c r="F59" s="16">
        <f t="shared" si="16"/>
        <v>64080</v>
      </c>
      <c r="G59" s="16">
        <f>D59*4*15*6*4*0.02</f>
        <v>64080</v>
      </c>
      <c r="H59" s="585"/>
      <c r="I59" s="729"/>
    </row>
    <row r="60" spans="1:9" s="639" customFormat="1" ht="18" customHeight="1">
      <c r="A60" s="18" t="s">
        <v>742</v>
      </c>
      <c r="B60" s="572" t="s">
        <v>2293</v>
      </c>
      <c r="C60" s="13"/>
      <c r="D60" s="17"/>
      <c r="E60" s="739"/>
      <c r="F60" s="16">
        <f t="shared" si="16"/>
        <v>32214</v>
      </c>
      <c r="G60" s="16">
        <v>32214</v>
      </c>
      <c r="H60" s="585">
        <f>+(H52+H55+H58)*7%</f>
        <v>0</v>
      </c>
      <c r="I60" s="729"/>
    </row>
    <row r="61" spans="1:9" s="639" customFormat="1" ht="18" customHeight="1">
      <c r="A61" s="742" t="s">
        <v>80</v>
      </c>
      <c r="B61" s="441" t="s">
        <v>13</v>
      </c>
      <c r="C61" s="13"/>
      <c r="D61" s="34"/>
      <c r="E61" s="741"/>
      <c r="F61" s="737">
        <f>SUM(F62:F70)-F65</f>
        <v>226919.40000000002</v>
      </c>
      <c r="G61" s="737">
        <f t="shared" ref="G61" si="17">SUM(G62:G70)-G65</f>
        <v>226919.40000000002</v>
      </c>
      <c r="H61" s="584">
        <f t="shared" ref="H61" si="18">SUM(H62:H70)-H65</f>
        <v>0</v>
      </c>
      <c r="I61" s="729"/>
    </row>
    <row r="62" spans="1:9" s="639" customFormat="1" ht="18" customHeight="1">
      <c r="A62" s="18" t="s">
        <v>742</v>
      </c>
      <c r="B62" s="669" t="s">
        <v>1905</v>
      </c>
      <c r="C62" s="13" t="s">
        <v>743</v>
      </c>
      <c r="D62" s="17">
        <v>56660</v>
      </c>
      <c r="E62" s="739">
        <v>0.4</v>
      </c>
      <c r="F62" s="16">
        <f t="shared" ref="F62:F70" si="19">SUM(G62:J62)</f>
        <v>90656</v>
      </c>
      <c r="G62" s="16">
        <v>90656</v>
      </c>
      <c r="H62" s="585"/>
      <c r="I62" s="729"/>
    </row>
    <row r="63" spans="1:9" s="380" customFormat="1" ht="18" hidden="1" customHeight="1">
      <c r="A63" s="122" t="s">
        <v>742</v>
      </c>
      <c r="B63" s="221" t="s">
        <v>1906</v>
      </c>
      <c r="C63" s="112" t="s">
        <v>743</v>
      </c>
      <c r="D63" s="129"/>
      <c r="E63" s="577"/>
      <c r="F63" s="291">
        <f t="shared" si="19"/>
        <v>0</v>
      </c>
      <c r="G63" s="291"/>
      <c r="H63" s="585"/>
      <c r="I63" s="173" t="s">
        <v>1774</v>
      </c>
    </row>
    <row r="64" spans="1:9" s="380" customFormat="1" ht="18" hidden="1" customHeight="1">
      <c r="A64" s="122" t="s">
        <v>742</v>
      </c>
      <c r="B64" s="221" t="s">
        <v>1907</v>
      </c>
      <c r="C64" s="112" t="s">
        <v>743</v>
      </c>
      <c r="D64" s="292"/>
      <c r="E64" s="576"/>
      <c r="F64" s="291"/>
      <c r="G64" s="291"/>
      <c r="H64" s="585"/>
      <c r="I64" s="173" t="s">
        <v>1774</v>
      </c>
    </row>
    <row r="65" spans="1:9" s="639" customFormat="1" ht="18" customHeight="1">
      <c r="A65" s="18" t="s">
        <v>742</v>
      </c>
      <c r="B65" s="669" t="s">
        <v>1908</v>
      </c>
      <c r="C65" s="13" t="s">
        <v>743</v>
      </c>
      <c r="D65" s="17">
        <f>+D66+D67</f>
        <v>1490</v>
      </c>
      <c r="E65" s="739"/>
      <c r="F65" s="16">
        <f t="shared" si="19"/>
        <v>14900</v>
      </c>
      <c r="G65" s="16">
        <f>+G66+G67</f>
        <v>14900</v>
      </c>
      <c r="H65" s="585">
        <f>+H66+H67</f>
        <v>0</v>
      </c>
      <c r="I65" s="729"/>
    </row>
    <row r="66" spans="1:9" s="380" customFormat="1" ht="18" hidden="1" customHeight="1">
      <c r="A66" s="551"/>
      <c r="B66" s="571" t="s">
        <v>2292</v>
      </c>
      <c r="C66" s="119" t="s">
        <v>743</v>
      </c>
      <c r="D66" s="573">
        <v>1340</v>
      </c>
      <c r="E66" s="580">
        <v>10</v>
      </c>
      <c r="F66" s="574">
        <f t="shared" si="19"/>
        <v>13400</v>
      </c>
      <c r="G66" s="574">
        <v>13400</v>
      </c>
      <c r="H66" s="586"/>
      <c r="I66" s="173" t="s">
        <v>1774</v>
      </c>
    </row>
    <row r="67" spans="1:9" s="380" customFormat="1" ht="18" hidden="1" customHeight="1">
      <c r="A67" s="551"/>
      <c r="B67" s="571" t="s">
        <v>744</v>
      </c>
      <c r="C67" s="119" t="s">
        <v>743</v>
      </c>
      <c r="D67" s="573">
        <v>150</v>
      </c>
      <c r="E67" s="580">
        <v>10</v>
      </c>
      <c r="F67" s="574">
        <f t="shared" si="19"/>
        <v>1500</v>
      </c>
      <c r="G67" s="574">
        <v>1500</v>
      </c>
      <c r="H67" s="586"/>
      <c r="I67" s="173" t="s">
        <v>1774</v>
      </c>
    </row>
    <row r="68" spans="1:9" s="639" customFormat="1" ht="18" customHeight="1">
      <c r="A68" s="18" t="s">
        <v>742</v>
      </c>
      <c r="B68" s="669" t="s">
        <v>1909</v>
      </c>
      <c r="C68" s="13" t="s">
        <v>743</v>
      </c>
      <c r="D68" s="17">
        <v>280</v>
      </c>
      <c r="E68" s="739">
        <v>30</v>
      </c>
      <c r="F68" s="16">
        <f t="shared" si="19"/>
        <v>8400</v>
      </c>
      <c r="G68" s="16">
        <v>8400</v>
      </c>
      <c r="H68" s="585"/>
      <c r="I68" s="729"/>
    </row>
    <row r="69" spans="1:9" s="639" customFormat="1" ht="30" customHeight="1">
      <c r="A69" s="18" t="s">
        <v>742</v>
      </c>
      <c r="B69" s="572" t="s">
        <v>1910</v>
      </c>
      <c r="C69" s="13" t="s">
        <v>745</v>
      </c>
      <c r="D69" s="17">
        <v>2713</v>
      </c>
      <c r="E69" s="739"/>
      <c r="F69" s="16">
        <f t="shared" si="19"/>
        <v>78134.400000000009</v>
      </c>
      <c r="G69" s="16">
        <f>D69*4*15*6*4*0.02</f>
        <v>78134.400000000009</v>
      </c>
      <c r="H69" s="585"/>
      <c r="I69" s="729"/>
    </row>
    <row r="70" spans="1:9" s="639" customFormat="1" ht="18" customHeight="1">
      <c r="A70" s="18" t="s">
        <v>742</v>
      </c>
      <c r="B70" s="572" t="s">
        <v>2293</v>
      </c>
      <c r="C70" s="13"/>
      <c r="D70" s="17"/>
      <c r="E70" s="739"/>
      <c r="F70" s="16">
        <f t="shared" si="19"/>
        <v>34829</v>
      </c>
      <c r="G70" s="16">
        <v>34829</v>
      </c>
      <c r="H70" s="585"/>
      <c r="I70" s="729"/>
    </row>
    <row r="71" spans="1:9" s="639" customFormat="1" ht="18" customHeight="1">
      <c r="A71" s="26" t="s">
        <v>81</v>
      </c>
      <c r="B71" s="441" t="s">
        <v>11</v>
      </c>
      <c r="C71" s="441"/>
      <c r="D71" s="34"/>
      <c r="E71" s="741"/>
      <c r="F71" s="737">
        <f>SUM(F72:F80)-F75</f>
        <v>287268.8</v>
      </c>
      <c r="G71" s="737">
        <f t="shared" ref="G71:H71" si="20">SUM(G72:G80)-G75</f>
        <v>238674.8</v>
      </c>
      <c r="H71" s="584">
        <f t="shared" si="20"/>
        <v>48594</v>
      </c>
      <c r="I71" s="729"/>
    </row>
    <row r="72" spans="1:9" s="639" customFormat="1" ht="18" customHeight="1">
      <c r="A72" s="18" t="s">
        <v>742</v>
      </c>
      <c r="B72" s="669" t="s">
        <v>1905</v>
      </c>
      <c r="C72" s="13" t="s">
        <v>743</v>
      </c>
      <c r="D72" s="17">
        <v>148690</v>
      </c>
      <c r="E72" s="739">
        <v>0.4</v>
      </c>
      <c r="F72" s="16">
        <f t="shared" ref="F72" si="21">SUM(G72:J72)</f>
        <v>237904</v>
      </c>
      <c r="G72" s="20">
        <v>190330</v>
      </c>
      <c r="H72" s="266">
        <v>47574</v>
      </c>
      <c r="I72" s="729"/>
    </row>
    <row r="73" spans="1:9" s="380" customFormat="1" ht="18" hidden="1" customHeight="1">
      <c r="A73" s="122" t="s">
        <v>742</v>
      </c>
      <c r="B73" s="221" t="s">
        <v>1906</v>
      </c>
      <c r="C73" s="112" t="s">
        <v>743</v>
      </c>
      <c r="D73" s="129"/>
      <c r="E73" s="577"/>
      <c r="F73" s="291">
        <f t="shared" ref="F73:F80" si="22">SUM(G73:J73)</f>
        <v>0</v>
      </c>
      <c r="G73" s="155"/>
      <c r="H73" s="266"/>
      <c r="I73" s="173" t="s">
        <v>1774</v>
      </c>
    </row>
    <row r="74" spans="1:9" s="380" customFormat="1" ht="18" hidden="1" customHeight="1">
      <c r="A74" s="122" t="s">
        <v>742</v>
      </c>
      <c r="B74" s="221" t="s">
        <v>1907</v>
      </c>
      <c r="C74" s="112" t="s">
        <v>743</v>
      </c>
      <c r="D74" s="129"/>
      <c r="E74" s="577"/>
      <c r="F74" s="291">
        <f t="shared" si="22"/>
        <v>0</v>
      </c>
      <c r="G74" s="155"/>
      <c r="H74" s="266"/>
      <c r="I74" s="173" t="s">
        <v>1774</v>
      </c>
    </row>
    <row r="75" spans="1:9" s="639" customFormat="1" ht="18" customHeight="1">
      <c r="A75" s="18" t="s">
        <v>742</v>
      </c>
      <c r="B75" s="669" t="s">
        <v>1908</v>
      </c>
      <c r="C75" s="13" t="s">
        <v>743</v>
      </c>
      <c r="D75" s="17">
        <f>+D76+D77</f>
        <v>1690</v>
      </c>
      <c r="E75" s="739"/>
      <c r="F75" s="16">
        <f t="shared" si="22"/>
        <v>16900</v>
      </c>
      <c r="G75" s="16">
        <f>+G76+G77</f>
        <v>16080</v>
      </c>
      <c r="H75" s="585">
        <f>+H76+H77</f>
        <v>820</v>
      </c>
      <c r="I75" s="729"/>
    </row>
    <row r="76" spans="1:9" s="380" customFormat="1" ht="18" hidden="1" customHeight="1">
      <c r="A76" s="551"/>
      <c r="B76" s="571" t="s">
        <v>2292</v>
      </c>
      <c r="C76" s="119" t="s">
        <v>743</v>
      </c>
      <c r="D76" s="573">
        <v>860</v>
      </c>
      <c r="E76" s="580">
        <v>10</v>
      </c>
      <c r="F76" s="574">
        <f t="shared" si="22"/>
        <v>8600</v>
      </c>
      <c r="G76" s="574">
        <v>8180</v>
      </c>
      <c r="H76" s="586">
        <v>420</v>
      </c>
      <c r="I76" s="173" t="s">
        <v>1774</v>
      </c>
    </row>
    <row r="77" spans="1:9" s="380" customFormat="1" ht="18" hidden="1" customHeight="1">
      <c r="A77" s="551"/>
      <c r="B77" s="571" t="s">
        <v>744</v>
      </c>
      <c r="C77" s="119" t="s">
        <v>743</v>
      </c>
      <c r="D77" s="573">
        <v>830</v>
      </c>
      <c r="E77" s="580">
        <v>10</v>
      </c>
      <c r="F77" s="574">
        <f t="shared" si="22"/>
        <v>8300</v>
      </c>
      <c r="G77" s="574">
        <v>7900</v>
      </c>
      <c r="H77" s="586">
        <v>400</v>
      </c>
      <c r="I77" s="173" t="s">
        <v>1774</v>
      </c>
    </row>
    <row r="78" spans="1:9" s="639" customFormat="1" ht="18" customHeight="1">
      <c r="A78" s="18" t="s">
        <v>742</v>
      </c>
      <c r="B78" s="669" t="s">
        <v>1909</v>
      </c>
      <c r="C78" s="13" t="s">
        <v>743</v>
      </c>
      <c r="D78" s="17">
        <v>150</v>
      </c>
      <c r="E78" s="739">
        <v>30</v>
      </c>
      <c r="F78" s="16">
        <f t="shared" si="22"/>
        <v>4500</v>
      </c>
      <c r="G78" s="16">
        <v>4300</v>
      </c>
      <c r="H78" s="585">
        <v>200</v>
      </c>
      <c r="I78" s="729"/>
    </row>
    <row r="79" spans="1:9" s="639" customFormat="1" ht="30" customHeight="1">
      <c r="A79" s="18" t="s">
        <v>742</v>
      </c>
      <c r="B79" s="572" t="s">
        <v>1910</v>
      </c>
      <c r="C79" s="13" t="s">
        <v>745</v>
      </c>
      <c r="D79" s="17">
        <v>971</v>
      </c>
      <c r="E79" s="739"/>
      <c r="F79" s="16">
        <f t="shared" si="22"/>
        <v>27964.799999999999</v>
      </c>
      <c r="G79" s="16">
        <f>D79*4*15*6*4*0.02</f>
        <v>27964.799999999999</v>
      </c>
      <c r="H79" s="585"/>
      <c r="I79" s="729"/>
    </row>
    <row r="80" spans="1:9" s="380" customFormat="1" ht="13" hidden="1">
      <c r="A80" s="122" t="s">
        <v>742</v>
      </c>
      <c r="B80" s="572" t="s">
        <v>1911</v>
      </c>
      <c r="C80" s="112"/>
      <c r="D80" s="292"/>
      <c r="E80" s="581"/>
      <c r="F80" s="291">
        <f t="shared" si="22"/>
        <v>0</v>
      </c>
      <c r="G80" s="291"/>
      <c r="H80" s="585"/>
      <c r="I80" s="173" t="s">
        <v>1774</v>
      </c>
    </row>
    <row r="81" spans="1:9" s="175" customFormat="1" ht="18" customHeight="1">
      <c r="A81" s="743" t="s">
        <v>1612</v>
      </c>
      <c r="B81" s="677" t="s">
        <v>1912</v>
      </c>
      <c r="C81" s="730"/>
      <c r="D81" s="744"/>
      <c r="E81" s="744"/>
      <c r="F81" s="679"/>
      <c r="G81" s="745"/>
      <c r="H81" s="587"/>
      <c r="I81" s="730"/>
    </row>
    <row r="82" spans="1:9" ht="12" customHeight="1"/>
    <row r="83" spans="1:9">
      <c r="A83" s="1789" t="s">
        <v>2463</v>
      </c>
      <c r="B83" s="1789"/>
      <c r="C83" s="1789"/>
      <c r="D83" s="1789"/>
      <c r="E83" s="1789"/>
      <c r="F83" s="1789"/>
      <c r="G83" s="1789"/>
      <c r="H83" s="1790"/>
      <c r="I83" s="1789"/>
    </row>
    <row r="93" spans="1:9">
      <c r="D93" s="731"/>
      <c r="E93" s="731"/>
    </row>
    <row r="94" spans="1:9">
      <c r="D94" s="731"/>
      <c r="E94" s="731"/>
    </row>
    <row r="95" spans="1:9">
      <c r="D95" s="731"/>
      <c r="E95" s="731"/>
    </row>
    <row r="96" spans="1:9">
      <c r="D96" s="731"/>
      <c r="E96" s="731"/>
    </row>
    <row r="97" spans="8:8" s="731" customFormat="1">
      <c r="H97" s="588"/>
    </row>
    <row r="98" spans="8:8" s="731" customFormat="1">
      <c r="H98" s="588"/>
    </row>
    <row r="99" spans="8:8" s="731" customFormat="1">
      <c r="H99" s="588"/>
    </row>
    <row r="100" spans="8:8" s="731" customFormat="1">
      <c r="H100" s="588"/>
    </row>
    <row r="101" spans="8:8" s="731" customFormat="1">
      <c r="H101" s="588"/>
    </row>
    <row r="102" spans="8:8" s="731" customFormat="1">
      <c r="H102" s="588"/>
    </row>
    <row r="103" spans="8:8" s="731" customFormat="1">
      <c r="H103" s="588"/>
    </row>
    <row r="104" spans="8:8" s="731" customFormat="1">
      <c r="H104" s="588"/>
    </row>
    <row r="105" spans="8:8" s="731" customFormat="1">
      <c r="H105" s="588"/>
    </row>
    <row r="106" spans="8:8" s="731" customFormat="1">
      <c r="H106" s="588"/>
    </row>
    <row r="107" spans="8:8" s="731" customFormat="1">
      <c r="H107" s="588"/>
    </row>
    <row r="108" spans="8:8" s="731" customFormat="1">
      <c r="H108" s="588"/>
    </row>
    <row r="109" spans="8:8" s="731" customFormat="1">
      <c r="H109" s="588"/>
    </row>
    <row r="110" spans="8:8" s="731" customFormat="1">
      <c r="H110" s="588"/>
    </row>
    <row r="111" spans="8:8" s="731" customFormat="1">
      <c r="H111" s="588"/>
    </row>
    <row r="112" spans="8:8" s="731" customFormat="1">
      <c r="H112" s="588"/>
    </row>
    <row r="113" spans="8:8" s="731" customFormat="1">
      <c r="H113" s="588"/>
    </row>
    <row r="114" spans="8:8" s="731" customFormat="1">
      <c r="H114" s="588"/>
    </row>
    <row r="115" spans="8:8" s="731" customFormat="1">
      <c r="H115" s="588"/>
    </row>
    <row r="116" spans="8:8" s="731" customFormat="1">
      <c r="H116" s="588"/>
    </row>
    <row r="117" spans="8:8" s="731" customFormat="1">
      <c r="H117" s="588"/>
    </row>
    <row r="118" spans="8:8" s="731" customFormat="1">
      <c r="H118" s="588"/>
    </row>
    <row r="119" spans="8:8" s="731" customFormat="1">
      <c r="H119" s="588"/>
    </row>
    <row r="120" spans="8:8" s="731" customFormat="1">
      <c r="H120" s="588"/>
    </row>
    <row r="121" spans="8:8" s="731" customFormat="1">
      <c r="H121" s="588"/>
    </row>
    <row r="122" spans="8:8" s="731" customFormat="1">
      <c r="H122" s="588"/>
    </row>
    <row r="123" spans="8:8" s="731" customFormat="1">
      <c r="H123" s="588"/>
    </row>
    <row r="124" spans="8:8" s="731" customFormat="1">
      <c r="H124" s="588"/>
    </row>
    <row r="125" spans="8:8" s="731" customFormat="1">
      <c r="H125" s="588"/>
    </row>
    <row r="126" spans="8:8" s="731" customFormat="1">
      <c r="H126" s="588"/>
    </row>
    <row r="127" spans="8:8" s="731" customFormat="1">
      <c r="H127" s="588"/>
    </row>
    <row r="128" spans="8:8" s="731" customFormat="1">
      <c r="H128" s="588"/>
    </row>
    <row r="129" spans="8:8" s="731" customFormat="1">
      <c r="H129" s="588"/>
    </row>
    <row r="130" spans="8:8" s="731" customFormat="1">
      <c r="H130" s="588"/>
    </row>
    <row r="131" spans="8:8" s="731" customFormat="1">
      <c r="H131" s="588"/>
    </row>
    <row r="132" spans="8:8" s="731" customFormat="1">
      <c r="H132" s="588"/>
    </row>
    <row r="133" spans="8:8" s="731" customFormat="1">
      <c r="H133" s="588"/>
    </row>
    <row r="134" spans="8:8" s="731" customFormat="1">
      <c r="H134" s="588"/>
    </row>
    <row r="135" spans="8:8" s="731" customFormat="1">
      <c r="H135" s="588"/>
    </row>
    <row r="136" spans="8:8" s="731" customFormat="1">
      <c r="H136" s="588"/>
    </row>
    <row r="137" spans="8:8" s="731" customFormat="1">
      <c r="H137" s="588"/>
    </row>
    <row r="138" spans="8:8" s="731" customFormat="1">
      <c r="H138" s="588"/>
    </row>
    <row r="139" spans="8:8" s="731" customFormat="1">
      <c r="H139" s="588"/>
    </row>
    <row r="140" spans="8:8" s="731" customFormat="1">
      <c r="H140" s="588"/>
    </row>
    <row r="141" spans="8:8" s="731" customFormat="1">
      <c r="H141" s="588"/>
    </row>
    <row r="142" spans="8:8" s="731" customFormat="1">
      <c r="H142" s="588"/>
    </row>
    <row r="143" spans="8:8" s="731" customFormat="1">
      <c r="H143" s="588"/>
    </row>
    <row r="144" spans="8:8" s="731" customFormat="1">
      <c r="H144" s="588"/>
    </row>
    <row r="145" spans="8:8" s="731" customFormat="1">
      <c r="H145" s="588"/>
    </row>
    <row r="146" spans="8:8" s="731" customFormat="1">
      <c r="H146" s="588"/>
    </row>
    <row r="147" spans="8:8" s="731" customFormat="1">
      <c r="H147" s="588"/>
    </row>
    <row r="148" spans="8:8" s="731" customFormat="1">
      <c r="H148" s="588"/>
    </row>
    <row r="149" spans="8:8" s="731" customFormat="1">
      <c r="H149" s="588"/>
    </row>
    <row r="150" spans="8:8" s="731" customFormat="1">
      <c r="H150" s="588"/>
    </row>
    <row r="151" spans="8:8" s="731" customFormat="1">
      <c r="H151" s="588"/>
    </row>
    <row r="152" spans="8:8" s="731" customFormat="1">
      <c r="H152" s="588"/>
    </row>
    <row r="153" spans="8:8" s="731" customFormat="1">
      <c r="H153" s="588"/>
    </row>
    <row r="154" spans="8:8" s="731" customFormat="1">
      <c r="H154" s="588"/>
    </row>
    <row r="155" spans="8:8" s="731" customFormat="1">
      <c r="H155" s="588"/>
    </row>
    <row r="156" spans="8:8" s="731" customFormat="1">
      <c r="H156" s="588"/>
    </row>
    <row r="157" spans="8:8" s="731" customFormat="1">
      <c r="H157" s="588"/>
    </row>
    <row r="158" spans="8:8" s="731" customFormat="1">
      <c r="H158" s="588"/>
    </row>
    <row r="159" spans="8:8" s="731" customFormat="1">
      <c r="H159" s="588"/>
    </row>
    <row r="160" spans="8:8" s="731" customFormat="1">
      <c r="H160" s="588"/>
    </row>
    <row r="161" spans="8:8" s="731" customFormat="1">
      <c r="H161" s="588"/>
    </row>
    <row r="162" spans="8:8" s="731" customFormat="1">
      <c r="H162" s="588"/>
    </row>
    <row r="163" spans="8:8" s="731" customFormat="1">
      <c r="H163" s="588"/>
    </row>
    <row r="164" spans="8:8" s="731" customFormat="1">
      <c r="H164" s="588"/>
    </row>
    <row r="165" spans="8:8" s="731" customFormat="1">
      <c r="H165" s="588"/>
    </row>
    <row r="166" spans="8:8" s="731" customFormat="1">
      <c r="H166" s="588"/>
    </row>
    <row r="167" spans="8:8" s="731" customFormat="1">
      <c r="H167" s="588"/>
    </row>
    <row r="168" spans="8:8" s="731" customFormat="1">
      <c r="H168" s="588"/>
    </row>
    <row r="169" spans="8:8" s="731" customFormat="1">
      <c r="H169" s="588"/>
    </row>
    <row r="170" spans="8:8" s="731" customFormat="1">
      <c r="H170" s="588"/>
    </row>
    <row r="171" spans="8:8" s="731" customFormat="1">
      <c r="H171" s="588"/>
    </row>
    <row r="172" spans="8:8" s="731" customFormat="1">
      <c r="H172" s="588"/>
    </row>
    <row r="173" spans="8:8" s="731" customFormat="1">
      <c r="H173" s="588"/>
    </row>
    <row r="174" spans="8:8" s="731" customFormat="1">
      <c r="H174" s="588"/>
    </row>
    <row r="175" spans="8:8" s="731" customFormat="1">
      <c r="H175" s="588"/>
    </row>
    <row r="176" spans="8:8" s="731" customFormat="1">
      <c r="H176" s="588"/>
    </row>
    <row r="177" spans="8:8" s="731" customFormat="1">
      <c r="H177" s="588"/>
    </row>
    <row r="178" spans="8:8" s="731" customFormat="1">
      <c r="H178" s="588"/>
    </row>
    <row r="179" spans="8:8" s="731" customFormat="1">
      <c r="H179" s="588"/>
    </row>
    <row r="180" spans="8:8" s="731" customFormat="1">
      <c r="H180" s="588"/>
    </row>
    <row r="181" spans="8:8" s="731" customFormat="1">
      <c r="H181" s="588"/>
    </row>
    <row r="182" spans="8:8" s="731" customFormat="1">
      <c r="H182" s="588"/>
    </row>
    <row r="183" spans="8:8" s="731" customFormat="1">
      <c r="H183" s="588"/>
    </row>
    <row r="184" spans="8:8" s="731" customFormat="1">
      <c r="H184" s="588"/>
    </row>
    <row r="185" spans="8:8" s="731" customFormat="1">
      <c r="H185" s="588"/>
    </row>
    <row r="186" spans="8:8" s="731" customFormat="1">
      <c r="H186" s="588"/>
    </row>
    <row r="187" spans="8:8" s="731" customFormat="1">
      <c r="H187" s="588"/>
    </row>
    <row r="188" spans="8:8" s="731" customFormat="1">
      <c r="H188" s="588"/>
    </row>
    <row r="189" spans="8:8" s="731" customFormat="1">
      <c r="H189" s="588"/>
    </row>
    <row r="190" spans="8:8" s="731" customFormat="1">
      <c r="H190" s="588"/>
    </row>
    <row r="191" spans="8:8" s="731" customFormat="1">
      <c r="H191" s="588"/>
    </row>
    <row r="192" spans="8:8" s="731" customFormat="1">
      <c r="H192" s="588"/>
    </row>
    <row r="193" spans="8:8" s="731" customFormat="1">
      <c r="H193" s="588"/>
    </row>
    <row r="194" spans="8:8" s="731" customFormat="1">
      <c r="H194" s="588"/>
    </row>
    <row r="195" spans="8:8" s="731" customFormat="1">
      <c r="H195" s="588"/>
    </row>
    <row r="196" spans="8:8" s="731" customFormat="1">
      <c r="H196" s="588"/>
    </row>
    <row r="197" spans="8:8" s="731" customFormat="1">
      <c r="H197" s="588"/>
    </row>
    <row r="198" spans="8:8" s="731" customFormat="1">
      <c r="H198" s="588"/>
    </row>
    <row r="199" spans="8:8" s="731" customFormat="1">
      <c r="H199" s="588"/>
    </row>
    <row r="200" spans="8:8" s="731" customFormat="1">
      <c r="H200" s="588"/>
    </row>
    <row r="201" spans="8:8" s="731" customFormat="1">
      <c r="H201" s="588"/>
    </row>
    <row r="202" spans="8:8" s="731" customFormat="1">
      <c r="H202" s="588"/>
    </row>
    <row r="203" spans="8:8" s="731" customFormat="1">
      <c r="H203" s="588"/>
    </row>
    <row r="204" spans="8:8" s="731" customFormat="1">
      <c r="H204" s="588"/>
    </row>
  </sheetData>
  <autoFilter ref="A8:I81">
    <filterColumn colId="8">
      <filters blank="1"/>
    </filterColumn>
  </autoFilter>
  <mergeCells count="13">
    <mergeCell ref="A83:I83"/>
    <mergeCell ref="G4:G7"/>
    <mergeCell ref="H4:H7"/>
    <mergeCell ref="I4:I7"/>
    <mergeCell ref="A1:B1"/>
    <mergeCell ref="A2:I2"/>
    <mergeCell ref="A4:A7"/>
    <mergeCell ref="B4:B7"/>
    <mergeCell ref="C4:C7"/>
    <mergeCell ref="D4:D7"/>
    <mergeCell ref="E4:E7"/>
    <mergeCell ref="F4:F7"/>
    <mergeCell ref="G1:I1"/>
  </mergeCells>
  <pageMargins left="0.5" right="0.2" top="0.5" bottom="0.5" header="0.3" footer="0.3"/>
  <pageSetup paperSize="9" scale="9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J215"/>
  <sheetViews>
    <sheetView workbookViewId="0">
      <pane xSplit="3" ySplit="5" topLeftCell="D30" activePane="bottomRight" state="frozen"/>
      <selection pane="topRight" activeCell="D1" sqref="D1"/>
      <selection pane="bottomLeft" activeCell="A7" sqref="A7"/>
      <selection pane="bottomRight" activeCell="E15" sqref="E15"/>
    </sheetView>
  </sheetViews>
  <sheetFormatPr defaultColWidth="9.08203125" defaultRowHeight="13"/>
  <cols>
    <col min="1" max="1" width="4.9140625" style="8" customWidth="1"/>
    <col min="2" max="2" width="59.08203125" style="8" customWidth="1"/>
    <col min="3" max="3" width="10.4140625" style="8" customWidth="1"/>
    <col min="4" max="4" width="10.33203125" style="8" customWidth="1"/>
    <col min="5" max="5" width="10.9140625" style="8" customWidth="1"/>
    <col min="6" max="7" width="7.9140625" style="8" hidden="1" customWidth="1"/>
    <col min="8" max="8" width="7.4140625" style="8" hidden="1" customWidth="1"/>
    <col min="9" max="9" width="6.4140625" style="8" hidden="1" customWidth="1"/>
    <col min="10" max="10" width="13.6640625" style="8" customWidth="1"/>
    <col min="11" max="16384" width="9.08203125" style="8"/>
  </cols>
  <sheetData>
    <row r="1" spans="1:10" ht="18" customHeight="1">
      <c r="A1" s="1794"/>
      <c r="B1" s="1794"/>
      <c r="C1" s="7"/>
      <c r="D1" s="7"/>
      <c r="E1" s="7"/>
      <c r="F1" s="7"/>
      <c r="G1" s="7"/>
      <c r="H1" s="1798" t="s">
        <v>732</v>
      </c>
      <c r="I1" s="1798"/>
      <c r="J1" s="1798"/>
    </row>
    <row r="2" spans="1:10" ht="30" customHeight="1">
      <c r="A2" s="1714" t="s">
        <v>57</v>
      </c>
      <c r="B2" s="1714"/>
      <c r="C2" s="1714"/>
      <c r="D2" s="1714"/>
      <c r="E2" s="1714"/>
      <c r="F2" s="1714"/>
      <c r="G2" s="1714"/>
      <c r="H2" s="1714"/>
      <c r="I2" s="1714"/>
      <c r="J2" s="1714"/>
    </row>
    <row r="3" spans="1:10" ht="18" customHeight="1">
      <c r="A3" s="1773" t="s">
        <v>3</v>
      </c>
      <c r="B3" s="1773"/>
      <c r="C3" s="1773"/>
      <c r="D3" s="1773"/>
      <c r="E3" s="1773"/>
      <c r="F3" s="1773"/>
      <c r="G3" s="1773"/>
      <c r="H3" s="1773"/>
      <c r="I3" s="1773"/>
      <c r="J3" s="1773"/>
    </row>
    <row r="4" spans="1:10" ht="18" customHeight="1">
      <c r="A4" s="1778" t="s">
        <v>4</v>
      </c>
      <c r="B4" s="1778" t="s">
        <v>5</v>
      </c>
      <c r="C4" s="1778" t="s">
        <v>727</v>
      </c>
      <c r="D4" s="1778" t="s">
        <v>740</v>
      </c>
      <c r="E4" s="1778"/>
      <c r="F4" s="1778" t="s">
        <v>746</v>
      </c>
      <c r="G4" s="1778"/>
      <c r="H4" s="1778" t="s">
        <v>725</v>
      </c>
      <c r="I4" s="1778" t="s">
        <v>726</v>
      </c>
      <c r="J4" s="1778" t="s">
        <v>33</v>
      </c>
    </row>
    <row r="5" spans="1:10" ht="30" customHeight="1">
      <c r="A5" s="1778"/>
      <c r="B5" s="1778"/>
      <c r="C5" s="1778"/>
      <c r="D5" s="65" t="s">
        <v>719</v>
      </c>
      <c r="E5" s="65" t="s">
        <v>720</v>
      </c>
      <c r="F5" s="65" t="s">
        <v>719</v>
      </c>
      <c r="G5" s="65" t="s">
        <v>720</v>
      </c>
      <c r="H5" s="1778"/>
      <c r="I5" s="1778"/>
      <c r="J5" s="1778"/>
    </row>
    <row r="6" spans="1:10" s="485" customFormat="1" ht="18" customHeight="1">
      <c r="A6" s="490" t="s">
        <v>10</v>
      </c>
      <c r="B6" s="490" t="s">
        <v>12</v>
      </c>
      <c r="C6" s="490" t="s">
        <v>14</v>
      </c>
      <c r="D6" s="490" t="s">
        <v>16</v>
      </c>
      <c r="E6" s="490" t="s">
        <v>18</v>
      </c>
      <c r="F6" s="490" t="s">
        <v>20</v>
      </c>
      <c r="G6" s="490" t="s">
        <v>22</v>
      </c>
      <c r="H6" s="490" t="s">
        <v>24</v>
      </c>
      <c r="I6" s="490" t="s">
        <v>700</v>
      </c>
      <c r="J6" s="490" t="s">
        <v>20</v>
      </c>
    </row>
    <row r="7" spans="1:10" s="30" customFormat="1" ht="18" customHeight="1">
      <c r="A7" s="40"/>
      <c r="B7" s="40" t="s">
        <v>741</v>
      </c>
      <c r="C7" s="21">
        <f>+C8+C13</f>
        <v>262218.32</v>
      </c>
      <c r="D7" s="21">
        <f>+D8+D13</f>
        <v>28733</v>
      </c>
      <c r="E7" s="21">
        <f>+E8+E13+E46</f>
        <v>233485.32</v>
      </c>
      <c r="F7" s="21">
        <f>+F8+F13</f>
        <v>0</v>
      </c>
      <c r="G7" s="21" t="e">
        <f>+G8+G13</f>
        <v>#REF!</v>
      </c>
      <c r="H7" s="21">
        <f t="shared" ref="H7:I7" si="0">+H14+H18+H22+H26+H30+H34+H38+H42</f>
        <v>0</v>
      </c>
      <c r="I7" s="21">
        <f t="shared" si="0"/>
        <v>0</v>
      </c>
      <c r="J7" s="40"/>
    </row>
    <row r="8" spans="1:10" s="30" customFormat="1" ht="18" customHeight="1">
      <c r="A8" s="40" t="s">
        <v>37</v>
      </c>
      <c r="B8" s="54" t="s">
        <v>733</v>
      </c>
      <c r="C8" s="21">
        <f>+C9+C11</f>
        <v>20580</v>
      </c>
      <c r="D8" s="21">
        <f>+D9+D11</f>
        <v>0</v>
      </c>
      <c r="E8" s="21">
        <f>+E9+E11</f>
        <v>20580</v>
      </c>
      <c r="F8" s="21">
        <f>+F9+F11</f>
        <v>0</v>
      </c>
      <c r="G8" s="21">
        <f>+G9+G11</f>
        <v>1030.45</v>
      </c>
      <c r="H8" s="21">
        <f t="shared" ref="H8:I8" si="1">+H9</f>
        <v>0</v>
      </c>
      <c r="I8" s="21">
        <f t="shared" si="1"/>
        <v>0</v>
      </c>
      <c r="J8" s="40"/>
    </row>
    <row r="9" spans="1:10" s="30" customFormat="1" ht="18" customHeight="1">
      <c r="A9" s="40" t="s">
        <v>10</v>
      </c>
      <c r="B9" s="54" t="s">
        <v>734</v>
      </c>
      <c r="C9" s="21">
        <f t="shared" ref="C9:I9" si="2">SUM(C10:C10)</f>
        <v>19789</v>
      </c>
      <c r="D9" s="21">
        <f t="shared" si="2"/>
        <v>0</v>
      </c>
      <c r="E9" s="21">
        <f t="shared" si="2"/>
        <v>19789</v>
      </c>
      <c r="F9" s="21">
        <f t="shared" si="2"/>
        <v>0</v>
      </c>
      <c r="G9" s="21">
        <f t="shared" si="2"/>
        <v>989.45</v>
      </c>
      <c r="H9" s="21">
        <f t="shared" si="2"/>
        <v>0</v>
      </c>
      <c r="I9" s="21">
        <f t="shared" si="2"/>
        <v>0</v>
      </c>
      <c r="J9" s="40"/>
    </row>
    <row r="10" spans="1:10" s="106" customFormat="1" ht="18" customHeight="1">
      <c r="A10" s="13" t="s">
        <v>742</v>
      </c>
      <c r="B10" s="12" t="s">
        <v>748</v>
      </c>
      <c r="C10" s="20">
        <f>SUM(D10:E10)</f>
        <v>19789</v>
      </c>
      <c r="D10" s="21"/>
      <c r="E10" s="20">
        <f>VLOOKUP(B9,'3.2.a'!$B$9:$D$270,3,0)</f>
        <v>19789</v>
      </c>
      <c r="F10" s="20"/>
      <c r="G10" s="20">
        <f>+'3.2.a'!F9</f>
        <v>989.45</v>
      </c>
      <c r="H10" s="20"/>
      <c r="I10" s="20"/>
      <c r="J10" s="95" t="s">
        <v>2074</v>
      </c>
    </row>
    <row r="11" spans="1:10" s="106" customFormat="1" ht="18" customHeight="1">
      <c r="A11" s="26">
        <v>2</v>
      </c>
      <c r="B11" s="55" t="s">
        <v>735</v>
      </c>
      <c r="C11" s="21">
        <f>+C12</f>
        <v>791</v>
      </c>
      <c r="D11" s="21">
        <f t="shared" ref="D11:G11" si="3">+D12</f>
        <v>0</v>
      </c>
      <c r="E11" s="21">
        <f t="shared" si="3"/>
        <v>791</v>
      </c>
      <c r="F11" s="21">
        <f t="shared" si="3"/>
        <v>0</v>
      </c>
      <c r="G11" s="21">
        <f t="shared" si="3"/>
        <v>41</v>
      </c>
      <c r="H11" s="21" t="s">
        <v>750</v>
      </c>
      <c r="I11" s="21"/>
      <c r="J11" s="436"/>
    </row>
    <row r="12" spans="1:10" s="106" customFormat="1" ht="18" customHeight="1">
      <c r="A12" s="13" t="s">
        <v>742</v>
      </c>
      <c r="B12" s="12" t="s">
        <v>751</v>
      </c>
      <c r="C12" s="20">
        <f>SUM(D12:E12)</f>
        <v>791</v>
      </c>
      <c r="D12" s="21"/>
      <c r="E12" s="20">
        <f>+'3.2.c'!F9</f>
        <v>791</v>
      </c>
      <c r="F12" s="20"/>
      <c r="G12" s="20">
        <f>+'3.2.c'!G9</f>
        <v>41</v>
      </c>
      <c r="H12" s="21"/>
      <c r="I12" s="21"/>
      <c r="J12" s="95" t="s">
        <v>2075</v>
      </c>
    </row>
    <row r="13" spans="1:10" s="91" customFormat="1" ht="18" customHeight="1">
      <c r="A13" s="40" t="s">
        <v>38</v>
      </c>
      <c r="B13" s="54" t="s">
        <v>901</v>
      </c>
      <c r="C13" s="21">
        <f>+C14+C18+C22+C26+C30+C34+C38+C42</f>
        <v>241638.32</v>
      </c>
      <c r="D13" s="21">
        <f t="shared" ref="D13:I13" si="4">+D14+D18+D22+D26+D30+D34+D38+D42</f>
        <v>28733</v>
      </c>
      <c r="E13" s="21">
        <f>+E14+E18+E22+E26+E30+E34+E38+E42</f>
        <v>212905.32</v>
      </c>
      <c r="F13" s="21">
        <f t="shared" si="4"/>
        <v>0</v>
      </c>
      <c r="G13" s="21" t="e">
        <f t="shared" si="4"/>
        <v>#REF!</v>
      </c>
      <c r="H13" s="21">
        <f t="shared" si="4"/>
        <v>0</v>
      </c>
      <c r="I13" s="21">
        <f t="shared" si="4"/>
        <v>0</v>
      </c>
      <c r="J13" s="40"/>
    </row>
    <row r="14" spans="1:10" s="106" customFormat="1" ht="18" customHeight="1">
      <c r="A14" s="26">
        <v>1</v>
      </c>
      <c r="B14" s="55" t="s">
        <v>25</v>
      </c>
      <c r="C14" s="21">
        <f>SUM(C15:C17)</f>
        <v>1795</v>
      </c>
      <c r="D14" s="21">
        <f t="shared" ref="D14:I14" si="5">SUM(D15:D17)</f>
        <v>0</v>
      </c>
      <c r="E14" s="21">
        <f t="shared" si="5"/>
        <v>1795</v>
      </c>
      <c r="F14" s="21">
        <f t="shared" si="5"/>
        <v>0</v>
      </c>
      <c r="G14" s="21">
        <f t="shared" si="5"/>
        <v>0</v>
      </c>
      <c r="H14" s="21">
        <f t="shared" si="5"/>
        <v>0</v>
      </c>
      <c r="I14" s="21">
        <f t="shared" si="5"/>
        <v>0</v>
      </c>
      <c r="J14" s="436"/>
    </row>
    <row r="15" spans="1:10" s="106" customFormat="1" ht="18" customHeight="1">
      <c r="A15" s="13" t="s">
        <v>742</v>
      </c>
      <c r="B15" s="12" t="s">
        <v>748</v>
      </c>
      <c r="C15" s="20">
        <f t="shared" ref="C15:C17" si="6">SUM(D15:E15)</f>
        <v>1795</v>
      </c>
      <c r="D15" s="21"/>
      <c r="E15" s="20">
        <f>VLOOKUP(B14,'3.2.a'!$B$9:$D$270,3,0)</f>
        <v>1795</v>
      </c>
      <c r="F15" s="20"/>
      <c r="G15" s="20">
        <f>+'[2]3.2.a'!F383</f>
        <v>0</v>
      </c>
      <c r="H15" s="20"/>
      <c r="I15" s="20"/>
      <c r="J15" s="723"/>
    </row>
    <row r="16" spans="1:10" s="106" customFormat="1" ht="18" customHeight="1">
      <c r="A16" s="13" t="s">
        <v>742</v>
      </c>
      <c r="B16" s="12" t="s">
        <v>749</v>
      </c>
      <c r="C16" s="20">
        <f t="shared" si="6"/>
        <v>0</v>
      </c>
      <c r="D16" s="21"/>
      <c r="E16" s="20">
        <f>VLOOKUP(B14,'3.2.b'!B12:G53,6,0)</f>
        <v>0</v>
      </c>
      <c r="F16" s="20"/>
      <c r="G16" s="20">
        <f>+'[2]3.2.b'!H66</f>
        <v>0</v>
      </c>
      <c r="H16" s="20"/>
      <c r="I16" s="20"/>
      <c r="J16" s="723"/>
    </row>
    <row r="17" spans="1:10" s="106" customFormat="1" ht="18" customHeight="1">
      <c r="A17" s="13" t="s">
        <v>742</v>
      </c>
      <c r="B17" s="12" t="s">
        <v>751</v>
      </c>
      <c r="C17" s="20">
        <f t="shared" si="6"/>
        <v>0</v>
      </c>
      <c r="D17" s="21"/>
      <c r="E17" s="20">
        <f>VLOOKUP(B14,'3.2.c'!B8:H66,5,0)</f>
        <v>0</v>
      </c>
      <c r="F17" s="20"/>
      <c r="G17" s="20"/>
      <c r="H17" s="20"/>
      <c r="I17" s="20"/>
      <c r="J17" s="723"/>
    </row>
    <row r="18" spans="1:10" s="106" customFormat="1" ht="18" customHeight="1">
      <c r="A18" s="26">
        <v>2</v>
      </c>
      <c r="B18" s="55" t="s">
        <v>23</v>
      </c>
      <c r="C18" s="21">
        <f>SUM(C19:C21)</f>
        <v>18086</v>
      </c>
      <c r="D18" s="21">
        <f t="shared" ref="D18:I18" si="7">SUM(D19:D21)</f>
        <v>0</v>
      </c>
      <c r="E18" s="21">
        <f t="shared" si="7"/>
        <v>18086</v>
      </c>
      <c r="F18" s="21">
        <f t="shared" si="7"/>
        <v>0</v>
      </c>
      <c r="G18" s="21" t="e">
        <f t="shared" si="7"/>
        <v>#REF!</v>
      </c>
      <c r="H18" s="21">
        <f t="shared" si="7"/>
        <v>0</v>
      </c>
      <c r="I18" s="21">
        <f t="shared" si="7"/>
        <v>0</v>
      </c>
      <c r="J18" s="436"/>
    </row>
    <row r="19" spans="1:10" s="106" customFormat="1" ht="18" customHeight="1">
      <c r="A19" s="13" t="s">
        <v>742</v>
      </c>
      <c r="B19" s="12" t="s">
        <v>748</v>
      </c>
      <c r="C19" s="20">
        <f t="shared" ref="C19:C21" si="8">SUM(D19:E19)</f>
        <v>14095</v>
      </c>
      <c r="D19" s="21"/>
      <c r="E19" s="20">
        <f>VLOOKUP(B18,'3.2.a'!$B$9:$D$270,3,0)</f>
        <v>14095</v>
      </c>
      <c r="F19" s="20"/>
      <c r="G19" s="20" t="e">
        <f>+'3.2.a'!#REF!</f>
        <v>#REF!</v>
      </c>
      <c r="H19" s="20"/>
      <c r="I19" s="20"/>
      <c r="J19" s="95" t="s">
        <v>2074</v>
      </c>
    </row>
    <row r="20" spans="1:10" s="106" customFormat="1" ht="18" customHeight="1">
      <c r="A20" s="13" t="s">
        <v>742</v>
      </c>
      <c r="B20" s="12" t="s">
        <v>749</v>
      </c>
      <c r="C20" s="20">
        <f t="shared" si="8"/>
        <v>0</v>
      </c>
      <c r="D20" s="21">
        <f>+'3.2.b'!F13</f>
        <v>0</v>
      </c>
      <c r="E20" s="20">
        <f>+'3.2.b'!G13</f>
        <v>0</v>
      </c>
      <c r="F20" s="20"/>
      <c r="G20" s="20">
        <f>+'3.2.b'!I13</f>
        <v>0</v>
      </c>
      <c r="H20" s="20"/>
      <c r="I20" s="20"/>
      <c r="J20" s="95" t="s">
        <v>1901</v>
      </c>
    </row>
    <row r="21" spans="1:10" s="106" customFormat="1" ht="18" customHeight="1">
      <c r="A21" s="13" t="s">
        <v>742</v>
      </c>
      <c r="B21" s="12" t="s">
        <v>751</v>
      </c>
      <c r="C21" s="20">
        <f t="shared" si="8"/>
        <v>3991</v>
      </c>
      <c r="D21" s="21"/>
      <c r="E21" s="20">
        <f>VLOOKUP(B18,'3.2.c'!B12:H70,5,0)</f>
        <v>3991</v>
      </c>
      <c r="F21" s="20"/>
      <c r="G21" s="20">
        <f>+'3.2.c'!G41</f>
        <v>209</v>
      </c>
      <c r="H21" s="20"/>
      <c r="I21" s="20"/>
      <c r="J21" s="95" t="s">
        <v>2075</v>
      </c>
    </row>
    <row r="22" spans="1:10" s="106" customFormat="1" ht="18" customHeight="1">
      <c r="A22" s="26">
        <v>3</v>
      </c>
      <c r="B22" s="55" t="s">
        <v>21</v>
      </c>
      <c r="C22" s="21">
        <f>SUM(C23:C25)</f>
        <v>10258</v>
      </c>
      <c r="D22" s="21">
        <f t="shared" ref="D22:I22" si="9">SUM(D23:D25)</f>
        <v>1796</v>
      </c>
      <c r="E22" s="21">
        <f t="shared" si="9"/>
        <v>8462</v>
      </c>
      <c r="F22" s="21">
        <f t="shared" si="9"/>
        <v>0</v>
      </c>
      <c r="G22" s="21" t="e">
        <f t="shared" si="9"/>
        <v>#REF!</v>
      </c>
      <c r="H22" s="21">
        <f t="shared" si="9"/>
        <v>0</v>
      </c>
      <c r="I22" s="21">
        <f t="shared" si="9"/>
        <v>0</v>
      </c>
      <c r="J22" s="436"/>
    </row>
    <row r="23" spans="1:10" s="106" customFormat="1" ht="18" customHeight="1">
      <c r="A23" s="13" t="s">
        <v>742</v>
      </c>
      <c r="B23" s="12" t="s">
        <v>748</v>
      </c>
      <c r="C23" s="20">
        <f t="shared" ref="C23:C45" si="10">SUM(D23:E23)</f>
        <v>6732</v>
      </c>
      <c r="D23" s="21"/>
      <c r="E23" s="20">
        <f>VLOOKUP(B22,'3.2.a'!$B$9:$D$270,3,0)</f>
        <v>6732</v>
      </c>
      <c r="F23" s="20"/>
      <c r="G23" s="20" t="e">
        <f>+'3.2.a'!#REF!</f>
        <v>#REF!</v>
      </c>
      <c r="H23" s="20"/>
      <c r="I23" s="20"/>
      <c r="J23" s="95" t="s">
        <v>2074</v>
      </c>
    </row>
    <row r="24" spans="1:10" s="106" customFormat="1" ht="18" customHeight="1">
      <c r="A24" s="13" t="s">
        <v>742</v>
      </c>
      <c r="B24" s="12" t="s">
        <v>749</v>
      </c>
      <c r="C24" s="20">
        <f t="shared" si="10"/>
        <v>3526</v>
      </c>
      <c r="D24" s="20">
        <f>+'3.2.b'!F14</f>
        <v>1796</v>
      </c>
      <c r="E24" s="20">
        <f>+'3.2.b'!G14</f>
        <v>1730</v>
      </c>
      <c r="F24" s="20"/>
      <c r="G24" s="20">
        <f>+'3.2.b'!I14</f>
        <v>122</v>
      </c>
      <c r="H24" s="20"/>
      <c r="I24" s="20"/>
      <c r="J24" s="95" t="s">
        <v>1901</v>
      </c>
    </row>
    <row r="25" spans="1:10" s="106" customFormat="1" ht="18" customHeight="1">
      <c r="A25" s="13" t="s">
        <v>742</v>
      </c>
      <c r="B25" s="12" t="s">
        <v>751</v>
      </c>
      <c r="C25" s="20">
        <f t="shared" si="10"/>
        <v>0</v>
      </c>
      <c r="D25" s="21"/>
      <c r="E25" s="20">
        <f>VLOOKUP(B22,'3.2.c'!B16:H74,5,0)</f>
        <v>0</v>
      </c>
      <c r="F25" s="20"/>
      <c r="G25" s="20"/>
      <c r="H25" s="20"/>
      <c r="I25" s="20"/>
      <c r="J25" s="95" t="s">
        <v>2075</v>
      </c>
    </row>
    <row r="26" spans="1:10" s="106" customFormat="1" ht="18" customHeight="1">
      <c r="A26" s="26">
        <v>4</v>
      </c>
      <c r="B26" s="55" t="s">
        <v>19</v>
      </c>
      <c r="C26" s="21">
        <f>SUM(C27:C29)</f>
        <v>35830</v>
      </c>
      <c r="D26" s="21">
        <f t="shared" ref="D26:I26" si="11">SUM(D27:D29)</f>
        <v>5387</v>
      </c>
      <c r="E26" s="21">
        <f t="shared" si="11"/>
        <v>30443</v>
      </c>
      <c r="F26" s="21">
        <f t="shared" si="11"/>
        <v>0</v>
      </c>
      <c r="G26" s="21">
        <f t="shared" si="11"/>
        <v>210</v>
      </c>
      <c r="H26" s="21">
        <f t="shared" si="11"/>
        <v>0</v>
      </c>
      <c r="I26" s="21">
        <f t="shared" si="11"/>
        <v>0</v>
      </c>
      <c r="J26" s="436"/>
    </row>
    <row r="27" spans="1:10" s="106" customFormat="1" ht="18" customHeight="1">
      <c r="A27" s="13" t="s">
        <v>742</v>
      </c>
      <c r="B27" s="12" t="s">
        <v>748</v>
      </c>
      <c r="C27" s="20">
        <f t="shared" si="10"/>
        <v>24113</v>
      </c>
      <c r="D27" s="21"/>
      <c r="E27" s="20">
        <f>VLOOKUP(B26,'3.2.a'!$B$9:$D$270,3,0)</f>
        <v>24113</v>
      </c>
      <c r="F27" s="20"/>
      <c r="G27" s="20">
        <f>+'3.2.a'!F219</f>
        <v>150</v>
      </c>
      <c r="H27" s="20"/>
      <c r="I27" s="20"/>
      <c r="J27" s="95" t="s">
        <v>2074</v>
      </c>
    </row>
    <row r="28" spans="1:10" s="106" customFormat="1" ht="18" customHeight="1">
      <c r="A28" s="13" t="s">
        <v>742</v>
      </c>
      <c r="B28" s="12" t="s">
        <v>749</v>
      </c>
      <c r="C28" s="20">
        <f t="shared" si="10"/>
        <v>10577</v>
      </c>
      <c r="D28" s="20">
        <f>+'3.2.b'!F20</f>
        <v>5387</v>
      </c>
      <c r="E28" s="20">
        <f>+'3.2.b'!G20</f>
        <v>5190</v>
      </c>
      <c r="F28" s="20"/>
      <c r="G28" s="20"/>
      <c r="H28" s="20"/>
      <c r="I28" s="20"/>
      <c r="J28" s="95" t="s">
        <v>1901</v>
      </c>
    </row>
    <row r="29" spans="1:10" s="106" customFormat="1" ht="18" customHeight="1">
      <c r="A29" s="13" t="s">
        <v>742</v>
      </c>
      <c r="B29" s="12" t="s">
        <v>751</v>
      </c>
      <c r="C29" s="20">
        <f t="shared" si="10"/>
        <v>1140</v>
      </c>
      <c r="D29" s="21"/>
      <c r="E29" s="20">
        <f>VLOOKUP(B26,'3.2.c'!B20:H78,5,0)</f>
        <v>1140</v>
      </c>
      <c r="F29" s="20"/>
      <c r="G29" s="20">
        <f>+'3.2.c'!G48</f>
        <v>60</v>
      </c>
      <c r="H29" s="20"/>
      <c r="I29" s="20"/>
      <c r="J29" s="95" t="s">
        <v>2075</v>
      </c>
    </row>
    <row r="30" spans="1:10" s="106" customFormat="1" ht="18" customHeight="1">
      <c r="A30" s="26">
        <v>5</v>
      </c>
      <c r="B30" s="55" t="s">
        <v>17</v>
      </c>
      <c r="C30" s="21">
        <f>SUM(C31:C33)</f>
        <v>46987.32</v>
      </c>
      <c r="D30" s="21">
        <f t="shared" ref="D30:I30" si="12">SUM(D31:D33)</f>
        <v>5387</v>
      </c>
      <c r="E30" s="21">
        <f t="shared" si="12"/>
        <v>41600.32</v>
      </c>
      <c r="F30" s="21">
        <f t="shared" si="12"/>
        <v>0</v>
      </c>
      <c r="G30" s="21">
        <f t="shared" si="12"/>
        <v>468</v>
      </c>
      <c r="H30" s="21">
        <f t="shared" si="12"/>
        <v>0</v>
      </c>
      <c r="I30" s="21">
        <f t="shared" si="12"/>
        <v>0</v>
      </c>
      <c r="J30" s="747"/>
    </row>
    <row r="31" spans="1:10" s="106" customFormat="1" ht="18" customHeight="1">
      <c r="A31" s="13" t="s">
        <v>742</v>
      </c>
      <c r="B31" s="12" t="s">
        <v>748</v>
      </c>
      <c r="C31" s="20">
        <f t="shared" si="10"/>
        <v>35555.32</v>
      </c>
      <c r="D31" s="21"/>
      <c r="E31" s="20">
        <f>VLOOKUP(B30,'3.2.a'!$B$9:$D$270,3,0)</f>
        <v>35555.32</v>
      </c>
      <c r="F31" s="20"/>
      <c r="G31" s="20">
        <f>+'3.2.a'!F144</f>
        <v>43</v>
      </c>
      <c r="H31" s="20"/>
      <c r="I31" s="20"/>
      <c r="J31" s="95" t="s">
        <v>2074</v>
      </c>
    </row>
    <row r="32" spans="1:10" s="106" customFormat="1" ht="18" customHeight="1">
      <c r="A32" s="13" t="s">
        <v>742</v>
      </c>
      <c r="B32" s="12" t="s">
        <v>749</v>
      </c>
      <c r="C32" s="20">
        <f t="shared" si="10"/>
        <v>10577</v>
      </c>
      <c r="D32" s="20">
        <f>+'3.2.b'!F27</f>
        <v>5387</v>
      </c>
      <c r="E32" s="20">
        <f>+'3.2.b'!G27</f>
        <v>5190</v>
      </c>
      <c r="F32" s="20"/>
      <c r="G32" s="20">
        <f>+'3.2.b'!I27</f>
        <v>380</v>
      </c>
      <c r="H32" s="20"/>
      <c r="I32" s="20"/>
      <c r="J32" s="95" t="s">
        <v>1901</v>
      </c>
    </row>
    <row r="33" spans="1:10" s="106" customFormat="1" ht="18" customHeight="1">
      <c r="A33" s="13" t="s">
        <v>742</v>
      </c>
      <c r="B33" s="12" t="s">
        <v>751</v>
      </c>
      <c r="C33" s="20">
        <f t="shared" si="10"/>
        <v>855</v>
      </c>
      <c r="D33" s="21"/>
      <c r="E33" s="20">
        <f>VLOOKUP(B30,'3.2.c'!B24:H82,5,0)</f>
        <v>855</v>
      </c>
      <c r="F33" s="20"/>
      <c r="G33" s="20">
        <f>+'3.2.c'!G52</f>
        <v>45</v>
      </c>
      <c r="H33" s="20"/>
      <c r="I33" s="20"/>
      <c r="J33" s="95" t="s">
        <v>2075</v>
      </c>
    </row>
    <row r="34" spans="1:10" s="106" customFormat="1" ht="18" customHeight="1">
      <c r="A34" s="26">
        <v>6</v>
      </c>
      <c r="B34" s="55" t="s">
        <v>15</v>
      </c>
      <c r="C34" s="20">
        <f t="shared" si="10"/>
        <v>57902</v>
      </c>
      <c r="D34" s="21">
        <f t="shared" ref="D34:I34" si="13">SUM(D35:D37)</f>
        <v>5387</v>
      </c>
      <c r="E34" s="21">
        <f t="shared" si="13"/>
        <v>52515</v>
      </c>
      <c r="F34" s="21">
        <f t="shared" si="13"/>
        <v>0</v>
      </c>
      <c r="G34" s="21" t="e">
        <f t="shared" si="13"/>
        <v>#REF!</v>
      </c>
      <c r="H34" s="21">
        <f t="shared" si="13"/>
        <v>0</v>
      </c>
      <c r="I34" s="21">
        <f t="shared" si="13"/>
        <v>0</v>
      </c>
      <c r="J34" s="436"/>
    </row>
    <row r="35" spans="1:10" s="106" customFormat="1" ht="18" customHeight="1">
      <c r="A35" s="13" t="s">
        <v>742</v>
      </c>
      <c r="B35" s="12" t="s">
        <v>748</v>
      </c>
      <c r="C35" s="20">
        <f t="shared" si="10"/>
        <v>47325</v>
      </c>
      <c r="D35" s="21"/>
      <c r="E35" s="20">
        <f>VLOOKUP(B34,'3.2.a'!$B$9:$D$270,3,0)</f>
        <v>47325</v>
      </c>
      <c r="F35" s="20"/>
      <c r="G35" s="20" t="e">
        <f>+'3.2.a'!#REF!</f>
        <v>#REF!</v>
      </c>
      <c r="H35" s="20"/>
      <c r="I35" s="20"/>
      <c r="J35" s="95" t="s">
        <v>2074</v>
      </c>
    </row>
    <row r="36" spans="1:10" s="106" customFormat="1" ht="18" customHeight="1">
      <c r="A36" s="13" t="s">
        <v>742</v>
      </c>
      <c r="B36" s="12" t="s">
        <v>749</v>
      </c>
      <c r="C36" s="20">
        <f t="shared" si="10"/>
        <v>10577</v>
      </c>
      <c r="D36" s="20">
        <f>+'3.2.b'!F34</f>
        <v>5387</v>
      </c>
      <c r="E36" s="20">
        <f>+'3.2.b'!G34</f>
        <v>5190</v>
      </c>
      <c r="F36" s="20"/>
      <c r="G36" s="20">
        <f>+'3.2.b'!I34</f>
        <v>380</v>
      </c>
      <c r="H36" s="20"/>
      <c r="I36" s="20"/>
      <c r="J36" s="95" t="s">
        <v>1901</v>
      </c>
    </row>
    <row r="37" spans="1:10" s="106" customFormat="1" ht="18" customHeight="1">
      <c r="A37" s="13" t="s">
        <v>742</v>
      </c>
      <c r="B37" s="12" t="s">
        <v>751</v>
      </c>
      <c r="C37" s="20">
        <f t="shared" si="10"/>
        <v>0</v>
      </c>
      <c r="D37" s="21"/>
      <c r="E37" s="20">
        <f>VLOOKUP(B34,'3.2.c'!B28:H86,5,0)</f>
        <v>0</v>
      </c>
      <c r="F37" s="20"/>
      <c r="G37" s="20"/>
      <c r="H37" s="20"/>
      <c r="I37" s="20"/>
      <c r="J37" s="95" t="s">
        <v>2075</v>
      </c>
    </row>
    <row r="38" spans="1:10" s="106" customFormat="1" ht="18" customHeight="1">
      <c r="A38" s="26">
        <v>7</v>
      </c>
      <c r="B38" s="55" t="s">
        <v>13</v>
      </c>
      <c r="C38" s="21">
        <f>SUM(C39:C41)</f>
        <v>22936</v>
      </c>
      <c r="D38" s="21">
        <f t="shared" ref="D38:I38" si="14">SUM(D39:D41)</f>
        <v>1796</v>
      </c>
      <c r="E38" s="21">
        <f t="shared" si="14"/>
        <v>21140</v>
      </c>
      <c r="F38" s="21">
        <f t="shared" si="14"/>
        <v>0</v>
      </c>
      <c r="G38" s="21">
        <f t="shared" si="14"/>
        <v>1582</v>
      </c>
      <c r="H38" s="21">
        <f t="shared" si="14"/>
        <v>0</v>
      </c>
      <c r="I38" s="21">
        <f t="shared" si="14"/>
        <v>0</v>
      </c>
      <c r="J38" s="436"/>
    </row>
    <row r="39" spans="1:10" s="106" customFormat="1" ht="18" customHeight="1">
      <c r="A39" s="13" t="s">
        <v>742</v>
      </c>
      <c r="B39" s="12" t="s">
        <v>748</v>
      </c>
      <c r="C39" s="20">
        <f t="shared" si="10"/>
        <v>16890</v>
      </c>
      <c r="D39" s="21"/>
      <c r="E39" s="20">
        <f>VLOOKUP(B38,'3.2.a'!$B$9:$D$270,3,0)</f>
        <v>16890</v>
      </c>
      <c r="F39" s="20"/>
      <c r="G39" s="20">
        <f>+'3.2.a'!F105</f>
        <v>1380</v>
      </c>
      <c r="H39" s="20"/>
      <c r="I39" s="20"/>
      <c r="J39" s="95" t="s">
        <v>2074</v>
      </c>
    </row>
    <row r="40" spans="1:10" s="106" customFormat="1" ht="18" customHeight="1">
      <c r="A40" s="13" t="s">
        <v>742</v>
      </c>
      <c r="B40" s="12" t="s">
        <v>749</v>
      </c>
      <c r="C40" s="20">
        <f t="shared" si="10"/>
        <v>3526</v>
      </c>
      <c r="D40" s="20">
        <f>+'3.2.b'!F41</f>
        <v>1796</v>
      </c>
      <c r="E40" s="20">
        <f>+'3.2.b'!G41</f>
        <v>1730</v>
      </c>
      <c r="F40" s="20"/>
      <c r="G40" s="20">
        <f>+'3.2.b'!I41</f>
        <v>122</v>
      </c>
      <c r="H40" s="20"/>
      <c r="I40" s="20"/>
      <c r="J40" s="95" t="s">
        <v>1901</v>
      </c>
    </row>
    <row r="41" spans="1:10" s="106" customFormat="1" ht="18" customHeight="1">
      <c r="A41" s="13" t="s">
        <v>742</v>
      </c>
      <c r="B41" s="12" t="s">
        <v>751</v>
      </c>
      <c r="C41" s="20">
        <f t="shared" si="10"/>
        <v>2520</v>
      </c>
      <c r="D41" s="21"/>
      <c r="E41" s="20">
        <f>VLOOKUP(B38,'3.2.c'!B32:H90,5,0)</f>
        <v>2520</v>
      </c>
      <c r="F41" s="20"/>
      <c r="G41" s="20">
        <f>+'3.2.c'!G60</f>
        <v>80</v>
      </c>
      <c r="H41" s="20"/>
      <c r="I41" s="20"/>
      <c r="J41" s="95" t="s">
        <v>2075</v>
      </c>
    </row>
    <row r="42" spans="1:10" s="106" customFormat="1" ht="18" customHeight="1">
      <c r="A42" s="26">
        <v>8</v>
      </c>
      <c r="B42" s="55" t="s">
        <v>11</v>
      </c>
      <c r="C42" s="21">
        <f>SUM(C43:C45)</f>
        <v>47844</v>
      </c>
      <c r="D42" s="21">
        <f t="shared" ref="D42:I42" si="15">SUM(D43:D45)</f>
        <v>8980</v>
      </c>
      <c r="E42" s="21">
        <f t="shared" si="15"/>
        <v>38864</v>
      </c>
      <c r="F42" s="21">
        <f t="shared" si="15"/>
        <v>0</v>
      </c>
      <c r="G42" s="21">
        <f t="shared" si="15"/>
        <v>802</v>
      </c>
      <c r="H42" s="21">
        <f t="shared" si="15"/>
        <v>0</v>
      </c>
      <c r="I42" s="21">
        <f t="shared" si="15"/>
        <v>0</v>
      </c>
      <c r="J42" s="436"/>
    </row>
    <row r="43" spans="1:10" s="106" customFormat="1" ht="18" customHeight="1">
      <c r="A43" s="13" t="s">
        <v>742</v>
      </c>
      <c r="B43" s="12" t="s">
        <v>748</v>
      </c>
      <c r="C43" s="20">
        <f t="shared" si="10"/>
        <v>30213</v>
      </c>
      <c r="D43" s="21"/>
      <c r="E43" s="20">
        <f>VLOOKUP(B42,'3.2.a'!$B$9:$D$270,3,0)</f>
        <v>30213</v>
      </c>
      <c r="F43" s="20"/>
      <c r="G43" s="20">
        <f>+'3.2.a'!F20</f>
        <v>71</v>
      </c>
      <c r="H43" s="20"/>
      <c r="I43" s="20"/>
      <c r="J43" s="95" t="s">
        <v>2074</v>
      </c>
    </row>
    <row r="44" spans="1:10" s="106" customFormat="1" ht="18" customHeight="1">
      <c r="A44" s="13" t="s">
        <v>742</v>
      </c>
      <c r="B44" s="12" t="s">
        <v>749</v>
      </c>
      <c r="C44" s="20">
        <f t="shared" si="10"/>
        <v>17631</v>
      </c>
      <c r="D44" s="20">
        <f>+'3.2.b'!F47</f>
        <v>8980</v>
      </c>
      <c r="E44" s="20">
        <f>+'3.2.b'!G47</f>
        <v>8651</v>
      </c>
      <c r="F44" s="20"/>
      <c r="G44" s="20">
        <f>+'3.2.b'!I47</f>
        <v>731</v>
      </c>
      <c r="H44" s="20"/>
      <c r="I44" s="20"/>
      <c r="J44" s="95" t="s">
        <v>1901</v>
      </c>
    </row>
    <row r="45" spans="1:10" s="106" customFormat="1" ht="18" customHeight="1">
      <c r="A45" s="13" t="s">
        <v>742</v>
      </c>
      <c r="B45" s="12" t="s">
        <v>751</v>
      </c>
      <c r="C45" s="20">
        <f t="shared" si="10"/>
        <v>0</v>
      </c>
      <c r="D45" s="21"/>
      <c r="E45" s="20">
        <f>VLOOKUP(B42,'3.2.c'!B36:H94,5,0)</f>
        <v>0</v>
      </c>
      <c r="F45" s="20"/>
      <c r="G45" s="20"/>
      <c r="H45" s="20"/>
      <c r="I45" s="20"/>
      <c r="J45" s="95" t="s">
        <v>2075</v>
      </c>
    </row>
    <row r="46" spans="1:10" ht="18" hidden="1" customHeight="1">
      <c r="A46" s="26" t="s">
        <v>1946</v>
      </c>
      <c r="B46" s="441" t="s">
        <v>1912</v>
      </c>
      <c r="C46" s="21"/>
      <c r="D46" s="21"/>
      <c r="E46" s="21"/>
      <c r="F46" s="21"/>
      <c r="G46" s="21"/>
      <c r="H46" s="21"/>
      <c r="I46" s="21"/>
      <c r="J46" s="13"/>
    </row>
    <row r="47" spans="1:10" ht="9" customHeight="1">
      <c r="A47" s="58"/>
      <c r="B47" s="58"/>
      <c r="C47" s="58"/>
      <c r="D47" s="58"/>
      <c r="E47" s="58"/>
      <c r="F47" s="58"/>
      <c r="G47" s="58"/>
      <c r="H47" s="58"/>
      <c r="I47" s="58"/>
      <c r="J47" s="58"/>
    </row>
    <row r="48" spans="1:10" ht="18" customHeight="1">
      <c r="A48" s="1800" t="s">
        <v>2501</v>
      </c>
      <c r="B48" s="1801"/>
      <c r="C48" s="1801"/>
      <c r="D48" s="1801"/>
      <c r="E48" s="1801"/>
      <c r="F48" s="1801"/>
      <c r="G48" s="1801"/>
      <c r="H48" s="1801"/>
      <c r="I48" s="1801"/>
      <c r="J48" s="1801"/>
    </row>
    <row r="49" spans="1:10" ht="18" customHeight="1">
      <c r="A49" s="1802" t="s">
        <v>2502</v>
      </c>
      <c r="B49" s="1801"/>
      <c r="C49" s="1801"/>
      <c r="D49" s="1801"/>
      <c r="E49" s="1801"/>
      <c r="F49" s="1801"/>
      <c r="G49" s="1801"/>
      <c r="H49" s="1801"/>
      <c r="I49" s="1801"/>
      <c r="J49" s="1801"/>
    </row>
    <row r="50" spans="1:10" ht="18" customHeight="1">
      <c r="A50" s="1801" t="s">
        <v>2503</v>
      </c>
      <c r="B50" s="1801"/>
      <c r="C50" s="1801"/>
      <c r="D50" s="1801"/>
      <c r="E50" s="1801"/>
      <c r="F50" s="1801"/>
      <c r="G50" s="1801"/>
      <c r="H50" s="1801"/>
      <c r="I50" s="1801"/>
      <c r="J50" s="1801"/>
    </row>
    <row r="51" spans="1:10" ht="18" customHeight="1">
      <c r="A51" s="58"/>
      <c r="B51" s="58"/>
      <c r="C51" s="58"/>
      <c r="D51" s="58"/>
      <c r="E51" s="58"/>
      <c r="F51" s="58"/>
      <c r="G51" s="58"/>
      <c r="H51" s="58"/>
      <c r="I51" s="58"/>
      <c r="J51" s="58"/>
    </row>
    <row r="52" spans="1:10" ht="18" customHeight="1">
      <c r="A52" s="58"/>
      <c r="B52" s="58"/>
      <c r="C52" s="58"/>
      <c r="D52" s="58"/>
      <c r="E52" s="58"/>
      <c r="F52" s="58"/>
      <c r="G52" s="58"/>
      <c r="H52" s="58"/>
      <c r="I52" s="58"/>
      <c r="J52" s="58"/>
    </row>
    <row r="53" spans="1:10" ht="21" customHeight="1">
      <c r="A53" s="58"/>
      <c r="B53" s="58"/>
      <c r="C53" s="58"/>
      <c r="D53" s="58"/>
      <c r="E53" s="58"/>
      <c r="F53" s="58"/>
      <c r="G53" s="58"/>
      <c r="H53" s="58"/>
      <c r="I53" s="58"/>
      <c r="J53" s="58"/>
    </row>
    <row r="54" spans="1:10" ht="21" customHeight="1">
      <c r="A54" s="58"/>
      <c r="B54" s="58"/>
      <c r="C54" s="58"/>
      <c r="D54" s="58"/>
      <c r="E54" s="58"/>
      <c r="F54" s="58"/>
      <c r="G54" s="58"/>
      <c r="H54" s="58"/>
      <c r="I54" s="58"/>
      <c r="J54" s="58"/>
    </row>
    <row r="55" spans="1:10" ht="21" customHeight="1">
      <c r="A55" s="58"/>
      <c r="B55" s="58"/>
      <c r="C55" s="58"/>
      <c r="D55" s="58"/>
      <c r="E55" s="58"/>
      <c r="F55" s="58"/>
      <c r="G55" s="58"/>
      <c r="H55" s="58"/>
      <c r="I55" s="58"/>
      <c r="J55" s="58"/>
    </row>
    <row r="56" spans="1:10" ht="21" customHeight="1">
      <c r="A56" s="58"/>
      <c r="B56" s="58"/>
      <c r="C56" s="58"/>
      <c r="D56" s="58"/>
      <c r="E56" s="58"/>
      <c r="F56" s="58"/>
      <c r="G56" s="58"/>
      <c r="H56" s="58"/>
      <c r="I56" s="58"/>
      <c r="J56" s="58"/>
    </row>
    <row r="57" spans="1:10" ht="21" customHeight="1">
      <c r="A57" s="58"/>
      <c r="B57" s="58"/>
      <c r="C57" s="58"/>
      <c r="D57" s="58"/>
      <c r="E57" s="58"/>
      <c r="F57" s="58"/>
      <c r="G57" s="58"/>
      <c r="H57" s="58"/>
      <c r="I57" s="58"/>
      <c r="J57" s="58"/>
    </row>
    <row r="58" spans="1:10" ht="21" customHeight="1">
      <c r="A58" s="58"/>
      <c r="B58" s="58"/>
      <c r="C58" s="58"/>
      <c r="D58" s="58"/>
      <c r="E58" s="58"/>
      <c r="F58" s="58"/>
      <c r="G58" s="58"/>
      <c r="H58" s="58"/>
      <c r="I58" s="58"/>
      <c r="J58" s="58"/>
    </row>
    <row r="59" spans="1:10" ht="21" customHeight="1">
      <c r="A59" s="58"/>
      <c r="B59" s="58"/>
      <c r="C59" s="58"/>
      <c r="D59" s="58"/>
      <c r="E59" s="58"/>
      <c r="F59" s="58"/>
      <c r="G59" s="58"/>
      <c r="H59" s="58"/>
      <c r="I59" s="58"/>
      <c r="J59" s="58"/>
    </row>
    <row r="60" spans="1:10" ht="21" customHeight="1">
      <c r="A60" s="58"/>
      <c r="B60" s="58"/>
      <c r="C60" s="58"/>
      <c r="D60" s="58"/>
      <c r="E60" s="58"/>
      <c r="F60" s="58"/>
      <c r="G60" s="58"/>
      <c r="H60" s="58"/>
      <c r="I60" s="58"/>
      <c r="J60" s="58"/>
    </row>
    <row r="61" spans="1:10" ht="21" customHeight="1">
      <c r="A61" s="58"/>
      <c r="B61" s="58"/>
      <c r="C61" s="58"/>
      <c r="D61" s="58"/>
      <c r="E61" s="58"/>
      <c r="F61" s="58"/>
      <c r="G61" s="58"/>
      <c r="H61" s="58"/>
      <c r="I61" s="58"/>
      <c r="J61" s="58"/>
    </row>
    <row r="62" spans="1:10" ht="21" customHeight="1">
      <c r="A62" s="58"/>
      <c r="B62" s="58"/>
      <c r="C62" s="58"/>
      <c r="D62" s="58"/>
      <c r="E62" s="58"/>
      <c r="F62" s="58"/>
      <c r="G62" s="58"/>
      <c r="H62" s="58"/>
      <c r="I62" s="58"/>
      <c r="J62" s="58"/>
    </row>
    <row r="63" spans="1:10" ht="21" customHeight="1">
      <c r="A63" s="58"/>
      <c r="B63" s="58"/>
      <c r="C63" s="58"/>
      <c r="D63" s="58"/>
      <c r="E63" s="58"/>
      <c r="F63" s="58"/>
      <c r="G63" s="58"/>
      <c r="H63" s="58"/>
      <c r="I63" s="58"/>
      <c r="J63" s="58"/>
    </row>
    <row r="64" spans="1:10" ht="21" customHeight="1">
      <c r="A64" s="58"/>
      <c r="B64" s="58"/>
      <c r="C64" s="58"/>
      <c r="D64" s="58"/>
      <c r="E64" s="58"/>
      <c r="F64" s="58"/>
      <c r="G64" s="58"/>
      <c r="H64" s="58"/>
      <c r="I64" s="58"/>
      <c r="J64" s="58"/>
    </row>
    <row r="65" spans="1:10" ht="21" customHeight="1">
      <c r="A65" s="58"/>
      <c r="B65" s="58"/>
      <c r="C65" s="58"/>
      <c r="D65" s="58"/>
      <c r="E65" s="58"/>
      <c r="F65" s="58"/>
      <c r="G65" s="58"/>
      <c r="H65" s="58"/>
      <c r="I65" s="58"/>
      <c r="J65" s="58"/>
    </row>
    <row r="66" spans="1:10" ht="21" customHeight="1">
      <c r="A66" s="58"/>
      <c r="B66" s="58"/>
      <c r="C66" s="58"/>
      <c r="D66" s="58"/>
      <c r="E66" s="58"/>
      <c r="F66" s="58"/>
      <c r="G66" s="58"/>
      <c r="H66" s="58"/>
      <c r="I66" s="58"/>
      <c r="J66" s="58"/>
    </row>
    <row r="67" spans="1:10" ht="21" customHeight="1">
      <c r="A67" s="58"/>
      <c r="B67" s="58"/>
      <c r="C67" s="58"/>
      <c r="D67" s="58"/>
      <c r="E67" s="58"/>
      <c r="F67" s="58"/>
      <c r="G67" s="58"/>
      <c r="H67" s="58"/>
      <c r="I67" s="58"/>
      <c r="J67" s="58"/>
    </row>
    <row r="68" spans="1:10" ht="21" customHeight="1">
      <c r="A68" s="58"/>
      <c r="B68" s="58"/>
      <c r="C68" s="58"/>
      <c r="D68" s="58"/>
      <c r="E68" s="58"/>
      <c r="F68" s="58"/>
      <c r="G68" s="58"/>
      <c r="H68" s="58"/>
      <c r="I68" s="58"/>
      <c r="J68" s="58"/>
    </row>
    <row r="69" spans="1:10" ht="21" customHeight="1">
      <c r="A69" s="58"/>
      <c r="B69" s="58"/>
      <c r="C69" s="58"/>
      <c r="D69" s="58"/>
      <c r="E69" s="58"/>
      <c r="F69" s="58"/>
      <c r="G69" s="58"/>
      <c r="H69" s="58"/>
      <c r="I69" s="58"/>
      <c r="J69" s="58"/>
    </row>
    <row r="70" spans="1:10" ht="21" customHeight="1">
      <c r="A70" s="58"/>
      <c r="B70" s="58"/>
      <c r="C70" s="58"/>
      <c r="D70" s="58"/>
      <c r="E70" s="58"/>
      <c r="F70" s="58"/>
      <c r="G70" s="58"/>
      <c r="H70" s="58"/>
      <c r="I70" s="58"/>
      <c r="J70" s="58"/>
    </row>
    <row r="71" spans="1:10" ht="21" customHeight="1">
      <c r="A71" s="58"/>
      <c r="B71" s="58"/>
      <c r="C71" s="58"/>
      <c r="D71" s="58"/>
      <c r="E71" s="58"/>
      <c r="F71" s="58"/>
      <c r="G71" s="58"/>
      <c r="H71" s="58"/>
      <c r="I71" s="58"/>
      <c r="J71" s="58"/>
    </row>
    <row r="72" spans="1:10" ht="21" customHeight="1"/>
    <row r="73" spans="1:10" ht="21" customHeight="1"/>
    <row r="74" spans="1:10" ht="21" customHeight="1"/>
    <row r="75" spans="1:10" ht="21" customHeight="1"/>
    <row r="76" spans="1:10" ht="21" customHeight="1"/>
    <row r="77" spans="1:10" ht="21" customHeight="1"/>
    <row r="78" spans="1:10" ht="21" customHeight="1"/>
    <row r="79" spans="1:10" ht="21" customHeight="1"/>
    <row r="80" spans="1:1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sheetData>
  <autoFilter ref="A6:J6"/>
  <mergeCells count="15">
    <mergeCell ref="A1:B1"/>
    <mergeCell ref="H1:J1"/>
    <mergeCell ref="A2:J2"/>
    <mergeCell ref="A3:J3"/>
    <mergeCell ref="A4:A5"/>
    <mergeCell ref="B4:B5"/>
    <mergeCell ref="C4:C5"/>
    <mergeCell ref="D4:E4"/>
    <mergeCell ref="F4:G4"/>
    <mergeCell ref="A48:J48"/>
    <mergeCell ref="A49:J49"/>
    <mergeCell ref="A50:J50"/>
    <mergeCell ref="H4:H5"/>
    <mergeCell ref="I4:I5"/>
    <mergeCell ref="J4:J5"/>
  </mergeCells>
  <pageMargins left="0.5" right="0.2" top="0.5" bottom="0.5" header="0.3" footer="0.3"/>
  <pageSetup paperSize="9" scale="8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0070C0"/>
  </sheetPr>
  <dimension ref="A1:K349"/>
  <sheetViews>
    <sheetView topLeftCell="A19" workbookViewId="0">
      <selection activeCell="O13" sqref="O13"/>
    </sheetView>
  </sheetViews>
  <sheetFormatPr defaultColWidth="9.08203125" defaultRowHeight="13"/>
  <cols>
    <col min="1" max="1" width="4.9140625" style="75" customWidth="1"/>
    <col min="2" max="2" width="68.4140625" style="75" customWidth="1"/>
    <col min="3" max="4" width="10.08203125" style="75" customWidth="1"/>
    <col min="5" max="5" width="5.9140625" style="107" hidden="1" customWidth="1"/>
    <col min="6" max="6" width="10.08203125" style="107" hidden="1" customWidth="1"/>
    <col min="7" max="7" width="5.9140625" style="107" hidden="1" customWidth="1"/>
    <col min="8" max="8" width="9.9140625" style="107" hidden="1" customWidth="1"/>
    <col min="9" max="9" width="10.4140625" style="107" hidden="1" customWidth="1"/>
    <col min="10" max="10" width="10.08203125" style="75" customWidth="1"/>
    <col min="11" max="16384" width="9.08203125" style="75"/>
  </cols>
  <sheetData>
    <row r="1" spans="1:11" ht="18" customHeight="1">
      <c r="A1" s="1810"/>
      <c r="B1" s="1810"/>
      <c r="C1" s="1811" t="s">
        <v>753</v>
      </c>
      <c r="D1" s="1811"/>
      <c r="E1" s="1812"/>
      <c r="F1" s="1812"/>
      <c r="G1" s="1812"/>
      <c r="H1" s="1812"/>
      <c r="I1" s="1812"/>
      <c r="J1" s="1811"/>
    </row>
    <row r="2" spans="1:11" ht="18" customHeight="1">
      <c r="A2" s="1780" t="s">
        <v>754</v>
      </c>
      <c r="B2" s="1780"/>
      <c r="C2" s="1780"/>
      <c r="D2" s="1780"/>
      <c r="E2" s="1813"/>
      <c r="F2" s="1813"/>
      <c r="G2" s="1813"/>
      <c r="H2" s="1813"/>
      <c r="I2" s="1813"/>
      <c r="J2" s="1780"/>
    </row>
    <row r="3" spans="1:11" ht="18" customHeight="1">
      <c r="A3" s="1814" t="s">
        <v>3</v>
      </c>
      <c r="B3" s="1814"/>
      <c r="C3" s="1814"/>
      <c r="D3" s="1814"/>
      <c r="E3" s="1814"/>
      <c r="F3" s="1814"/>
      <c r="G3" s="1814"/>
      <c r="H3" s="1814"/>
      <c r="I3" s="1814"/>
      <c r="J3" s="1814"/>
    </row>
    <row r="4" spans="1:11" ht="21" customHeight="1">
      <c r="A4" s="1786" t="s">
        <v>4</v>
      </c>
      <c r="B4" s="1786" t="s">
        <v>5</v>
      </c>
      <c r="C4" s="1786" t="s">
        <v>36</v>
      </c>
      <c r="D4" s="1786" t="s">
        <v>1600</v>
      </c>
      <c r="E4" s="417"/>
      <c r="F4" s="1815" t="s">
        <v>724</v>
      </c>
      <c r="G4" s="1815"/>
      <c r="H4" s="1816" t="s">
        <v>755</v>
      </c>
      <c r="I4" s="1816"/>
      <c r="J4" s="1786" t="s">
        <v>33</v>
      </c>
    </row>
    <row r="5" spans="1:11" ht="21" customHeight="1">
      <c r="A5" s="1786"/>
      <c r="B5" s="1786"/>
      <c r="C5" s="1786"/>
      <c r="D5" s="1786"/>
      <c r="E5" s="961" t="s">
        <v>719</v>
      </c>
      <c r="F5" s="961" t="s">
        <v>720</v>
      </c>
      <c r="G5" s="961" t="s">
        <v>719</v>
      </c>
      <c r="H5" s="962" t="s">
        <v>756</v>
      </c>
      <c r="I5" s="962" t="s">
        <v>757</v>
      </c>
      <c r="J5" s="1786"/>
    </row>
    <row r="6" spans="1:11" s="485" customFormat="1" ht="18" customHeight="1">
      <c r="A6" s="484" t="s">
        <v>10</v>
      </c>
      <c r="B6" s="484" t="s">
        <v>12</v>
      </c>
      <c r="C6" s="484">
        <v>3</v>
      </c>
      <c r="D6" s="484" t="s">
        <v>16</v>
      </c>
      <c r="E6" s="415" t="s">
        <v>18</v>
      </c>
      <c r="F6" s="415" t="s">
        <v>16</v>
      </c>
      <c r="G6" s="415" t="s">
        <v>18</v>
      </c>
      <c r="H6" s="415" t="s">
        <v>20</v>
      </c>
      <c r="I6" s="415" t="s">
        <v>22</v>
      </c>
      <c r="J6" s="484" t="s">
        <v>18</v>
      </c>
    </row>
    <row r="7" spans="1:11" s="106" customFormat="1" ht="18" customHeight="1">
      <c r="A7" s="721"/>
      <c r="B7" s="721" t="s">
        <v>758</v>
      </c>
      <c r="C7" s="23">
        <f>+C8+C17</f>
        <v>206374.52000000002</v>
      </c>
      <c r="D7" s="23">
        <f>+D8+D17</f>
        <v>196507.32</v>
      </c>
      <c r="E7" s="721">
        <f>+E8+E17</f>
        <v>0</v>
      </c>
      <c r="F7" s="721">
        <f>+F8+F17</f>
        <v>9867.2000000000007</v>
      </c>
      <c r="G7" s="418">
        <f>+G8+G17</f>
        <v>0</v>
      </c>
      <c r="H7" s="419">
        <f>C8/C7*100</f>
        <v>10.068321418748786</v>
      </c>
      <c r="I7" s="419">
        <f>C17/C7*100</f>
        <v>89.931678581251205</v>
      </c>
      <c r="J7" s="721"/>
    </row>
    <row r="8" spans="1:11" s="749" customFormat="1" ht="18" customHeight="1">
      <c r="A8" s="26" t="s">
        <v>37</v>
      </c>
      <c r="B8" s="55" t="s">
        <v>733</v>
      </c>
      <c r="C8" s="21">
        <f>+C9</f>
        <v>20778.45</v>
      </c>
      <c r="D8" s="21">
        <f t="shared" ref="D8:F8" si="0">+D9</f>
        <v>19789</v>
      </c>
      <c r="E8" s="139">
        <f t="shared" si="0"/>
        <v>0</v>
      </c>
      <c r="F8" s="139">
        <f t="shared" si="0"/>
        <v>989.45</v>
      </c>
      <c r="G8" s="404"/>
      <c r="H8" s="404"/>
      <c r="I8" s="404"/>
      <c r="J8" s="24"/>
    </row>
    <row r="9" spans="1:11" s="8" customFormat="1" ht="18" customHeight="1">
      <c r="A9" s="26" t="s">
        <v>10</v>
      </c>
      <c r="B9" s="55" t="s">
        <v>734</v>
      </c>
      <c r="C9" s="737">
        <f>SUM(C10:C16)</f>
        <v>20778.45</v>
      </c>
      <c r="D9" s="737">
        <f t="shared" ref="D9:F9" si="1">SUM(D10:D16)</f>
        <v>19789</v>
      </c>
      <c r="E9" s="420">
        <f t="shared" si="1"/>
        <v>0</v>
      </c>
      <c r="F9" s="420">
        <f t="shared" si="1"/>
        <v>989.45</v>
      </c>
      <c r="G9" s="405"/>
      <c r="H9" s="405"/>
      <c r="I9" s="405"/>
      <c r="J9" s="750"/>
      <c r="K9" s="30"/>
    </row>
    <row r="10" spans="1:11" s="751" customFormat="1" ht="26">
      <c r="A10" s="18" t="s">
        <v>701</v>
      </c>
      <c r="B10" s="669" t="s">
        <v>2181</v>
      </c>
      <c r="C10" s="20">
        <f>+D10+F10</f>
        <v>3150</v>
      </c>
      <c r="D10" s="20">
        <v>3000</v>
      </c>
      <c r="E10" s="488"/>
      <c r="F10" s="421">
        <f>D10*5%</f>
        <v>150</v>
      </c>
      <c r="G10" s="457"/>
      <c r="H10" s="457"/>
      <c r="I10" s="457"/>
      <c r="J10" s="25"/>
    </row>
    <row r="11" spans="1:11" s="751" customFormat="1" ht="18" customHeight="1">
      <c r="A11" s="18" t="s">
        <v>701</v>
      </c>
      <c r="B11" s="669" t="s">
        <v>2182</v>
      </c>
      <c r="C11" s="20">
        <f t="shared" ref="C11:C16" si="2">+D11+F11</f>
        <v>3150</v>
      </c>
      <c r="D11" s="16">
        <v>3000</v>
      </c>
      <c r="E11" s="488"/>
      <c r="F11" s="421">
        <f t="shared" ref="F11:F16" si="3">D11*5%</f>
        <v>150</v>
      </c>
      <c r="G11" s="457"/>
      <c r="H11" s="457"/>
      <c r="I11" s="457"/>
      <c r="J11" s="174"/>
    </row>
    <row r="12" spans="1:11" s="8" customFormat="1" ht="18" customHeight="1">
      <c r="A12" s="18" t="s">
        <v>701</v>
      </c>
      <c r="B12" s="669" t="s">
        <v>2183</v>
      </c>
      <c r="C12" s="20">
        <f t="shared" si="2"/>
        <v>3150</v>
      </c>
      <c r="D12" s="16">
        <v>3000</v>
      </c>
      <c r="E12" s="542">
        <f t="shared" ref="E12" si="4">+E13</f>
        <v>0</v>
      </c>
      <c r="F12" s="421">
        <f t="shared" si="3"/>
        <v>150</v>
      </c>
      <c r="G12" s="543"/>
      <c r="H12" s="543"/>
      <c r="I12" s="543"/>
      <c r="J12" s="553"/>
      <c r="K12" s="30"/>
    </row>
    <row r="13" spans="1:11" s="8" customFormat="1" ht="27.75" customHeight="1">
      <c r="A13" s="18" t="s">
        <v>701</v>
      </c>
      <c r="B13" s="748" t="s">
        <v>2184</v>
      </c>
      <c r="C13" s="20">
        <f t="shared" si="2"/>
        <v>3138.45</v>
      </c>
      <c r="D13" s="16">
        <v>2989</v>
      </c>
      <c r="E13" s="488"/>
      <c r="F13" s="421">
        <f t="shared" si="3"/>
        <v>149.45000000000002</v>
      </c>
      <c r="G13" s="544"/>
      <c r="H13" s="544"/>
      <c r="I13" s="544"/>
      <c r="J13" s="553"/>
    </row>
    <row r="14" spans="1:11" s="30" customFormat="1" ht="26">
      <c r="A14" s="18" t="s">
        <v>701</v>
      </c>
      <c r="B14" s="748" t="s">
        <v>2185</v>
      </c>
      <c r="C14" s="20">
        <f t="shared" si="2"/>
        <v>1995</v>
      </c>
      <c r="D14" s="16">
        <v>1900</v>
      </c>
      <c r="E14" s="542"/>
      <c r="F14" s="421">
        <f>D14*5%</f>
        <v>95</v>
      </c>
      <c r="G14" s="543"/>
      <c r="H14" s="543"/>
      <c r="I14" s="543"/>
      <c r="J14" s="553"/>
    </row>
    <row r="15" spans="1:11" s="8" customFormat="1" ht="27.75" customHeight="1">
      <c r="A15" s="18" t="s">
        <v>701</v>
      </c>
      <c r="B15" s="748" t="s">
        <v>2186</v>
      </c>
      <c r="C15" s="20">
        <f t="shared" si="2"/>
        <v>3045</v>
      </c>
      <c r="D15" s="16">
        <v>2900</v>
      </c>
      <c r="E15" s="488"/>
      <c r="F15" s="421">
        <f t="shared" si="3"/>
        <v>145</v>
      </c>
      <c r="G15" s="544"/>
      <c r="H15" s="544"/>
      <c r="I15" s="544"/>
      <c r="J15" s="553"/>
    </row>
    <row r="16" spans="1:11" s="8" customFormat="1" ht="27.75" customHeight="1">
      <c r="A16" s="18" t="s">
        <v>701</v>
      </c>
      <c r="B16" s="748" t="s">
        <v>2187</v>
      </c>
      <c r="C16" s="20">
        <f t="shared" si="2"/>
        <v>3150</v>
      </c>
      <c r="D16" s="16">
        <v>3000</v>
      </c>
      <c r="E16" s="488"/>
      <c r="F16" s="421">
        <f t="shared" si="3"/>
        <v>150</v>
      </c>
      <c r="G16" s="544"/>
      <c r="H16" s="544"/>
      <c r="I16" s="544"/>
      <c r="J16" s="553"/>
    </row>
    <row r="17" spans="1:11" s="749" customFormat="1" ht="18" customHeight="1">
      <c r="A17" s="108" t="s">
        <v>38</v>
      </c>
      <c r="B17" s="992" t="s">
        <v>901</v>
      </c>
      <c r="C17" s="139">
        <f>C18+C69+C96+C146+C216+C222+C239+C267</f>
        <v>185596.07</v>
      </c>
      <c r="D17" s="139">
        <f t="shared" ref="D17:F17" si="5">D18+D69+D96+D146+D216+D222+D239+D267</f>
        <v>176718.32</v>
      </c>
      <c r="E17" s="963"/>
      <c r="F17" s="963">
        <f t="shared" si="5"/>
        <v>8877.75</v>
      </c>
      <c r="G17" s="404"/>
      <c r="H17" s="404"/>
      <c r="I17" s="404"/>
      <c r="J17" s="24"/>
    </row>
    <row r="18" spans="1:11" s="751" customFormat="1" ht="18" customHeight="1">
      <c r="A18" s="108" t="s">
        <v>8</v>
      </c>
      <c r="B18" s="992" t="s">
        <v>11</v>
      </c>
      <c r="C18" s="420">
        <f>+C19+C23</f>
        <v>31727</v>
      </c>
      <c r="D18" s="420">
        <f t="shared" ref="D18:F18" si="6">+D19+D23</f>
        <v>30213</v>
      </c>
      <c r="E18" s="964">
        <f t="shared" si="6"/>
        <v>0</v>
      </c>
      <c r="F18" s="964">
        <f t="shared" si="6"/>
        <v>1514</v>
      </c>
      <c r="G18" s="406"/>
      <c r="H18" s="406"/>
      <c r="I18" s="406"/>
      <c r="J18" s="25"/>
    </row>
    <row r="19" spans="1:11" s="751" customFormat="1" ht="18" customHeight="1">
      <c r="A19" s="112" t="s">
        <v>10</v>
      </c>
      <c r="B19" s="148" t="s">
        <v>759</v>
      </c>
      <c r="C19" s="291">
        <f>C20+C21+C22</f>
        <v>4488</v>
      </c>
      <c r="D19" s="291">
        <f t="shared" ref="D19:F19" si="7">D20+D21+D22</f>
        <v>4275</v>
      </c>
      <c r="E19" s="115">
        <f t="shared" si="7"/>
        <v>0</v>
      </c>
      <c r="F19" s="115">
        <f t="shared" si="7"/>
        <v>213</v>
      </c>
      <c r="G19" s="406"/>
      <c r="H19" s="406"/>
      <c r="I19" s="406"/>
      <c r="J19" s="25"/>
    </row>
    <row r="20" spans="1:11" s="111" customFormat="1" ht="18" hidden="1" customHeight="1">
      <c r="A20" s="119"/>
      <c r="B20" s="113" t="s">
        <v>2188</v>
      </c>
      <c r="C20" s="115">
        <f>+D20+F20</f>
        <v>1496</v>
      </c>
      <c r="D20" s="115">
        <v>1425</v>
      </c>
      <c r="E20" s="115"/>
      <c r="F20" s="116">
        <v>71</v>
      </c>
      <c r="G20" s="405"/>
      <c r="H20" s="405"/>
      <c r="I20" s="405"/>
      <c r="J20" s="115" t="s">
        <v>1774</v>
      </c>
      <c r="K20" s="110"/>
    </row>
    <row r="21" spans="1:11" s="111" customFormat="1" ht="18" hidden="1" customHeight="1">
      <c r="A21" s="112"/>
      <c r="B21" s="113" t="s">
        <v>2189</v>
      </c>
      <c r="C21" s="115">
        <f t="shared" ref="C21" si="8">+D21+F21</f>
        <v>1496</v>
      </c>
      <c r="D21" s="115">
        <v>1425</v>
      </c>
      <c r="E21" s="115"/>
      <c r="F21" s="116">
        <v>71</v>
      </c>
      <c r="G21" s="116"/>
      <c r="H21" s="293"/>
      <c r="I21" s="293"/>
      <c r="J21" s="115" t="s">
        <v>1774</v>
      </c>
    </row>
    <row r="22" spans="1:11" s="111" customFormat="1" ht="18" hidden="1" customHeight="1">
      <c r="A22" s="112"/>
      <c r="B22" s="113" t="s">
        <v>2190</v>
      </c>
      <c r="C22" s="115">
        <f>+D22+F22</f>
        <v>1496</v>
      </c>
      <c r="D22" s="115">
        <v>1425</v>
      </c>
      <c r="E22" s="115"/>
      <c r="F22" s="116">
        <v>71</v>
      </c>
      <c r="G22" s="116"/>
      <c r="H22" s="293"/>
      <c r="I22" s="293"/>
      <c r="J22" s="115" t="s">
        <v>1774</v>
      </c>
    </row>
    <row r="23" spans="1:11" s="35" customFormat="1" ht="18" customHeight="1">
      <c r="A23" s="122" t="s">
        <v>12</v>
      </c>
      <c r="B23" s="148" t="s">
        <v>760</v>
      </c>
      <c r="C23" s="291">
        <f>C24+C28+C32+C34+C37+C40+C43+C46+C50+C53+C57+C61+C65+C63</f>
        <v>27239</v>
      </c>
      <c r="D23" s="291">
        <f t="shared" ref="D23:F23" si="9">D24+D28+D32+D34+D37+D40+D43+D46+D50+D53+D57+D61+D65+D63</f>
        <v>25938</v>
      </c>
      <c r="E23" s="115">
        <f t="shared" si="9"/>
        <v>0</v>
      </c>
      <c r="F23" s="115">
        <f t="shared" si="9"/>
        <v>1301</v>
      </c>
      <c r="G23" s="120"/>
      <c r="H23" s="407"/>
      <c r="I23" s="407"/>
      <c r="J23" s="126"/>
    </row>
    <row r="24" spans="1:11" s="111" customFormat="1" ht="18" hidden="1" customHeight="1">
      <c r="A24" s="122" t="s">
        <v>742</v>
      </c>
      <c r="B24" s="118" t="s">
        <v>692</v>
      </c>
      <c r="C24" s="546">
        <f>SUM(C25:C27)</f>
        <v>2394</v>
      </c>
      <c r="D24" s="546">
        <f t="shared" ref="D24:F24" si="10">SUM(D25:D27)</f>
        <v>2280</v>
      </c>
      <c r="E24" s="546">
        <f t="shared" si="10"/>
        <v>0</v>
      </c>
      <c r="F24" s="546">
        <f t="shared" si="10"/>
        <v>114</v>
      </c>
      <c r="G24" s="116"/>
      <c r="H24" s="293"/>
      <c r="I24" s="293"/>
      <c r="J24" s="293" t="s">
        <v>1774</v>
      </c>
    </row>
    <row r="25" spans="1:11" s="111" customFormat="1" ht="18" hidden="1" customHeight="1">
      <c r="A25" s="122"/>
      <c r="B25" s="113" t="s">
        <v>2191</v>
      </c>
      <c r="C25" s="115">
        <f t="shared" ref="C25:C27" si="11">+D25+F25</f>
        <v>1197</v>
      </c>
      <c r="D25" s="115">
        <v>1140</v>
      </c>
      <c r="E25" s="115"/>
      <c r="F25" s="116">
        <v>57</v>
      </c>
      <c r="G25" s="116"/>
      <c r="H25" s="293"/>
      <c r="I25" s="293"/>
      <c r="J25" s="120" t="s">
        <v>1774</v>
      </c>
    </row>
    <row r="26" spans="1:11" s="111" customFormat="1" ht="18" hidden="1" customHeight="1">
      <c r="A26" s="122"/>
      <c r="B26" s="113" t="s">
        <v>2192</v>
      </c>
      <c r="C26" s="115">
        <f t="shared" si="11"/>
        <v>698</v>
      </c>
      <c r="D26" s="115">
        <v>665</v>
      </c>
      <c r="E26" s="115"/>
      <c r="F26" s="116">
        <v>33</v>
      </c>
      <c r="G26" s="116"/>
      <c r="H26" s="293"/>
      <c r="I26" s="293"/>
      <c r="J26" s="120" t="s">
        <v>1774</v>
      </c>
      <c r="K26" s="110"/>
    </row>
    <row r="27" spans="1:11" s="111" customFormat="1" ht="18" hidden="1" customHeight="1">
      <c r="A27" s="119"/>
      <c r="B27" s="113" t="s">
        <v>1941</v>
      </c>
      <c r="C27" s="115">
        <f t="shared" si="11"/>
        <v>499</v>
      </c>
      <c r="D27" s="115">
        <v>475</v>
      </c>
      <c r="E27" s="115"/>
      <c r="F27" s="116">
        <v>24</v>
      </c>
      <c r="G27" s="116"/>
      <c r="H27" s="293"/>
      <c r="I27" s="293"/>
      <c r="J27" s="120" t="s">
        <v>1774</v>
      </c>
    </row>
    <row r="28" spans="1:11" s="111" customFormat="1" ht="18" hidden="1" customHeight="1">
      <c r="A28" s="122" t="s">
        <v>742</v>
      </c>
      <c r="B28" s="118" t="s">
        <v>690</v>
      </c>
      <c r="C28" s="546">
        <f>SUM(C29:C31)</f>
        <v>2295</v>
      </c>
      <c r="D28" s="546">
        <f t="shared" ref="D28:F28" si="12">SUM(D29:D31)</f>
        <v>2185</v>
      </c>
      <c r="E28" s="546">
        <f t="shared" si="12"/>
        <v>0</v>
      </c>
      <c r="F28" s="546">
        <f t="shared" si="12"/>
        <v>110</v>
      </c>
      <c r="G28" s="116"/>
      <c r="H28" s="293"/>
      <c r="I28" s="293"/>
      <c r="J28" s="120" t="s">
        <v>1774</v>
      </c>
    </row>
    <row r="29" spans="1:11" s="111" customFormat="1" ht="18" hidden="1" customHeight="1">
      <c r="A29" s="122"/>
      <c r="B29" s="113" t="s">
        <v>2191</v>
      </c>
      <c r="C29" s="115">
        <f t="shared" ref="C29:C31" si="13">+D29+F29</f>
        <v>998</v>
      </c>
      <c r="D29" s="115">
        <v>950</v>
      </c>
      <c r="E29" s="115"/>
      <c r="F29" s="116">
        <v>48</v>
      </c>
      <c r="G29" s="116"/>
      <c r="H29" s="293"/>
      <c r="I29" s="293"/>
      <c r="J29" s="120" t="s">
        <v>1774</v>
      </c>
    </row>
    <row r="30" spans="1:11" s="121" customFormat="1" ht="18" hidden="1" customHeight="1">
      <c r="A30" s="112"/>
      <c r="B30" s="113" t="s">
        <v>761</v>
      </c>
      <c r="C30" s="115">
        <f t="shared" si="13"/>
        <v>798</v>
      </c>
      <c r="D30" s="115">
        <v>760</v>
      </c>
      <c r="E30" s="115"/>
      <c r="F30" s="116">
        <v>38</v>
      </c>
      <c r="G30" s="120"/>
      <c r="H30" s="407"/>
      <c r="I30" s="407"/>
      <c r="J30" s="120" t="s">
        <v>1774</v>
      </c>
    </row>
    <row r="31" spans="1:11" s="111" customFormat="1" ht="18" hidden="1" customHeight="1">
      <c r="A31" s="122"/>
      <c r="B31" s="113" t="s">
        <v>1941</v>
      </c>
      <c r="C31" s="115">
        <f t="shared" si="13"/>
        <v>499</v>
      </c>
      <c r="D31" s="115">
        <v>475</v>
      </c>
      <c r="E31" s="115"/>
      <c r="F31" s="116">
        <v>24</v>
      </c>
      <c r="G31" s="116"/>
      <c r="H31" s="293"/>
      <c r="I31" s="293"/>
      <c r="J31" s="120" t="s">
        <v>1774</v>
      </c>
    </row>
    <row r="32" spans="1:11" s="111" customFormat="1" ht="18" hidden="1" customHeight="1">
      <c r="A32" s="122" t="s">
        <v>742</v>
      </c>
      <c r="B32" s="118" t="s">
        <v>503</v>
      </c>
      <c r="C32" s="546">
        <f>C33</f>
        <v>1096</v>
      </c>
      <c r="D32" s="546">
        <f t="shared" ref="D32:F32" si="14">D33</f>
        <v>1044</v>
      </c>
      <c r="E32" s="546">
        <f t="shared" si="14"/>
        <v>0</v>
      </c>
      <c r="F32" s="546">
        <f t="shared" si="14"/>
        <v>52</v>
      </c>
      <c r="G32" s="116"/>
      <c r="H32" s="293"/>
      <c r="I32" s="293"/>
      <c r="J32" s="120" t="s">
        <v>1774</v>
      </c>
    </row>
    <row r="33" spans="1:10" s="111" customFormat="1" ht="18" hidden="1" customHeight="1">
      <c r="A33" s="122"/>
      <c r="B33" s="113" t="s">
        <v>2193</v>
      </c>
      <c r="C33" s="115">
        <f>+D33+F33</f>
        <v>1096</v>
      </c>
      <c r="D33" s="115">
        <v>1044</v>
      </c>
      <c r="E33" s="115"/>
      <c r="F33" s="116">
        <v>52</v>
      </c>
      <c r="G33" s="116"/>
      <c r="H33" s="293"/>
      <c r="I33" s="293"/>
      <c r="J33" s="120" t="s">
        <v>1774</v>
      </c>
    </row>
    <row r="34" spans="1:10" s="111" customFormat="1" ht="18" hidden="1" customHeight="1">
      <c r="A34" s="122" t="s">
        <v>742</v>
      </c>
      <c r="B34" s="118" t="s">
        <v>689</v>
      </c>
      <c r="C34" s="546">
        <f>SUM(C35:C36)</f>
        <v>2193</v>
      </c>
      <c r="D34" s="546">
        <f t="shared" ref="D34:F34" si="15">SUM(D35:D36)</f>
        <v>2089</v>
      </c>
      <c r="E34" s="546">
        <f t="shared" si="15"/>
        <v>0</v>
      </c>
      <c r="F34" s="546">
        <f t="shared" si="15"/>
        <v>104</v>
      </c>
      <c r="G34" s="116"/>
      <c r="H34" s="293"/>
      <c r="I34" s="293"/>
      <c r="J34" s="120" t="s">
        <v>1774</v>
      </c>
    </row>
    <row r="35" spans="1:10" s="111" customFormat="1" ht="18" hidden="1" customHeight="1">
      <c r="A35" s="112"/>
      <c r="B35" s="113" t="s">
        <v>2194</v>
      </c>
      <c r="C35" s="115">
        <f t="shared" ref="C35:C36" si="16">+D35+F35</f>
        <v>1143</v>
      </c>
      <c r="D35" s="115">
        <v>1089</v>
      </c>
      <c r="E35" s="115"/>
      <c r="F35" s="116">
        <v>54</v>
      </c>
      <c r="G35" s="123"/>
      <c r="H35" s="408"/>
      <c r="I35" s="408"/>
      <c r="J35" s="120" t="s">
        <v>1774</v>
      </c>
    </row>
    <row r="36" spans="1:10" s="111" customFormat="1" ht="18" hidden="1" customHeight="1">
      <c r="A36" s="124"/>
      <c r="B36" s="113" t="s">
        <v>2191</v>
      </c>
      <c r="C36" s="115">
        <f t="shared" si="16"/>
        <v>1050</v>
      </c>
      <c r="D36" s="115">
        <v>1000</v>
      </c>
      <c r="E36" s="115"/>
      <c r="F36" s="116">
        <v>50</v>
      </c>
      <c r="G36" s="116"/>
      <c r="H36" s="293"/>
      <c r="I36" s="293"/>
      <c r="J36" s="120" t="s">
        <v>1774</v>
      </c>
    </row>
    <row r="37" spans="1:10" s="121" customFormat="1" ht="18" hidden="1" customHeight="1">
      <c r="A37" s="122" t="s">
        <v>742</v>
      </c>
      <c r="B37" s="118" t="s">
        <v>570</v>
      </c>
      <c r="C37" s="546">
        <f>SUM(C38:C39)</f>
        <v>2220</v>
      </c>
      <c r="D37" s="546">
        <f t="shared" ref="D37:F37" si="17">SUM(D38:D39)</f>
        <v>2114</v>
      </c>
      <c r="E37" s="546">
        <f t="shared" si="17"/>
        <v>0</v>
      </c>
      <c r="F37" s="546">
        <f t="shared" si="17"/>
        <v>106</v>
      </c>
      <c r="G37" s="120"/>
      <c r="H37" s="407"/>
      <c r="I37" s="407"/>
      <c r="J37" s="120" t="s">
        <v>1774</v>
      </c>
    </row>
    <row r="38" spans="1:10" s="111" customFormat="1" ht="18" hidden="1" customHeight="1">
      <c r="A38" s="112"/>
      <c r="B38" s="113" t="s">
        <v>2195</v>
      </c>
      <c r="C38" s="115">
        <f t="shared" ref="C38:C39" si="18">+D38+F38</f>
        <v>1197</v>
      </c>
      <c r="D38" s="115">
        <v>1140</v>
      </c>
      <c r="E38" s="115"/>
      <c r="F38" s="116">
        <v>57</v>
      </c>
      <c r="G38" s="116"/>
      <c r="H38" s="293"/>
      <c r="I38" s="293"/>
      <c r="J38" s="120" t="s">
        <v>1774</v>
      </c>
    </row>
    <row r="39" spans="1:10" s="111" customFormat="1" ht="18" hidden="1" customHeight="1">
      <c r="A39" s="122"/>
      <c r="B39" s="113" t="s">
        <v>2196</v>
      </c>
      <c r="C39" s="115">
        <f t="shared" si="18"/>
        <v>1023</v>
      </c>
      <c r="D39" s="115">
        <v>974</v>
      </c>
      <c r="E39" s="115"/>
      <c r="F39" s="116">
        <v>49</v>
      </c>
      <c r="G39" s="109"/>
      <c r="H39" s="405"/>
      <c r="I39" s="405"/>
      <c r="J39" s="120" t="s">
        <v>1774</v>
      </c>
    </row>
    <row r="40" spans="1:10" s="121" customFormat="1" ht="18" hidden="1" customHeight="1">
      <c r="A40" s="122" t="s">
        <v>742</v>
      </c>
      <c r="B40" s="118" t="s">
        <v>615</v>
      </c>
      <c r="C40" s="546">
        <f>SUM(C41:C42)</f>
        <v>2194</v>
      </c>
      <c r="D40" s="546">
        <f t="shared" ref="D40:F40" si="19">SUM(D41:D42)</f>
        <v>2090</v>
      </c>
      <c r="E40" s="546">
        <f t="shared" si="19"/>
        <v>0</v>
      </c>
      <c r="F40" s="546">
        <f t="shared" si="19"/>
        <v>104</v>
      </c>
      <c r="G40" s="120"/>
      <c r="H40" s="407"/>
      <c r="I40" s="407"/>
      <c r="J40" s="120" t="s">
        <v>1774</v>
      </c>
    </row>
    <row r="41" spans="1:10" s="111" customFormat="1" ht="18" hidden="1" customHeight="1">
      <c r="A41" s="122"/>
      <c r="B41" s="113" t="s">
        <v>2197</v>
      </c>
      <c r="C41" s="115">
        <f t="shared" ref="C41:C42" si="20">+D41+F41</f>
        <v>1496</v>
      </c>
      <c r="D41" s="115">
        <v>1425</v>
      </c>
      <c r="E41" s="115"/>
      <c r="F41" s="116">
        <v>71</v>
      </c>
      <c r="G41" s="116"/>
      <c r="H41" s="293"/>
      <c r="I41" s="293"/>
      <c r="J41" s="120" t="s">
        <v>1774</v>
      </c>
    </row>
    <row r="42" spans="1:10" s="111" customFormat="1" ht="18" hidden="1" customHeight="1">
      <c r="A42" s="122"/>
      <c r="B42" s="113" t="s">
        <v>1941</v>
      </c>
      <c r="C42" s="115">
        <f t="shared" si="20"/>
        <v>698</v>
      </c>
      <c r="D42" s="115">
        <v>665</v>
      </c>
      <c r="E42" s="115"/>
      <c r="F42" s="116">
        <v>33</v>
      </c>
      <c r="G42" s="116"/>
      <c r="H42" s="293"/>
      <c r="I42" s="293"/>
      <c r="J42" s="120" t="s">
        <v>1774</v>
      </c>
    </row>
    <row r="43" spans="1:10" s="111" customFormat="1" ht="18" hidden="1" customHeight="1">
      <c r="A43" s="122" t="s">
        <v>742</v>
      </c>
      <c r="B43" s="118" t="s">
        <v>568</v>
      </c>
      <c r="C43" s="546">
        <f>SUM(C44:C45)</f>
        <v>1996</v>
      </c>
      <c r="D43" s="546">
        <f t="shared" ref="D43:F43" si="21">SUM(D44:D45)</f>
        <v>1900</v>
      </c>
      <c r="E43" s="546">
        <f t="shared" si="21"/>
        <v>0</v>
      </c>
      <c r="F43" s="546">
        <f t="shared" si="21"/>
        <v>96</v>
      </c>
      <c r="G43" s="116"/>
      <c r="H43" s="293"/>
      <c r="I43" s="293"/>
      <c r="J43" s="120" t="s">
        <v>1774</v>
      </c>
    </row>
    <row r="44" spans="1:10" s="111" customFormat="1" ht="18" hidden="1" customHeight="1">
      <c r="A44" s="112"/>
      <c r="B44" s="113" t="s">
        <v>2198</v>
      </c>
      <c r="C44" s="115">
        <f t="shared" ref="C44:C45" si="22">+D44+F44</f>
        <v>998</v>
      </c>
      <c r="D44" s="115">
        <v>950</v>
      </c>
      <c r="E44" s="115"/>
      <c r="F44" s="116">
        <v>48</v>
      </c>
      <c r="G44" s="123"/>
      <c r="H44" s="408"/>
      <c r="I44" s="408"/>
      <c r="J44" s="120" t="s">
        <v>1774</v>
      </c>
    </row>
    <row r="45" spans="1:10" s="111" customFormat="1" ht="18" hidden="1" customHeight="1">
      <c r="A45" s="112"/>
      <c r="B45" s="113" t="s">
        <v>2199</v>
      </c>
      <c r="C45" s="115">
        <f t="shared" si="22"/>
        <v>998</v>
      </c>
      <c r="D45" s="115">
        <v>950</v>
      </c>
      <c r="E45" s="115"/>
      <c r="F45" s="116">
        <v>48</v>
      </c>
      <c r="G45" s="123"/>
      <c r="H45" s="408"/>
      <c r="I45" s="408"/>
      <c r="J45" s="120" t="s">
        <v>1774</v>
      </c>
    </row>
    <row r="46" spans="1:10" s="121" customFormat="1" ht="18" hidden="1" customHeight="1">
      <c r="A46" s="122" t="s">
        <v>742</v>
      </c>
      <c r="B46" s="118" t="s">
        <v>627</v>
      </c>
      <c r="C46" s="546">
        <f>SUM(C47:C49)</f>
        <v>2495</v>
      </c>
      <c r="D46" s="546">
        <f t="shared" ref="D46:F46" si="23">SUM(D47:D49)</f>
        <v>2375</v>
      </c>
      <c r="E46" s="546">
        <f t="shared" si="23"/>
        <v>0</v>
      </c>
      <c r="F46" s="546">
        <f t="shared" si="23"/>
        <v>120</v>
      </c>
      <c r="G46" s="120"/>
      <c r="H46" s="407"/>
      <c r="I46" s="407"/>
      <c r="J46" s="120" t="s">
        <v>1774</v>
      </c>
    </row>
    <row r="47" spans="1:10" s="111" customFormat="1" ht="18" hidden="1" customHeight="1">
      <c r="A47" s="122"/>
      <c r="B47" s="113" t="s">
        <v>2200</v>
      </c>
      <c r="C47" s="115">
        <f t="shared" ref="C47:C49" si="24">+D47+F47</f>
        <v>998</v>
      </c>
      <c r="D47" s="115">
        <v>950</v>
      </c>
      <c r="E47" s="115"/>
      <c r="F47" s="116">
        <v>48</v>
      </c>
      <c r="G47" s="116"/>
      <c r="H47" s="293"/>
      <c r="I47" s="293"/>
      <c r="J47" s="293" t="s">
        <v>1774</v>
      </c>
    </row>
    <row r="48" spans="1:10" s="111" customFormat="1" ht="18" hidden="1" customHeight="1">
      <c r="A48" s="122"/>
      <c r="B48" s="113" t="s">
        <v>2196</v>
      </c>
      <c r="C48" s="115">
        <f t="shared" si="24"/>
        <v>998</v>
      </c>
      <c r="D48" s="115">
        <v>950</v>
      </c>
      <c r="E48" s="115"/>
      <c r="F48" s="116">
        <v>48</v>
      </c>
      <c r="G48" s="116"/>
      <c r="H48" s="293"/>
      <c r="I48" s="293"/>
      <c r="J48" s="120" t="s">
        <v>1774</v>
      </c>
    </row>
    <row r="49" spans="1:10" s="111" customFormat="1" ht="18" hidden="1" customHeight="1">
      <c r="A49" s="122"/>
      <c r="B49" s="113" t="s">
        <v>1941</v>
      </c>
      <c r="C49" s="115">
        <f t="shared" si="24"/>
        <v>499</v>
      </c>
      <c r="D49" s="115">
        <v>475</v>
      </c>
      <c r="E49" s="115"/>
      <c r="F49" s="116">
        <v>24</v>
      </c>
      <c r="G49" s="116"/>
      <c r="H49" s="293"/>
      <c r="I49" s="293"/>
      <c r="J49" s="120" t="s">
        <v>1774</v>
      </c>
    </row>
    <row r="50" spans="1:10" s="111" customFormat="1" ht="18" hidden="1" customHeight="1">
      <c r="A50" s="122" t="s">
        <v>742</v>
      </c>
      <c r="B50" s="118" t="s">
        <v>693</v>
      </c>
      <c r="C50" s="546">
        <f>SUM(C51:C52)</f>
        <v>2195</v>
      </c>
      <c r="D50" s="546">
        <f t="shared" ref="D50:F50" si="25">SUM(D51:D52)</f>
        <v>2090</v>
      </c>
      <c r="E50" s="546">
        <f t="shared" si="25"/>
        <v>0</v>
      </c>
      <c r="F50" s="546">
        <f t="shared" si="25"/>
        <v>105</v>
      </c>
      <c r="G50" s="116"/>
      <c r="H50" s="293"/>
      <c r="I50" s="293"/>
      <c r="J50" s="120" t="s">
        <v>1774</v>
      </c>
    </row>
    <row r="51" spans="1:10" s="111" customFormat="1" ht="18" hidden="1" customHeight="1">
      <c r="A51" s="112"/>
      <c r="B51" s="113" t="s">
        <v>2201</v>
      </c>
      <c r="C51" s="115">
        <f t="shared" ref="C51:C52" si="26">+D51+F51</f>
        <v>1197</v>
      </c>
      <c r="D51" s="115">
        <v>1140</v>
      </c>
      <c r="E51" s="115"/>
      <c r="F51" s="116">
        <v>57</v>
      </c>
      <c r="G51" s="116"/>
      <c r="H51" s="293"/>
      <c r="I51" s="293"/>
      <c r="J51" s="120" t="s">
        <v>1774</v>
      </c>
    </row>
    <row r="52" spans="1:10" s="121" customFormat="1" ht="18" hidden="1" customHeight="1">
      <c r="A52" s="122"/>
      <c r="B52" s="113" t="s">
        <v>2202</v>
      </c>
      <c r="C52" s="115">
        <f t="shared" si="26"/>
        <v>998</v>
      </c>
      <c r="D52" s="115">
        <v>950</v>
      </c>
      <c r="E52" s="115"/>
      <c r="F52" s="116">
        <v>48</v>
      </c>
      <c r="G52" s="116"/>
      <c r="H52" s="407"/>
      <c r="I52" s="407"/>
      <c r="J52" s="120" t="s">
        <v>1774</v>
      </c>
    </row>
    <row r="53" spans="1:10" s="111" customFormat="1" ht="18" hidden="1" customHeight="1">
      <c r="A53" s="122" t="s">
        <v>742</v>
      </c>
      <c r="B53" s="118" t="s">
        <v>691</v>
      </c>
      <c r="C53" s="546">
        <f>C54+C55+C56</f>
        <v>2494</v>
      </c>
      <c r="D53" s="546">
        <f t="shared" ref="D53:F53" si="27">D54+D55+D56</f>
        <v>2375</v>
      </c>
      <c r="E53" s="546">
        <f t="shared" si="27"/>
        <v>0</v>
      </c>
      <c r="F53" s="546">
        <f t="shared" si="27"/>
        <v>119</v>
      </c>
      <c r="G53" s="120"/>
      <c r="H53" s="293"/>
      <c r="I53" s="293"/>
      <c r="J53" s="120" t="s">
        <v>1774</v>
      </c>
    </row>
    <row r="54" spans="1:10" s="111" customFormat="1" ht="18" hidden="1" customHeight="1">
      <c r="A54" s="122"/>
      <c r="B54" s="113" t="s">
        <v>2203</v>
      </c>
      <c r="C54" s="115">
        <f t="shared" ref="C54:C56" si="28">+D54+F54</f>
        <v>998</v>
      </c>
      <c r="D54" s="115">
        <v>950</v>
      </c>
      <c r="E54" s="115"/>
      <c r="F54" s="116">
        <v>48</v>
      </c>
      <c r="G54" s="116"/>
      <c r="H54" s="293"/>
      <c r="I54" s="293"/>
      <c r="J54" s="120" t="s">
        <v>1774</v>
      </c>
    </row>
    <row r="55" spans="1:10" s="111" customFormat="1" ht="18" hidden="1" customHeight="1">
      <c r="A55" s="122"/>
      <c r="B55" s="113" t="s">
        <v>2204</v>
      </c>
      <c r="C55" s="115">
        <f t="shared" si="28"/>
        <v>698</v>
      </c>
      <c r="D55" s="115">
        <v>665</v>
      </c>
      <c r="E55" s="115"/>
      <c r="F55" s="116">
        <v>33</v>
      </c>
      <c r="G55" s="116"/>
      <c r="H55" s="293"/>
      <c r="I55" s="293"/>
      <c r="J55" s="120" t="s">
        <v>1774</v>
      </c>
    </row>
    <row r="56" spans="1:10" s="111" customFormat="1" ht="18" hidden="1" customHeight="1">
      <c r="A56" s="122"/>
      <c r="B56" s="113" t="s">
        <v>762</v>
      </c>
      <c r="C56" s="115">
        <f t="shared" si="28"/>
        <v>798</v>
      </c>
      <c r="D56" s="115">
        <v>760</v>
      </c>
      <c r="E56" s="115"/>
      <c r="F56" s="116">
        <v>38</v>
      </c>
      <c r="G56" s="116"/>
      <c r="H56" s="293"/>
      <c r="I56" s="293"/>
      <c r="J56" s="120" t="s">
        <v>1774</v>
      </c>
    </row>
    <row r="57" spans="1:10" s="111" customFormat="1" ht="18" hidden="1" customHeight="1">
      <c r="A57" s="122" t="s">
        <v>742</v>
      </c>
      <c r="B57" s="118" t="s">
        <v>569</v>
      </c>
      <c r="C57" s="546">
        <f>C58+C59+C60</f>
        <v>2076</v>
      </c>
      <c r="D57" s="546">
        <f t="shared" ref="D57:F57" si="29">D58+D59+D60</f>
        <v>1977</v>
      </c>
      <c r="E57" s="546">
        <f t="shared" si="29"/>
        <v>0</v>
      </c>
      <c r="F57" s="546">
        <f t="shared" si="29"/>
        <v>99</v>
      </c>
      <c r="G57" s="116"/>
      <c r="H57" s="293"/>
      <c r="I57" s="293"/>
      <c r="J57" s="120" t="s">
        <v>1774</v>
      </c>
    </row>
    <row r="58" spans="1:10" s="111" customFormat="1" ht="18" hidden="1" customHeight="1">
      <c r="A58" s="119"/>
      <c r="B58" s="113" t="s">
        <v>2205</v>
      </c>
      <c r="C58" s="115">
        <f t="shared" ref="C58:C60" si="30">+D58+F58</f>
        <v>779</v>
      </c>
      <c r="D58" s="115">
        <v>742</v>
      </c>
      <c r="E58" s="115"/>
      <c r="F58" s="116">
        <v>37</v>
      </c>
      <c r="G58" s="116"/>
      <c r="H58" s="293"/>
      <c r="I58" s="293"/>
      <c r="J58" s="120" t="s">
        <v>1774</v>
      </c>
    </row>
    <row r="59" spans="1:10" s="121" customFormat="1" ht="18" hidden="1" customHeight="1">
      <c r="A59" s="112"/>
      <c r="B59" s="113" t="s">
        <v>2206</v>
      </c>
      <c r="C59" s="115">
        <f t="shared" si="30"/>
        <v>798</v>
      </c>
      <c r="D59" s="115">
        <v>760</v>
      </c>
      <c r="E59" s="115"/>
      <c r="F59" s="116">
        <v>38</v>
      </c>
      <c r="G59" s="116"/>
      <c r="H59" s="407"/>
      <c r="I59" s="407"/>
      <c r="J59" s="120" t="s">
        <v>1774</v>
      </c>
    </row>
    <row r="60" spans="1:10" s="111" customFormat="1" ht="18" hidden="1" customHeight="1">
      <c r="A60" s="112"/>
      <c r="B60" s="113" t="s">
        <v>1941</v>
      </c>
      <c r="C60" s="115">
        <f t="shared" si="30"/>
        <v>499</v>
      </c>
      <c r="D60" s="115">
        <v>475</v>
      </c>
      <c r="E60" s="115"/>
      <c r="F60" s="116">
        <v>24</v>
      </c>
      <c r="G60" s="116"/>
      <c r="H60" s="293"/>
      <c r="I60" s="293"/>
      <c r="J60" s="120" t="s">
        <v>1774</v>
      </c>
    </row>
    <row r="61" spans="1:10" s="111" customFormat="1" ht="18" hidden="1" customHeight="1">
      <c r="A61" s="122" t="s">
        <v>742</v>
      </c>
      <c r="B61" s="118" t="s">
        <v>694</v>
      </c>
      <c r="C61" s="546">
        <f>C62</f>
        <v>548</v>
      </c>
      <c r="D61" s="546">
        <f t="shared" ref="D61:F61" si="31">D62</f>
        <v>522</v>
      </c>
      <c r="E61" s="546">
        <f t="shared" si="31"/>
        <v>0</v>
      </c>
      <c r="F61" s="546">
        <f t="shared" si="31"/>
        <v>26</v>
      </c>
      <c r="G61" s="120"/>
      <c r="H61" s="293"/>
      <c r="I61" s="293"/>
      <c r="J61" s="120" t="s">
        <v>1774</v>
      </c>
    </row>
    <row r="62" spans="1:10" s="111" customFormat="1" ht="18" hidden="1" customHeight="1">
      <c r="A62" s="122"/>
      <c r="B62" s="113" t="s">
        <v>2530</v>
      </c>
      <c r="C62" s="115">
        <f>+D62+F62</f>
        <v>548</v>
      </c>
      <c r="D62" s="115">
        <v>522</v>
      </c>
      <c r="E62" s="115"/>
      <c r="F62" s="116">
        <v>26</v>
      </c>
      <c r="G62" s="116"/>
      <c r="H62" s="293"/>
      <c r="I62" s="293"/>
      <c r="J62" s="120" t="s">
        <v>1774</v>
      </c>
    </row>
    <row r="63" spans="1:10" s="111" customFormat="1" ht="18" hidden="1" customHeight="1">
      <c r="A63" s="122" t="s">
        <v>742</v>
      </c>
      <c r="B63" s="118" t="s">
        <v>2531</v>
      </c>
      <c r="C63" s="546">
        <f>C64</f>
        <v>548</v>
      </c>
      <c r="D63" s="546">
        <f t="shared" ref="D63:F63" si="32">D64</f>
        <v>522</v>
      </c>
      <c r="E63" s="546">
        <f t="shared" si="32"/>
        <v>0</v>
      </c>
      <c r="F63" s="546">
        <f t="shared" si="32"/>
        <v>26</v>
      </c>
      <c r="G63" s="116"/>
      <c r="H63" s="293"/>
      <c r="I63" s="293"/>
      <c r="J63" s="120" t="s">
        <v>1774</v>
      </c>
    </row>
    <row r="64" spans="1:10" s="121" customFormat="1" ht="18" hidden="1" customHeight="1">
      <c r="A64" s="122"/>
      <c r="B64" s="113" t="s">
        <v>2530</v>
      </c>
      <c r="C64" s="115">
        <f>+D64+F64</f>
        <v>548</v>
      </c>
      <c r="D64" s="115">
        <v>522</v>
      </c>
      <c r="E64" s="115"/>
      <c r="F64" s="116">
        <v>26</v>
      </c>
      <c r="G64" s="116"/>
      <c r="H64" s="407"/>
      <c r="I64" s="407"/>
      <c r="J64" s="120" t="s">
        <v>1774</v>
      </c>
    </row>
    <row r="65" spans="1:10" s="111" customFormat="1" ht="18" hidden="1" customHeight="1">
      <c r="A65" s="122" t="s">
        <v>742</v>
      </c>
      <c r="B65" s="118" t="s">
        <v>587</v>
      </c>
      <c r="C65" s="546">
        <f>C66+C67+C68</f>
        <v>2495</v>
      </c>
      <c r="D65" s="546">
        <f t="shared" ref="D65:E65" si="33">D66+D67+D68</f>
        <v>2375</v>
      </c>
      <c r="E65" s="546">
        <f t="shared" si="33"/>
        <v>0</v>
      </c>
      <c r="F65" s="546">
        <f>F66+F67+F68</f>
        <v>120</v>
      </c>
      <c r="G65" s="116"/>
      <c r="H65" s="293"/>
      <c r="I65" s="293"/>
      <c r="J65" s="120" t="s">
        <v>1774</v>
      </c>
    </row>
    <row r="66" spans="1:10" s="111" customFormat="1" ht="18" hidden="1" customHeight="1">
      <c r="A66" s="119"/>
      <c r="B66" s="113" t="s">
        <v>2207</v>
      </c>
      <c r="C66" s="115">
        <f t="shared" ref="C66:C68" si="34">+D66+F66</f>
        <v>998</v>
      </c>
      <c r="D66" s="115">
        <v>950</v>
      </c>
      <c r="E66" s="115"/>
      <c r="F66" s="116">
        <v>48</v>
      </c>
      <c r="G66" s="116"/>
      <c r="H66" s="293"/>
      <c r="I66" s="293"/>
      <c r="J66" s="120" t="s">
        <v>1774</v>
      </c>
    </row>
    <row r="67" spans="1:10" s="8" customFormat="1" ht="18" hidden="1" customHeight="1">
      <c r="A67" s="112"/>
      <c r="B67" s="113" t="s">
        <v>1941</v>
      </c>
      <c r="C67" s="115">
        <f t="shared" si="34"/>
        <v>974</v>
      </c>
      <c r="D67" s="115">
        <v>950</v>
      </c>
      <c r="E67" s="115"/>
      <c r="F67" s="116">
        <v>24</v>
      </c>
      <c r="G67" s="120"/>
      <c r="H67" s="293"/>
      <c r="I67" s="293"/>
      <c r="J67" s="120" t="s">
        <v>1774</v>
      </c>
    </row>
    <row r="68" spans="1:10" s="8" customFormat="1" ht="18" hidden="1" customHeight="1">
      <c r="A68" s="122"/>
      <c r="B68" s="113" t="s">
        <v>1942</v>
      </c>
      <c r="C68" s="115">
        <f t="shared" si="34"/>
        <v>523</v>
      </c>
      <c r="D68" s="115">
        <v>475</v>
      </c>
      <c r="E68" s="115"/>
      <c r="F68" s="116">
        <v>48</v>
      </c>
      <c r="G68" s="116"/>
      <c r="H68" s="293"/>
      <c r="I68" s="293"/>
      <c r="J68" s="120" t="s">
        <v>1774</v>
      </c>
    </row>
    <row r="69" spans="1:10" s="111" customFormat="1" ht="18" customHeight="1">
      <c r="A69" s="108" t="s">
        <v>26</v>
      </c>
      <c r="B69" s="992" t="s">
        <v>13</v>
      </c>
      <c r="C69" s="420">
        <f>+C70+C73</f>
        <v>17734</v>
      </c>
      <c r="D69" s="420">
        <f t="shared" ref="D69:F69" si="35">+D70+D73</f>
        <v>16890</v>
      </c>
      <c r="E69" s="964"/>
      <c r="F69" s="964">
        <f t="shared" si="35"/>
        <v>844</v>
      </c>
      <c r="G69" s="116"/>
      <c r="H69" s="293"/>
      <c r="I69" s="293"/>
      <c r="J69" s="120"/>
    </row>
    <row r="70" spans="1:10" s="111" customFormat="1" ht="18" customHeight="1">
      <c r="A70" s="122" t="s">
        <v>10</v>
      </c>
      <c r="B70" s="148" t="s">
        <v>765</v>
      </c>
      <c r="C70" s="291">
        <f>C71+C72</f>
        <v>3936</v>
      </c>
      <c r="D70" s="291">
        <f t="shared" ref="D70:F70" si="36">D71+D72</f>
        <v>3749</v>
      </c>
      <c r="E70" s="115">
        <f t="shared" si="36"/>
        <v>0</v>
      </c>
      <c r="F70" s="115">
        <f t="shared" si="36"/>
        <v>187</v>
      </c>
      <c r="G70" s="116"/>
      <c r="H70" s="293"/>
      <c r="I70" s="293"/>
      <c r="J70" s="120"/>
    </row>
    <row r="71" spans="1:10" s="35" customFormat="1" ht="18" hidden="1" customHeight="1">
      <c r="A71" s="112"/>
      <c r="B71" s="113" t="s">
        <v>2208</v>
      </c>
      <c r="C71" s="116">
        <f>+D71+F71</f>
        <v>2440</v>
      </c>
      <c r="D71" s="116">
        <v>2324</v>
      </c>
      <c r="E71" s="115"/>
      <c r="F71" s="116">
        <v>116</v>
      </c>
      <c r="G71" s="116"/>
      <c r="H71" s="407"/>
      <c r="I71" s="407"/>
      <c r="J71" s="120" t="s">
        <v>1774</v>
      </c>
    </row>
    <row r="72" spans="1:10" s="111" customFormat="1" ht="18" hidden="1" customHeight="1">
      <c r="A72" s="125"/>
      <c r="B72" s="113" t="s">
        <v>2209</v>
      </c>
      <c r="C72" s="116">
        <f>+D72+F72</f>
        <v>1496</v>
      </c>
      <c r="D72" s="116">
        <v>1425</v>
      </c>
      <c r="E72" s="115"/>
      <c r="F72" s="116">
        <v>71</v>
      </c>
      <c r="G72" s="116"/>
      <c r="H72" s="293"/>
      <c r="I72" s="293"/>
      <c r="J72" s="120" t="s">
        <v>1774</v>
      </c>
    </row>
    <row r="73" spans="1:10" s="111" customFormat="1" ht="18" customHeight="1">
      <c r="A73" s="112" t="s">
        <v>12</v>
      </c>
      <c r="B73" s="148" t="s">
        <v>760</v>
      </c>
      <c r="C73" s="291">
        <f>C74+C77+C80+C83+C86+C88+C90+C93</f>
        <v>13798</v>
      </c>
      <c r="D73" s="291">
        <f t="shared" ref="D73:F73" si="37">D74+D77+D80+D83+D86+D88+D90+D93</f>
        <v>13141</v>
      </c>
      <c r="E73" s="115"/>
      <c r="F73" s="115">
        <f t="shared" si="37"/>
        <v>657</v>
      </c>
      <c r="G73" s="116"/>
      <c r="H73" s="293"/>
      <c r="I73" s="293"/>
      <c r="J73" s="120"/>
    </row>
    <row r="74" spans="1:10" s="111" customFormat="1" ht="18" hidden="1" customHeight="1">
      <c r="A74" s="18" t="s">
        <v>742</v>
      </c>
      <c r="B74" s="118" t="s">
        <v>107</v>
      </c>
      <c r="C74" s="547">
        <f>C75+C76</f>
        <v>2122</v>
      </c>
      <c r="D74" s="547">
        <f t="shared" ref="D74:F74" si="38">D75+D76</f>
        <v>2021</v>
      </c>
      <c r="E74" s="547">
        <f t="shared" si="38"/>
        <v>0</v>
      </c>
      <c r="F74" s="547">
        <f t="shared" si="38"/>
        <v>101</v>
      </c>
      <c r="G74" s="116"/>
      <c r="H74" s="293"/>
      <c r="I74" s="293"/>
      <c r="J74" s="120" t="s">
        <v>1774</v>
      </c>
    </row>
    <row r="75" spans="1:10" s="111" customFormat="1" ht="18" hidden="1" customHeight="1">
      <c r="A75" s="18"/>
      <c r="B75" s="113" t="s">
        <v>2210</v>
      </c>
      <c r="C75" s="116">
        <f t="shared" ref="C75:C76" si="39">+D75+F75</f>
        <v>1347</v>
      </c>
      <c r="D75" s="116">
        <v>1283</v>
      </c>
      <c r="E75" s="115"/>
      <c r="F75" s="116">
        <v>64</v>
      </c>
      <c r="G75" s="120"/>
      <c r="H75" s="293"/>
      <c r="I75" s="293"/>
      <c r="J75" s="120" t="s">
        <v>1774</v>
      </c>
    </row>
    <row r="76" spans="1:10" s="111" customFormat="1" ht="18" hidden="1" customHeight="1">
      <c r="A76" s="119"/>
      <c r="B76" s="416" t="s">
        <v>2211</v>
      </c>
      <c r="C76" s="116">
        <f t="shared" si="39"/>
        <v>775</v>
      </c>
      <c r="D76" s="116">
        <v>738</v>
      </c>
      <c r="E76" s="115"/>
      <c r="F76" s="116">
        <v>37</v>
      </c>
      <c r="G76" s="116"/>
      <c r="H76" s="293"/>
      <c r="I76" s="293"/>
      <c r="J76" s="120" t="s">
        <v>1774</v>
      </c>
    </row>
    <row r="77" spans="1:10" s="111" customFormat="1" ht="18" hidden="1" customHeight="1">
      <c r="A77" s="18" t="s">
        <v>742</v>
      </c>
      <c r="B77" s="118" t="s">
        <v>122</v>
      </c>
      <c r="C77" s="546">
        <f>C78+C79</f>
        <v>2096</v>
      </c>
      <c r="D77" s="546">
        <f t="shared" ref="D77:F77" si="40">D78+D79</f>
        <v>1996</v>
      </c>
      <c r="E77" s="546">
        <f t="shared" si="40"/>
        <v>0</v>
      </c>
      <c r="F77" s="546">
        <f t="shared" si="40"/>
        <v>100</v>
      </c>
      <c r="G77" s="116"/>
      <c r="H77" s="293"/>
      <c r="I77" s="293"/>
      <c r="J77" s="120" t="s">
        <v>1774</v>
      </c>
    </row>
    <row r="78" spans="1:10" s="121" customFormat="1" ht="18" hidden="1" customHeight="1">
      <c r="A78" s="18"/>
      <c r="B78" s="113" t="s">
        <v>2212</v>
      </c>
      <c r="C78" s="116">
        <f t="shared" ref="C78:C79" si="41">+D78+F78</f>
        <v>1347</v>
      </c>
      <c r="D78" s="116">
        <v>1283</v>
      </c>
      <c r="E78" s="115"/>
      <c r="F78" s="116">
        <v>64</v>
      </c>
      <c r="G78" s="116"/>
      <c r="H78" s="407"/>
      <c r="I78" s="407"/>
      <c r="J78" s="120" t="s">
        <v>1774</v>
      </c>
    </row>
    <row r="79" spans="1:10" s="111" customFormat="1" ht="18" hidden="1" customHeight="1">
      <c r="A79" s="112"/>
      <c r="B79" s="416" t="s">
        <v>2213</v>
      </c>
      <c r="C79" s="116">
        <f t="shared" si="41"/>
        <v>749</v>
      </c>
      <c r="D79" s="116">
        <v>713</v>
      </c>
      <c r="E79" s="115"/>
      <c r="F79" s="116">
        <v>36</v>
      </c>
      <c r="G79" s="116"/>
      <c r="H79" s="293"/>
      <c r="I79" s="293"/>
      <c r="J79" s="120" t="s">
        <v>1774</v>
      </c>
    </row>
    <row r="80" spans="1:10" s="111" customFormat="1" ht="18" hidden="1" customHeight="1">
      <c r="A80" s="18" t="s">
        <v>742</v>
      </c>
      <c r="B80" s="118" t="s">
        <v>123</v>
      </c>
      <c r="C80" s="546">
        <f>C81+C82</f>
        <v>2096</v>
      </c>
      <c r="D80" s="546">
        <f t="shared" ref="D80:F80" si="42">D81+D82</f>
        <v>1996</v>
      </c>
      <c r="E80" s="546"/>
      <c r="F80" s="546">
        <f t="shared" si="42"/>
        <v>100</v>
      </c>
      <c r="G80" s="116"/>
      <c r="H80" s="408"/>
      <c r="I80" s="408"/>
      <c r="J80" s="120" t="s">
        <v>1774</v>
      </c>
    </row>
    <row r="81" spans="1:11" s="111" customFormat="1" ht="18" hidden="1" customHeight="1">
      <c r="A81" s="18"/>
      <c r="B81" s="113" t="s">
        <v>2214</v>
      </c>
      <c r="C81" s="116">
        <f t="shared" ref="C81:C82" si="43">+D81+F81</f>
        <v>1347</v>
      </c>
      <c r="D81" s="116">
        <v>1283</v>
      </c>
      <c r="E81" s="115"/>
      <c r="F81" s="116">
        <v>64</v>
      </c>
      <c r="G81" s="116"/>
      <c r="H81" s="293"/>
      <c r="I81" s="293"/>
      <c r="J81" s="120" t="s">
        <v>1774</v>
      </c>
    </row>
    <row r="82" spans="1:11" s="111" customFormat="1" ht="18" hidden="1" customHeight="1">
      <c r="A82" s="119"/>
      <c r="B82" s="416" t="s">
        <v>2215</v>
      </c>
      <c r="C82" s="116">
        <f t="shared" si="43"/>
        <v>749</v>
      </c>
      <c r="D82" s="116">
        <v>713</v>
      </c>
      <c r="E82" s="115"/>
      <c r="F82" s="116">
        <v>36</v>
      </c>
      <c r="G82" s="116"/>
      <c r="H82" s="293"/>
      <c r="I82" s="293"/>
      <c r="J82" s="120" t="s">
        <v>1774</v>
      </c>
    </row>
    <row r="83" spans="1:11" s="111" customFormat="1" ht="18" hidden="1" customHeight="1">
      <c r="A83" s="18" t="s">
        <v>742</v>
      </c>
      <c r="B83" s="118" t="s">
        <v>110</v>
      </c>
      <c r="C83" s="546">
        <f>C84+C85</f>
        <v>2096</v>
      </c>
      <c r="D83" s="546">
        <f t="shared" ref="D83:F83" si="44">D84+D85</f>
        <v>1996</v>
      </c>
      <c r="E83" s="546"/>
      <c r="F83" s="546">
        <f t="shared" si="44"/>
        <v>100</v>
      </c>
      <c r="G83" s="120"/>
      <c r="H83" s="293"/>
      <c r="I83" s="293"/>
      <c r="J83" s="120" t="s">
        <v>1774</v>
      </c>
    </row>
    <row r="84" spans="1:11" s="111" customFormat="1" ht="18" hidden="1" customHeight="1">
      <c r="A84" s="18"/>
      <c r="B84" s="113" t="s">
        <v>2216</v>
      </c>
      <c r="C84" s="116">
        <f t="shared" ref="C84:C85" si="45">+D84+F84</f>
        <v>1347</v>
      </c>
      <c r="D84" s="116">
        <v>1283</v>
      </c>
      <c r="E84" s="115"/>
      <c r="F84" s="116">
        <v>64</v>
      </c>
      <c r="G84" s="116"/>
      <c r="H84" s="293"/>
      <c r="I84" s="293"/>
      <c r="J84" s="120" t="s">
        <v>1774</v>
      </c>
    </row>
    <row r="85" spans="1:11" s="121" customFormat="1" ht="18" hidden="1" customHeight="1">
      <c r="A85" s="18"/>
      <c r="B85" s="416" t="s">
        <v>2217</v>
      </c>
      <c r="C85" s="116">
        <f t="shared" si="45"/>
        <v>749</v>
      </c>
      <c r="D85" s="116">
        <v>713</v>
      </c>
      <c r="E85" s="115"/>
      <c r="F85" s="116">
        <v>36</v>
      </c>
      <c r="G85" s="123"/>
      <c r="H85" s="407"/>
      <c r="I85" s="407"/>
      <c r="J85" s="120" t="s">
        <v>1774</v>
      </c>
    </row>
    <row r="86" spans="1:11" s="111" customFormat="1" ht="18" hidden="1" customHeight="1">
      <c r="A86" s="18" t="s">
        <v>742</v>
      </c>
      <c r="B86" s="118" t="s">
        <v>113</v>
      </c>
      <c r="C86" s="546">
        <f>C87</f>
        <v>798</v>
      </c>
      <c r="D86" s="546">
        <f t="shared" ref="D86:F86" si="46">D87</f>
        <v>760</v>
      </c>
      <c r="E86" s="546">
        <f t="shared" si="46"/>
        <v>0</v>
      </c>
      <c r="F86" s="546">
        <f t="shared" si="46"/>
        <v>38</v>
      </c>
      <c r="G86" s="116"/>
      <c r="H86" s="293"/>
      <c r="I86" s="293"/>
      <c r="J86" s="120" t="s">
        <v>1774</v>
      </c>
    </row>
    <row r="87" spans="1:11" s="111" customFormat="1" ht="18" hidden="1" customHeight="1">
      <c r="A87" s="112"/>
      <c r="B87" s="416" t="s">
        <v>2218</v>
      </c>
      <c r="C87" s="116">
        <f>+D87+F87</f>
        <v>798</v>
      </c>
      <c r="D87" s="116">
        <v>760</v>
      </c>
      <c r="E87" s="115"/>
      <c r="F87" s="116">
        <v>38</v>
      </c>
      <c r="G87" s="116"/>
      <c r="H87" s="293"/>
      <c r="I87" s="293"/>
      <c r="J87" s="120" t="s">
        <v>1774</v>
      </c>
    </row>
    <row r="88" spans="1:11" s="111" customFormat="1" ht="18" hidden="1" customHeight="1">
      <c r="A88" s="18" t="s">
        <v>742</v>
      </c>
      <c r="B88" s="118" t="s">
        <v>111</v>
      </c>
      <c r="C88" s="546">
        <f>C89</f>
        <v>798</v>
      </c>
      <c r="D88" s="546">
        <f t="shared" ref="D88:F88" si="47">D89</f>
        <v>760</v>
      </c>
      <c r="E88" s="546">
        <f t="shared" si="47"/>
        <v>0</v>
      </c>
      <c r="F88" s="546">
        <f t="shared" si="47"/>
        <v>38</v>
      </c>
      <c r="G88" s="116"/>
      <c r="H88" s="293"/>
      <c r="I88" s="293"/>
      <c r="J88" s="120" t="s">
        <v>1774</v>
      </c>
    </row>
    <row r="89" spans="1:11" s="111" customFormat="1" ht="18" hidden="1" customHeight="1">
      <c r="A89" s="18"/>
      <c r="B89" s="416" t="s">
        <v>2219</v>
      </c>
      <c r="C89" s="116">
        <f>+D89+F89</f>
        <v>798</v>
      </c>
      <c r="D89" s="116">
        <v>760</v>
      </c>
      <c r="E89" s="115"/>
      <c r="F89" s="116">
        <v>38</v>
      </c>
      <c r="G89" s="116"/>
      <c r="H89" s="293"/>
      <c r="I89" s="293"/>
      <c r="J89" s="120" t="s">
        <v>1774</v>
      </c>
    </row>
    <row r="90" spans="1:11" s="121" customFormat="1" ht="18" hidden="1" customHeight="1">
      <c r="A90" s="18" t="s">
        <v>742</v>
      </c>
      <c r="B90" s="118" t="s">
        <v>114</v>
      </c>
      <c r="C90" s="547">
        <f>C91+C92</f>
        <v>2195</v>
      </c>
      <c r="D90" s="547">
        <f t="shared" ref="D90:F90" si="48">D91+D92</f>
        <v>2091</v>
      </c>
      <c r="E90" s="547">
        <f t="shared" si="48"/>
        <v>0</v>
      </c>
      <c r="F90" s="547">
        <f t="shared" si="48"/>
        <v>104</v>
      </c>
      <c r="G90" s="120"/>
      <c r="H90" s="407"/>
      <c r="I90" s="407"/>
      <c r="J90" s="120" t="s">
        <v>1774</v>
      </c>
    </row>
    <row r="91" spans="1:11" s="111" customFormat="1" ht="18" hidden="1" customHeight="1">
      <c r="A91" s="18"/>
      <c r="B91" s="113" t="s">
        <v>2216</v>
      </c>
      <c r="C91" s="116">
        <f t="shared" ref="C91:C92" si="49">+D91+F91</f>
        <v>1347</v>
      </c>
      <c r="D91" s="116">
        <v>1283</v>
      </c>
      <c r="E91" s="115"/>
      <c r="F91" s="116">
        <v>64</v>
      </c>
      <c r="G91" s="116"/>
      <c r="H91" s="293"/>
      <c r="I91" s="293"/>
      <c r="J91" s="293" t="s">
        <v>1774</v>
      </c>
    </row>
    <row r="92" spans="1:11" s="111" customFormat="1" ht="18" hidden="1" customHeight="1">
      <c r="A92" s="18"/>
      <c r="B92" s="416" t="s">
        <v>2220</v>
      </c>
      <c r="C92" s="116">
        <f t="shared" si="49"/>
        <v>848</v>
      </c>
      <c r="D92" s="116">
        <v>808</v>
      </c>
      <c r="E92" s="115"/>
      <c r="F92" s="116">
        <v>40</v>
      </c>
      <c r="G92" s="116"/>
      <c r="H92" s="293"/>
      <c r="I92" s="293"/>
      <c r="J92" s="120" t="s">
        <v>1774</v>
      </c>
      <c r="K92" s="110"/>
    </row>
    <row r="93" spans="1:11" s="121" customFormat="1" ht="18" hidden="1" customHeight="1">
      <c r="A93" s="18" t="s">
        <v>742</v>
      </c>
      <c r="B93" s="548" t="s">
        <v>766</v>
      </c>
      <c r="C93" s="547">
        <f>C94+C95</f>
        <v>1597</v>
      </c>
      <c r="D93" s="547">
        <f t="shared" ref="D93:F93" si="50">D94+D95</f>
        <v>1521</v>
      </c>
      <c r="E93" s="547">
        <f t="shared" si="50"/>
        <v>0</v>
      </c>
      <c r="F93" s="547">
        <f t="shared" si="50"/>
        <v>76</v>
      </c>
      <c r="G93" s="116"/>
      <c r="H93" s="407"/>
      <c r="I93" s="407"/>
      <c r="J93" s="120" t="s">
        <v>1774</v>
      </c>
    </row>
    <row r="94" spans="1:11" s="8" customFormat="1" ht="18" hidden="1" customHeight="1">
      <c r="A94" s="18"/>
      <c r="B94" s="113" t="s">
        <v>2221</v>
      </c>
      <c r="C94" s="116">
        <f t="shared" ref="C94:C95" si="51">+D94+F94</f>
        <v>749</v>
      </c>
      <c r="D94" s="549">
        <v>713</v>
      </c>
      <c r="E94" s="115"/>
      <c r="F94" s="116">
        <v>36</v>
      </c>
      <c r="G94" s="116"/>
      <c r="H94" s="293"/>
      <c r="I94" s="293"/>
      <c r="J94" s="120" t="s">
        <v>1774</v>
      </c>
    </row>
    <row r="95" spans="1:11" s="8" customFormat="1" ht="18" hidden="1" customHeight="1">
      <c r="A95" s="119"/>
      <c r="B95" s="416" t="s">
        <v>2222</v>
      </c>
      <c r="C95" s="116">
        <f t="shared" si="51"/>
        <v>848</v>
      </c>
      <c r="D95" s="549">
        <v>808</v>
      </c>
      <c r="E95" s="115"/>
      <c r="F95" s="116">
        <v>40</v>
      </c>
      <c r="G95" s="116"/>
      <c r="H95" s="293"/>
      <c r="I95" s="293"/>
      <c r="J95" s="120" t="s">
        <v>1774</v>
      </c>
    </row>
    <row r="96" spans="1:11" s="111" customFormat="1" ht="18" customHeight="1">
      <c r="A96" s="108" t="s">
        <v>28</v>
      </c>
      <c r="B96" s="992" t="s">
        <v>17</v>
      </c>
      <c r="C96" s="139">
        <f>+C97+C105</f>
        <v>37335.32</v>
      </c>
      <c r="D96" s="139">
        <f t="shared" ref="D96:F96" si="52">+D97+D105</f>
        <v>35555.32</v>
      </c>
      <c r="E96" s="963">
        <f t="shared" si="52"/>
        <v>0</v>
      </c>
      <c r="F96" s="963">
        <f t="shared" si="52"/>
        <v>1780</v>
      </c>
      <c r="G96" s="120"/>
      <c r="H96" s="293"/>
      <c r="I96" s="293"/>
      <c r="J96" s="120"/>
    </row>
    <row r="97" spans="1:10" s="111" customFormat="1" ht="18" customHeight="1">
      <c r="A97" s="112" t="s">
        <v>10</v>
      </c>
      <c r="B97" s="148" t="s">
        <v>765</v>
      </c>
      <c r="C97" s="291">
        <f>SUM(C98:C104)</f>
        <v>8395.32</v>
      </c>
      <c r="D97" s="291">
        <f t="shared" ref="D97:F97" si="53">SUM(D98:D104)</f>
        <v>7995.32</v>
      </c>
      <c r="E97" s="116">
        <f t="shared" si="53"/>
        <v>0</v>
      </c>
      <c r="F97" s="116">
        <f t="shared" si="53"/>
        <v>400</v>
      </c>
      <c r="G97" s="116"/>
      <c r="H97" s="293"/>
      <c r="I97" s="293"/>
      <c r="J97" s="120"/>
    </row>
    <row r="98" spans="1:10" s="111" customFormat="1" ht="18" hidden="1" customHeight="1">
      <c r="A98" s="112"/>
      <c r="B98" s="113" t="s">
        <v>2223</v>
      </c>
      <c r="C98" s="116">
        <f>+D98+F98</f>
        <v>1197</v>
      </c>
      <c r="D98" s="116">
        <v>1140</v>
      </c>
      <c r="E98" s="115"/>
      <c r="F98" s="116">
        <v>57</v>
      </c>
      <c r="G98" s="116"/>
      <c r="H98" s="293"/>
      <c r="I98" s="293"/>
      <c r="J98" s="120" t="s">
        <v>1774</v>
      </c>
    </row>
    <row r="99" spans="1:10" s="111" customFormat="1" ht="18" hidden="1" customHeight="1">
      <c r="A99" s="119"/>
      <c r="B99" s="113" t="s">
        <v>2224</v>
      </c>
      <c r="C99" s="116">
        <f t="shared" ref="C99:C104" si="54">+D99+F99</f>
        <v>1800</v>
      </c>
      <c r="D99" s="116">
        <v>1714</v>
      </c>
      <c r="E99" s="115"/>
      <c r="F99" s="116">
        <v>86</v>
      </c>
      <c r="G99" s="120"/>
      <c r="H99" s="293"/>
      <c r="I99" s="293"/>
      <c r="J99" s="120" t="s">
        <v>1774</v>
      </c>
    </row>
    <row r="100" spans="1:10" s="111" customFormat="1" ht="18" hidden="1" customHeight="1">
      <c r="A100" s="112"/>
      <c r="B100" s="113" t="s">
        <v>2225</v>
      </c>
      <c r="C100" s="116">
        <f t="shared" si="54"/>
        <v>449</v>
      </c>
      <c r="D100" s="116">
        <v>428</v>
      </c>
      <c r="E100" s="115"/>
      <c r="F100" s="116">
        <v>21</v>
      </c>
      <c r="G100" s="116"/>
      <c r="H100" s="293"/>
      <c r="I100" s="293"/>
      <c r="J100" s="120" t="s">
        <v>1774</v>
      </c>
    </row>
    <row r="101" spans="1:10" s="111" customFormat="1" ht="18" hidden="1" customHeight="1">
      <c r="A101" s="122"/>
      <c r="B101" s="113" t="s">
        <v>2226</v>
      </c>
      <c r="C101" s="116">
        <f t="shared" si="54"/>
        <v>1457.32</v>
      </c>
      <c r="D101" s="116">
        <v>1388.32</v>
      </c>
      <c r="E101" s="115"/>
      <c r="F101" s="116">
        <v>69</v>
      </c>
      <c r="G101" s="116"/>
      <c r="H101" s="293"/>
      <c r="I101" s="293"/>
      <c r="J101" s="120" t="s">
        <v>1774</v>
      </c>
    </row>
    <row r="102" spans="1:10" s="111" customFormat="1" ht="18" hidden="1" customHeight="1">
      <c r="A102" s="122"/>
      <c r="B102" s="113" t="s">
        <v>2227</v>
      </c>
      <c r="C102" s="116">
        <f t="shared" si="54"/>
        <v>1197</v>
      </c>
      <c r="D102" s="116">
        <v>1140</v>
      </c>
      <c r="E102" s="115"/>
      <c r="F102" s="116">
        <v>57</v>
      </c>
      <c r="G102" s="116"/>
      <c r="H102" s="293"/>
      <c r="I102" s="293"/>
      <c r="J102" s="120" t="s">
        <v>1774</v>
      </c>
    </row>
    <row r="103" spans="1:10" s="8" customFormat="1" ht="18" hidden="1" customHeight="1">
      <c r="A103" s="119"/>
      <c r="B103" s="113" t="s">
        <v>2228</v>
      </c>
      <c r="C103" s="116">
        <f t="shared" si="54"/>
        <v>898</v>
      </c>
      <c r="D103" s="116">
        <v>855</v>
      </c>
      <c r="E103" s="115"/>
      <c r="F103" s="116">
        <v>43</v>
      </c>
      <c r="G103" s="116"/>
      <c r="H103" s="293"/>
      <c r="I103" s="293"/>
      <c r="J103" s="120" t="s">
        <v>1774</v>
      </c>
    </row>
    <row r="104" spans="1:10" s="111" customFormat="1" ht="18" hidden="1" customHeight="1">
      <c r="A104" s="112"/>
      <c r="B104" s="113" t="s">
        <v>2229</v>
      </c>
      <c r="C104" s="116">
        <f t="shared" si="54"/>
        <v>1397</v>
      </c>
      <c r="D104" s="116">
        <v>1330</v>
      </c>
      <c r="E104" s="115"/>
      <c r="F104" s="116">
        <v>67</v>
      </c>
      <c r="G104" s="116"/>
      <c r="H104" s="293"/>
      <c r="I104" s="293"/>
      <c r="J104" s="120" t="s">
        <v>1774</v>
      </c>
    </row>
    <row r="105" spans="1:10" s="110" customFormat="1" ht="18" customHeight="1">
      <c r="A105" s="122" t="s">
        <v>12</v>
      </c>
      <c r="B105" s="148" t="s">
        <v>760</v>
      </c>
      <c r="C105" s="291">
        <f>C106+C109+C112+C115+C118+C121+C124+C126+C129+C131+C133+C136+C139+C141+C143</f>
        <v>28940</v>
      </c>
      <c r="D105" s="291">
        <f>D106+D109+D112+D115+D118+D121+D124+D126+D129+D131+D133+D136+D139+D141+D143</f>
        <v>27560</v>
      </c>
      <c r="E105" s="116">
        <f t="shared" ref="E105:F105" si="55">E106+E109+E112+E115+E118+E121+E124+E126+E129+E131+E133+E136+E139+E141+E143</f>
        <v>0</v>
      </c>
      <c r="F105" s="116">
        <f t="shared" si="55"/>
        <v>1380</v>
      </c>
      <c r="G105" s="409"/>
      <c r="H105" s="409"/>
      <c r="I105" s="409"/>
      <c r="J105" s="120"/>
    </row>
    <row r="106" spans="1:10" s="110" customFormat="1" ht="18" hidden="1" customHeight="1">
      <c r="A106" s="122" t="s">
        <v>742</v>
      </c>
      <c r="B106" s="113" t="s">
        <v>767</v>
      </c>
      <c r="C106" s="116">
        <f>C107+C108</f>
        <v>2494</v>
      </c>
      <c r="D106" s="116">
        <f>D107+D108</f>
        <v>2375</v>
      </c>
      <c r="E106" s="116">
        <f t="shared" ref="E106:F106" si="56">E107+E108</f>
        <v>0</v>
      </c>
      <c r="F106" s="116">
        <f t="shared" si="56"/>
        <v>119</v>
      </c>
      <c r="G106" s="116"/>
      <c r="H106" s="116"/>
      <c r="I106" s="116"/>
      <c r="J106" s="120" t="s">
        <v>1774</v>
      </c>
    </row>
    <row r="107" spans="1:10" s="111" customFormat="1" ht="18" hidden="1" customHeight="1">
      <c r="A107" s="119"/>
      <c r="B107" s="113" t="s">
        <v>2230</v>
      </c>
      <c r="C107" s="116">
        <f t="shared" ref="C107:C108" si="57">+D107+F107</f>
        <v>1496</v>
      </c>
      <c r="D107" s="116">
        <v>1425</v>
      </c>
      <c r="E107" s="115"/>
      <c r="F107" s="116">
        <v>71</v>
      </c>
      <c r="G107" s="116"/>
      <c r="H107" s="116"/>
      <c r="I107" s="116"/>
      <c r="J107" s="120" t="s">
        <v>1774</v>
      </c>
    </row>
    <row r="108" spans="1:10" s="121" customFormat="1" ht="18" hidden="1" customHeight="1">
      <c r="A108" s="112"/>
      <c r="B108" s="113" t="s">
        <v>2231</v>
      </c>
      <c r="C108" s="116">
        <f t="shared" si="57"/>
        <v>998</v>
      </c>
      <c r="D108" s="116">
        <v>950</v>
      </c>
      <c r="E108" s="115"/>
      <c r="F108" s="116">
        <v>48</v>
      </c>
      <c r="G108" s="126"/>
      <c r="H108" s="126"/>
      <c r="I108" s="126"/>
      <c r="J108" s="120" t="s">
        <v>1774</v>
      </c>
    </row>
    <row r="109" spans="1:10" s="111" customFormat="1" ht="18" hidden="1" customHeight="1">
      <c r="A109" s="122" t="s">
        <v>742</v>
      </c>
      <c r="B109" s="113" t="s">
        <v>290</v>
      </c>
      <c r="C109" s="116">
        <f>C110+C111</f>
        <v>2494</v>
      </c>
      <c r="D109" s="116">
        <f t="shared" ref="D109:F109" si="58">D110+D111</f>
        <v>2375</v>
      </c>
      <c r="E109" s="116">
        <f t="shared" si="58"/>
        <v>0</v>
      </c>
      <c r="F109" s="116">
        <f t="shared" si="58"/>
        <v>119</v>
      </c>
      <c r="G109" s="127"/>
      <c r="H109" s="127"/>
      <c r="I109" s="127"/>
      <c r="J109" s="120" t="s">
        <v>1774</v>
      </c>
    </row>
    <row r="110" spans="1:10" s="110" customFormat="1" hidden="1">
      <c r="A110" s="122"/>
      <c r="B110" s="113" t="s">
        <v>2230</v>
      </c>
      <c r="C110" s="116">
        <f t="shared" ref="C110:C111" si="59">+D110+F110</f>
        <v>1496</v>
      </c>
      <c r="D110" s="116">
        <v>1425</v>
      </c>
      <c r="E110" s="115"/>
      <c r="F110" s="116">
        <v>71</v>
      </c>
      <c r="G110" s="127"/>
      <c r="H110" s="127"/>
      <c r="I110" s="127"/>
      <c r="J110" s="120" t="s">
        <v>1774</v>
      </c>
    </row>
    <row r="111" spans="1:10" s="121" customFormat="1" ht="18" hidden="1" customHeight="1">
      <c r="A111" s="119"/>
      <c r="B111" s="113" t="s">
        <v>2231</v>
      </c>
      <c r="C111" s="116">
        <f t="shared" si="59"/>
        <v>998</v>
      </c>
      <c r="D111" s="116">
        <v>950</v>
      </c>
      <c r="E111" s="115"/>
      <c r="F111" s="116">
        <v>48</v>
      </c>
      <c r="G111" s="127"/>
      <c r="H111" s="127"/>
      <c r="I111" s="127"/>
      <c r="J111" s="120" t="s">
        <v>1774</v>
      </c>
    </row>
    <row r="112" spans="1:10" s="121" customFormat="1" ht="18" hidden="1" customHeight="1">
      <c r="A112" s="122" t="s">
        <v>742</v>
      </c>
      <c r="B112" s="113" t="s">
        <v>303</v>
      </c>
      <c r="C112" s="116">
        <f>C113+C114</f>
        <v>2495</v>
      </c>
      <c r="D112" s="116">
        <f t="shared" ref="D112:F112" si="60">D113+D114</f>
        <v>2376</v>
      </c>
      <c r="E112" s="116">
        <f t="shared" si="60"/>
        <v>0</v>
      </c>
      <c r="F112" s="116">
        <f t="shared" si="60"/>
        <v>119</v>
      </c>
      <c r="G112" s="120"/>
      <c r="H112" s="120"/>
      <c r="I112" s="120"/>
      <c r="J112" s="120" t="s">
        <v>1774</v>
      </c>
    </row>
    <row r="113" spans="1:10" s="121" customFormat="1" ht="18" hidden="1" customHeight="1">
      <c r="A113" s="122"/>
      <c r="B113" s="113" t="s">
        <v>2232</v>
      </c>
      <c r="C113" s="116">
        <f t="shared" ref="C113:C114" si="61">+D113+F113</f>
        <v>1347</v>
      </c>
      <c r="D113" s="116">
        <v>1283</v>
      </c>
      <c r="E113" s="115"/>
      <c r="F113" s="116">
        <v>64</v>
      </c>
      <c r="G113" s="126"/>
      <c r="H113" s="126"/>
      <c r="I113" s="126"/>
      <c r="J113" s="120" t="s">
        <v>1774</v>
      </c>
    </row>
    <row r="114" spans="1:10" s="121" customFormat="1" ht="18" hidden="1" customHeight="1">
      <c r="A114" s="122"/>
      <c r="B114" s="113" t="s">
        <v>2231</v>
      </c>
      <c r="C114" s="116">
        <f t="shared" si="61"/>
        <v>1148</v>
      </c>
      <c r="D114" s="116">
        <v>1093</v>
      </c>
      <c r="E114" s="115"/>
      <c r="F114" s="116">
        <v>55</v>
      </c>
      <c r="G114" s="127"/>
      <c r="H114" s="127"/>
      <c r="I114" s="127"/>
      <c r="J114" s="120" t="s">
        <v>1774</v>
      </c>
    </row>
    <row r="115" spans="1:10" s="121" customFormat="1" ht="18" hidden="1" customHeight="1">
      <c r="A115" s="122" t="s">
        <v>742</v>
      </c>
      <c r="B115" s="113" t="s">
        <v>291</v>
      </c>
      <c r="C115" s="116">
        <f>C116+C117</f>
        <v>2495</v>
      </c>
      <c r="D115" s="116">
        <f t="shared" ref="D115:F115" si="62">D116+D117</f>
        <v>2376</v>
      </c>
      <c r="E115" s="116">
        <f t="shared" si="62"/>
        <v>0</v>
      </c>
      <c r="F115" s="116">
        <f t="shared" si="62"/>
        <v>119</v>
      </c>
      <c r="G115" s="25"/>
      <c r="H115" s="127"/>
      <c r="I115" s="127"/>
      <c r="J115" s="120" t="s">
        <v>1774</v>
      </c>
    </row>
    <row r="116" spans="1:10" s="121" customFormat="1" hidden="1">
      <c r="A116" s="112"/>
      <c r="B116" s="113" t="s">
        <v>2231</v>
      </c>
      <c r="C116" s="116">
        <f t="shared" ref="C116:C117" si="63">+D116+F116</f>
        <v>1347</v>
      </c>
      <c r="D116" s="116">
        <v>1283</v>
      </c>
      <c r="E116" s="115"/>
      <c r="F116" s="116">
        <v>64</v>
      </c>
      <c r="G116" s="127"/>
      <c r="H116" s="127"/>
      <c r="I116" s="127"/>
      <c r="J116" s="120" t="s">
        <v>1774</v>
      </c>
    </row>
    <row r="117" spans="1:10" s="121" customFormat="1" ht="18" hidden="1" customHeight="1">
      <c r="A117" s="122"/>
      <c r="B117" s="113" t="s">
        <v>2233</v>
      </c>
      <c r="C117" s="116">
        <f t="shared" si="63"/>
        <v>1148</v>
      </c>
      <c r="D117" s="550">
        <v>1093</v>
      </c>
      <c r="E117" s="115"/>
      <c r="F117" s="116">
        <v>55</v>
      </c>
      <c r="G117" s="127"/>
      <c r="H117" s="127"/>
      <c r="I117" s="127"/>
      <c r="J117" s="120" t="s">
        <v>1774</v>
      </c>
    </row>
    <row r="118" spans="1:10" s="121" customFormat="1" ht="18" hidden="1" customHeight="1">
      <c r="A118" s="122" t="s">
        <v>742</v>
      </c>
      <c r="B118" s="113" t="s">
        <v>302</v>
      </c>
      <c r="C118" s="116">
        <f>C119+C120</f>
        <v>2495</v>
      </c>
      <c r="D118" s="116">
        <f t="shared" ref="D118:F118" si="64">D119+D120</f>
        <v>2376</v>
      </c>
      <c r="E118" s="116">
        <f t="shared" si="64"/>
        <v>0</v>
      </c>
      <c r="F118" s="116">
        <f t="shared" si="64"/>
        <v>119</v>
      </c>
      <c r="G118" s="120"/>
      <c r="H118" s="120"/>
      <c r="I118" s="120"/>
      <c r="J118" s="120" t="s">
        <v>1774</v>
      </c>
    </row>
    <row r="119" spans="1:10" s="121" customFormat="1" ht="18" hidden="1" customHeight="1">
      <c r="A119" s="119"/>
      <c r="B119" s="113" t="s">
        <v>2232</v>
      </c>
      <c r="C119" s="116">
        <f t="shared" ref="C119:C120" si="65">+D119+F119</f>
        <v>1347</v>
      </c>
      <c r="D119" s="116">
        <v>1283</v>
      </c>
      <c r="E119" s="115"/>
      <c r="F119" s="116">
        <v>64</v>
      </c>
      <c r="G119" s="127"/>
      <c r="H119" s="127"/>
      <c r="I119" s="127"/>
      <c r="J119" s="120" t="s">
        <v>1774</v>
      </c>
    </row>
    <row r="120" spans="1:10" s="121" customFormat="1" hidden="1">
      <c r="A120" s="112"/>
      <c r="B120" s="113" t="s">
        <v>2231</v>
      </c>
      <c r="C120" s="116">
        <f t="shared" si="65"/>
        <v>1148</v>
      </c>
      <c r="D120" s="116">
        <v>1093</v>
      </c>
      <c r="E120" s="115"/>
      <c r="F120" s="116">
        <v>55</v>
      </c>
      <c r="G120" s="127"/>
      <c r="H120" s="127"/>
      <c r="I120" s="127"/>
      <c r="J120" s="120" t="s">
        <v>1774</v>
      </c>
    </row>
    <row r="121" spans="1:10" s="121" customFormat="1" ht="18" hidden="1" customHeight="1">
      <c r="A121" s="122" t="s">
        <v>742</v>
      </c>
      <c r="B121" s="113" t="s">
        <v>283</v>
      </c>
      <c r="C121" s="116">
        <f>C122+C123</f>
        <v>2095</v>
      </c>
      <c r="D121" s="116">
        <f t="shared" ref="D121:F121" si="66">D122+D123</f>
        <v>1995</v>
      </c>
      <c r="E121" s="116">
        <f t="shared" si="66"/>
        <v>0</v>
      </c>
      <c r="F121" s="116">
        <f t="shared" si="66"/>
        <v>100</v>
      </c>
      <c r="G121" s="127"/>
      <c r="H121" s="127"/>
      <c r="I121" s="127"/>
      <c r="J121" s="120" t="s">
        <v>1774</v>
      </c>
    </row>
    <row r="122" spans="1:10" s="121" customFormat="1" ht="18" hidden="1" customHeight="1">
      <c r="A122" s="112"/>
      <c r="B122" s="113" t="s">
        <v>2234</v>
      </c>
      <c r="C122" s="116">
        <f t="shared" ref="C122:C123" si="67">+D122+F122</f>
        <v>1197</v>
      </c>
      <c r="D122" s="116">
        <v>1140</v>
      </c>
      <c r="E122" s="115"/>
      <c r="F122" s="116">
        <v>57</v>
      </c>
      <c r="G122" s="120"/>
      <c r="H122" s="120"/>
      <c r="I122" s="120"/>
      <c r="J122" s="120" t="s">
        <v>1774</v>
      </c>
    </row>
    <row r="123" spans="1:10" s="121" customFormat="1" ht="18" hidden="1" customHeight="1">
      <c r="A123" s="122"/>
      <c r="B123" s="113" t="s">
        <v>2231</v>
      </c>
      <c r="C123" s="116">
        <f t="shared" si="67"/>
        <v>898</v>
      </c>
      <c r="D123" s="116">
        <v>855</v>
      </c>
      <c r="E123" s="115"/>
      <c r="F123" s="116">
        <v>43</v>
      </c>
      <c r="G123" s="127"/>
      <c r="H123" s="127"/>
      <c r="I123" s="127"/>
      <c r="J123" s="120" t="s">
        <v>1774</v>
      </c>
    </row>
    <row r="124" spans="1:10" s="121" customFormat="1" hidden="1">
      <c r="A124" s="122" t="s">
        <v>742</v>
      </c>
      <c r="B124" s="113" t="s">
        <v>284</v>
      </c>
      <c r="C124" s="116">
        <f>C125</f>
        <v>1995</v>
      </c>
      <c r="D124" s="116">
        <f t="shared" ref="D124:F124" si="68">D125</f>
        <v>1900</v>
      </c>
      <c r="E124" s="116">
        <f t="shared" si="68"/>
        <v>0</v>
      </c>
      <c r="F124" s="116">
        <f t="shared" si="68"/>
        <v>95</v>
      </c>
      <c r="G124" s="127"/>
      <c r="H124" s="127"/>
      <c r="I124" s="127"/>
      <c r="J124" s="120" t="s">
        <v>1774</v>
      </c>
    </row>
    <row r="125" spans="1:10" s="110" customFormat="1" ht="18" hidden="1" customHeight="1">
      <c r="A125" s="119"/>
      <c r="B125" s="113" t="s">
        <v>2235</v>
      </c>
      <c r="C125" s="116">
        <f>+D125+F125</f>
        <v>1995</v>
      </c>
      <c r="D125" s="116">
        <v>1900</v>
      </c>
      <c r="E125" s="115"/>
      <c r="F125" s="116">
        <v>95</v>
      </c>
      <c r="G125" s="127"/>
      <c r="H125" s="127"/>
      <c r="I125" s="127"/>
      <c r="J125" s="120" t="s">
        <v>1774</v>
      </c>
    </row>
    <row r="126" spans="1:10" s="110" customFormat="1" ht="18" hidden="1" customHeight="1">
      <c r="A126" s="122" t="s">
        <v>742</v>
      </c>
      <c r="B126" s="113" t="s">
        <v>286</v>
      </c>
      <c r="C126" s="116">
        <f>C127+C128</f>
        <v>2394</v>
      </c>
      <c r="D126" s="116">
        <f t="shared" ref="D126:F126" si="69">D127+D128</f>
        <v>2280</v>
      </c>
      <c r="E126" s="116">
        <f t="shared" si="69"/>
        <v>0</v>
      </c>
      <c r="F126" s="116">
        <f t="shared" si="69"/>
        <v>114</v>
      </c>
      <c r="G126" s="120"/>
      <c r="H126" s="120"/>
      <c r="I126" s="120"/>
      <c r="J126" s="120" t="s">
        <v>1774</v>
      </c>
    </row>
    <row r="127" spans="1:10" s="111" customFormat="1" ht="18" hidden="1" customHeight="1">
      <c r="A127" s="122"/>
      <c r="B127" s="113" t="s">
        <v>2236</v>
      </c>
      <c r="C127" s="116">
        <f t="shared" ref="C127:C128" si="70">+D127+F127</f>
        <v>1496</v>
      </c>
      <c r="D127" s="116">
        <v>1425</v>
      </c>
      <c r="E127" s="115"/>
      <c r="F127" s="116">
        <v>71</v>
      </c>
      <c r="G127" s="127"/>
      <c r="H127" s="127"/>
      <c r="I127" s="127"/>
      <c r="J127" s="120" t="s">
        <v>1774</v>
      </c>
    </row>
    <row r="128" spans="1:10" s="110" customFormat="1" ht="18" hidden="1" customHeight="1">
      <c r="A128" s="112"/>
      <c r="B128" s="113" t="s">
        <v>2231</v>
      </c>
      <c r="C128" s="116">
        <f t="shared" si="70"/>
        <v>898</v>
      </c>
      <c r="D128" s="116">
        <v>855</v>
      </c>
      <c r="E128" s="115"/>
      <c r="F128" s="116">
        <v>43</v>
      </c>
      <c r="G128" s="127"/>
      <c r="H128" s="127"/>
      <c r="I128" s="127"/>
      <c r="J128" s="120" t="s">
        <v>1774</v>
      </c>
    </row>
    <row r="129" spans="1:10" s="121" customFormat="1" ht="18" hidden="1" customHeight="1">
      <c r="A129" s="122" t="s">
        <v>742</v>
      </c>
      <c r="B129" s="113" t="s">
        <v>285</v>
      </c>
      <c r="C129" s="116">
        <f>C130</f>
        <v>1995</v>
      </c>
      <c r="D129" s="116">
        <f t="shared" ref="D129:F129" si="71">D130</f>
        <v>1900</v>
      </c>
      <c r="E129" s="116">
        <f t="shared" si="71"/>
        <v>0</v>
      </c>
      <c r="F129" s="116">
        <f t="shared" si="71"/>
        <v>95</v>
      </c>
      <c r="G129" s="127"/>
      <c r="H129" s="127"/>
      <c r="I129" s="127"/>
      <c r="J129" s="120" t="s">
        <v>1774</v>
      </c>
    </row>
    <row r="130" spans="1:10" s="111" customFormat="1" ht="18" hidden="1" customHeight="1">
      <c r="A130" s="122"/>
      <c r="B130" s="113" t="s">
        <v>2237</v>
      </c>
      <c r="C130" s="116">
        <f>+D130+F130</f>
        <v>1995</v>
      </c>
      <c r="D130" s="116">
        <v>1900</v>
      </c>
      <c r="E130" s="115"/>
      <c r="F130" s="116">
        <v>95</v>
      </c>
      <c r="G130" s="127"/>
      <c r="H130" s="127"/>
      <c r="I130" s="127"/>
      <c r="J130" s="120" t="s">
        <v>1774</v>
      </c>
    </row>
    <row r="131" spans="1:10" s="110" customFormat="1" ht="18" hidden="1" customHeight="1">
      <c r="A131" s="122" t="s">
        <v>742</v>
      </c>
      <c r="B131" s="113" t="s">
        <v>298</v>
      </c>
      <c r="C131" s="116">
        <f>C132</f>
        <v>1197</v>
      </c>
      <c r="D131" s="116">
        <f t="shared" ref="D131:F131" si="72">D132</f>
        <v>1140</v>
      </c>
      <c r="E131" s="116">
        <f t="shared" si="72"/>
        <v>0</v>
      </c>
      <c r="F131" s="116">
        <f t="shared" si="72"/>
        <v>57</v>
      </c>
      <c r="G131" s="120"/>
      <c r="H131" s="120"/>
      <c r="I131" s="120"/>
      <c r="J131" s="120" t="s">
        <v>1774</v>
      </c>
    </row>
    <row r="132" spans="1:10" s="121" customFormat="1" ht="18" hidden="1" customHeight="1">
      <c r="A132" s="112"/>
      <c r="B132" s="113" t="s">
        <v>2238</v>
      </c>
      <c r="C132" s="116">
        <f>+D132+F132</f>
        <v>1197</v>
      </c>
      <c r="D132" s="116">
        <v>1140</v>
      </c>
      <c r="E132" s="115"/>
      <c r="F132" s="116">
        <v>57</v>
      </c>
      <c r="G132" s="127"/>
      <c r="H132" s="127"/>
      <c r="I132" s="127"/>
      <c r="J132" s="120" t="s">
        <v>1774</v>
      </c>
    </row>
    <row r="133" spans="1:10" s="111" customFormat="1" ht="18" hidden="1" customHeight="1">
      <c r="A133" s="122" t="s">
        <v>742</v>
      </c>
      <c r="B133" s="113" t="s">
        <v>296</v>
      </c>
      <c r="C133" s="116">
        <f>C134+C135</f>
        <v>1596</v>
      </c>
      <c r="D133" s="116">
        <f t="shared" ref="D133:F133" si="73">D134+D135</f>
        <v>1520</v>
      </c>
      <c r="E133" s="116">
        <f t="shared" si="73"/>
        <v>0</v>
      </c>
      <c r="F133" s="116">
        <f t="shared" si="73"/>
        <v>76</v>
      </c>
      <c r="G133" s="127"/>
      <c r="H133" s="127"/>
      <c r="I133" s="127"/>
      <c r="J133" s="120" t="s">
        <v>1774</v>
      </c>
    </row>
    <row r="134" spans="1:10" s="110" customFormat="1" ht="18" hidden="1" customHeight="1">
      <c r="A134" s="112"/>
      <c r="B134" s="113" t="s">
        <v>2239</v>
      </c>
      <c r="C134" s="116">
        <f t="shared" ref="C134:C135" si="74">+D134+F134</f>
        <v>698</v>
      </c>
      <c r="D134" s="116">
        <v>665</v>
      </c>
      <c r="E134" s="115"/>
      <c r="F134" s="116">
        <v>33</v>
      </c>
      <c r="G134" s="126"/>
      <c r="H134" s="126"/>
      <c r="I134" s="126"/>
      <c r="J134" s="120" t="s">
        <v>1774</v>
      </c>
    </row>
    <row r="135" spans="1:10" s="121" customFormat="1" ht="18" hidden="1" customHeight="1">
      <c r="A135" s="122"/>
      <c r="B135" s="113" t="s">
        <v>2231</v>
      </c>
      <c r="C135" s="116">
        <f t="shared" si="74"/>
        <v>898</v>
      </c>
      <c r="D135" s="116">
        <v>855</v>
      </c>
      <c r="E135" s="115"/>
      <c r="F135" s="116">
        <v>43</v>
      </c>
      <c r="G135" s="109"/>
      <c r="H135" s="109"/>
      <c r="I135" s="109"/>
      <c r="J135" s="293" t="s">
        <v>1774</v>
      </c>
    </row>
    <row r="136" spans="1:10" s="110" customFormat="1" ht="18" hidden="1" customHeight="1">
      <c r="A136" s="122" t="s">
        <v>742</v>
      </c>
      <c r="B136" s="113" t="s">
        <v>768</v>
      </c>
      <c r="C136" s="116">
        <f>C137+C138</f>
        <v>1796</v>
      </c>
      <c r="D136" s="116">
        <f t="shared" ref="D136:F136" si="75">D137+D138</f>
        <v>1710</v>
      </c>
      <c r="E136" s="116">
        <f t="shared" si="75"/>
        <v>0</v>
      </c>
      <c r="F136" s="116">
        <f t="shared" si="75"/>
        <v>86</v>
      </c>
      <c r="G136" s="109"/>
      <c r="H136" s="109"/>
      <c r="I136" s="109"/>
      <c r="J136" s="293" t="s">
        <v>1774</v>
      </c>
    </row>
    <row r="137" spans="1:10" s="110" customFormat="1" ht="18" hidden="1" customHeight="1">
      <c r="A137" s="119"/>
      <c r="B137" s="113" t="s">
        <v>2240</v>
      </c>
      <c r="C137" s="116">
        <f t="shared" ref="C137:C138" si="76">+D137+F137</f>
        <v>898</v>
      </c>
      <c r="D137" s="116">
        <v>855</v>
      </c>
      <c r="E137" s="115"/>
      <c r="F137" s="116">
        <v>43</v>
      </c>
      <c r="G137" s="116"/>
      <c r="H137" s="116"/>
      <c r="I137" s="116"/>
      <c r="J137" s="120" t="s">
        <v>1774</v>
      </c>
    </row>
    <row r="138" spans="1:10" s="111" customFormat="1" hidden="1">
      <c r="A138" s="112"/>
      <c r="B138" s="113" t="s">
        <v>2231</v>
      </c>
      <c r="C138" s="116">
        <f t="shared" si="76"/>
        <v>898</v>
      </c>
      <c r="D138" s="116">
        <v>855</v>
      </c>
      <c r="E138" s="115"/>
      <c r="F138" s="116">
        <v>43</v>
      </c>
      <c r="G138" s="109"/>
      <c r="H138" s="109"/>
      <c r="I138" s="109"/>
      <c r="J138" s="120" t="s">
        <v>1774</v>
      </c>
    </row>
    <row r="139" spans="1:10" s="110" customFormat="1" ht="18" hidden="1" customHeight="1">
      <c r="A139" s="122" t="s">
        <v>742</v>
      </c>
      <c r="B139" s="113" t="s">
        <v>288</v>
      </c>
      <c r="C139" s="116">
        <f>C140</f>
        <v>299</v>
      </c>
      <c r="D139" s="116">
        <f t="shared" ref="D139:F139" si="77">D140</f>
        <v>285</v>
      </c>
      <c r="E139" s="116">
        <f t="shared" si="77"/>
        <v>0</v>
      </c>
      <c r="F139" s="116">
        <f t="shared" si="77"/>
        <v>14</v>
      </c>
      <c r="G139" s="109"/>
      <c r="H139" s="109"/>
      <c r="I139" s="109"/>
      <c r="J139" s="120" t="s">
        <v>1774</v>
      </c>
    </row>
    <row r="140" spans="1:10" s="121" customFormat="1" ht="18" hidden="1" customHeight="1">
      <c r="A140" s="112"/>
      <c r="B140" s="113" t="s">
        <v>769</v>
      </c>
      <c r="C140" s="116">
        <f>+D140+F140</f>
        <v>299</v>
      </c>
      <c r="D140" s="116">
        <v>285</v>
      </c>
      <c r="E140" s="115"/>
      <c r="F140" s="116">
        <v>14</v>
      </c>
      <c r="G140" s="128"/>
      <c r="H140" s="128"/>
      <c r="I140" s="128"/>
      <c r="J140" s="120" t="s">
        <v>1774</v>
      </c>
    </row>
    <row r="141" spans="1:10" s="111" customFormat="1" ht="18" hidden="1" customHeight="1">
      <c r="A141" s="122" t="s">
        <v>742</v>
      </c>
      <c r="B141" s="113" t="s">
        <v>304</v>
      </c>
      <c r="C141" s="116">
        <f>C142</f>
        <v>1903</v>
      </c>
      <c r="D141" s="116">
        <f t="shared" ref="D141:F141" si="78">D142</f>
        <v>1812</v>
      </c>
      <c r="E141" s="116">
        <f t="shared" si="78"/>
        <v>0</v>
      </c>
      <c r="F141" s="116">
        <f t="shared" si="78"/>
        <v>91</v>
      </c>
      <c r="G141" s="116"/>
      <c r="H141" s="116"/>
      <c r="I141" s="116"/>
      <c r="J141" s="120" t="s">
        <v>1774</v>
      </c>
    </row>
    <row r="142" spans="1:10" s="110" customFormat="1" hidden="1">
      <c r="A142" s="119"/>
      <c r="B142" s="113" t="s">
        <v>2241</v>
      </c>
      <c r="C142" s="116">
        <f>+D142+F142</f>
        <v>1903</v>
      </c>
      <c r="D142" s="116">
        <v>1812</v>
      </c>
      <c r="E142" s="115"/>
      <c r="F142" s="116">
        <v>91</v>
      </c>
      <c r="G142" s="109"/>
      <c r="H142" s="109"/>
      <c r="I142" s="109"/>
      <c r="J142" s="120" t="s">
        <v>1774</v>
      </c>
    </row>
    <row r="143" spans="1:10" s="121" customFormat="1" ht="18" hidden="1" customHeight="1">
      <c r="A143" s="122" t="s">
        <v>742</v>
      </c>
      <c r="B143" s="113" t="s">
        <v>293</v>
      </c>
      <c r="C143" s="116">
        <f>C144+C145</f>
        <v>1197</v>
      </c>
      <c r="D143" s="116">
        <f t="shared" ref="D143:F143" si="79">D144+D145</f>
        <v>1140</v>
      </c>
      <c r="E143" s="116">
        <f t="shared" si="79"/>
        <v>0</v>
      </c>
      <c r="F143" s="116">
        <f t="shared" si="79"/>
        <v>57</v>
      </c>
      <c r="G143" s="109"/>
      <c r="H143" s="109"/>
      <c r="I143" s="109"/>
      <c r="J143" s="120" t="s">
        <v>1774</v>
      </c>
    </row>
    <row r="144" spans="1:10" s="749" customFormat="1" ht="18" hidden="1" customHeight="1">
      <c r="A144" s="122"/>
      <c r="B144" s="113" t="s">
        <v>2242</v>
      </c>
      <c r="C144" s="116">
        <f>+D144+F144</f>
        <v>898</v>
      </c>
      <c r="D144" s="116">
        <v>855</v>
      </c>
      <c r="E144" s="115"/>
      <c r="F144" s="116">
        <v>43</v>
      </c>
      <c r="G144" s="410"/>
      <c r="H144" s="410"/>
      <c r="I144" s="410"/>
      <c r="J144" s="120" t="s">
        <v>1774</v>
      </c>
    </row>
    <row r="145" spans="1:11" s="751" customFormat="1" ht="18" hidden="1" customHeight="1">
      <c r="A145" s="112"/>
      <c r="B145" s="113" t="s">
        <v>2243</v>
      </c>
      <c r="C145" s="116">
        <f>+D145+F145</f>
        <v>299</v>
      </c>
      <c r="D145" s="116">
        <v>285</v>
      </c>
      <c r="E145" s="115"/>
      <c r="F145" s="116">
        <v>14</v>
      </c>
      <c r="G145" s="129"/>
      <c r="H145" s="129"/>
      <c r="I145" s="129"/>
      <c r="J145" s="120" t="s">
        <v>1774</v>
      </c>
    </row>
    <row r="146" spans="1:11" s="545" customFormat="1" ht="18" customHeight="1">
      <c r="A146" s="108" t="s">
        <v>29</v>
      </c>
      <c r="B146" s="992" t="s">
        <v>19</v>
      </c>
      <c r="C146" s="556">
        <f>C147+C150</f>
        <v>25354</v>
      </c>
      <c r="D146" s="556">
        <f>D147+D150</f>
        <v>24113</v>
      </c>
      <c r="E146" s="114"/>
      <c r="F146" s="965">
        <f>F147+F150</f>
        <v>1241</v>
      </c>
      <c r="G146" s="129"/>
      <c r="H146" s="129"/>
      <c r="I146" s="129"/>
      <c r="J146" s="120"/>
    </row>
    <row r="147" spans="1:11" s="121" customFormat="1" ht="18" customHeight="1">
      <c r="A147" s="112" t="s">
        <v>10</v>
      </c>
      <c r="B147" s="148" t="s">
        <v>765</v>
      </c>
      <c r="C147" s="155">
        <f>SUM(C148:C149)</f>
        <v>8254</v>
      </c>
      <c r="D147" s="155">
        <f t="shared" ref="D147:F147" si="80">SUM(D148:D149)</f>
        <v>7861</v>
      </c>
      <c r="E147" s="114">
        <f t="shared" si="80"/>
        <v>0</v>
      </c>
      <c r="F147" s="114">
        <f t="shared" si="80"/>
        <v>393</v>
      </c>
      <c r="G147" s="120"/>
      <c r="H147" s="120"/>
      <c r="I147" s="120"/>
      <c r="J147" s="120"/>
    </row>
    <row r="148" spans="1:11" s="8" customFormat="1" ht="18" hidden="1" customHeight="1">
      <c r="A148" s="112"/>
      <c r="B148" s="19" t="s">
        <v>2244</v>
      </c>
      <c r="C148" s="114">
        <f>+D148+F148</f>
        <v>4663</v>
      </c>
      <c r="D148" s="114">
        <v>4441</v>
      </c>
      <c r="E148" s="114"/>
      <c r="F148" s="114">
        <v>222</v>
      </c>
      <c r="G148" s="131"/>
      <c r="H148" s="131"/>
      <c r="I148" s="131"/>
      <c r="J148" s="120" t="s">
        <v>1774</v>
      </c>
    </row>
    <row r="149" spans="1:11" s="111" customFormat="1" ht="18" hidden="1" customHeight="1">
      <c r="A149" s="112"/>
      <c r="B149" s="19" t="s">
        <v>2245</v>
      </c>
      <c r="C149" s="114">
        <f>+D149+F149</f>
        <v>3591</v>
      </c>
      <c r="D149" s="114">
        <v>3420</v>
      </c>
      <c r="E149" s="114"/>
      <c r="F149" s="114">
        <v>171</v>
      </c>
      <c r="G149" s="131"/>
      <c r="H149" s="131"/>
      <c r="I149" s="131"/>
      <c r="J149" s="120" t="s">
        <v>1774</v>
      </c>
      <c r="K149" s="110"/>
    </row>
    <row r="150" spans="1:11" s="111" customFormat="1" ht="18" customHeight="1">
      <c r="A150" s="112" t="s">
        <v>12</v>
      </c>
      <c r="B150" s="148" t="s">
        <v>760</v>
      </c>
      <c r="C150" s="155">
        <f>+C151+C156+C161+C166+C171+C176+C181+C186+C191+C196+C201+C206+C211</f>
        <v>17100</v>
      </c>
      <c r="D150" s="155">
        <v>16252</v>
      </c>
      <c r="E150" s="114"/>
      <c r="F150" s="114">
        <f t="shared" ref="F150" si="81">+F151+F156+F161+F166+F171+F176+F181+F186+F191+F196+F201+F206+F211</f>
        <v>848</v>
      </c>
      <c r="G150" s="131"/>
      <c r="H150" s="131"/>
      <c r="I150" s="131"/>
      <c r="J150" s="120"/>
      <c r="K150" s="110"/>
    </row>
    <row r="151" spans="1:11" s="121" customFormat="1" ht="18" hidden="1" customHeight="1">
      <c r="A151" s="551" t="s">
        <v>701</v>
      </c>
      <c r="B151" s="118" t="s">
        <v>595</v>
      </c>
      <c r="C151" s="547">
        <f>SUM(C152:C155)</f>
        <v>1800</v>
      </c>
      <c r="D151" s="547">
        <v>1712</v>
      </c>
      <c r="E151" s="547"/>
      <c r="F151" s="547">
        <f t="shared" ref="F151" si="82">SUM(F152:F155)</f>
        <v>88</v>
      </c>
      <c r="G151" s="120"/>
      <c r="H151" s="120"/>
      <c r="I151" s="120"/>
      <c r="J151" s="120" t="s">
        <v>1774</v>
      </c>
    </row>
    <row r="152" spans="1:11" s="111" customFormat="1" ht="18" hidden="1" customHeight="1">
      <c r="A152" s="112"/>
      <c r="B152" s="113" t="s">
        <v>770</v>
      </c>
      <c r="C152" s="116">
        <v>450</v>
      </c>
      <c r="D152" s="116">
        <v>428</v>
      </c>
      <c r="E152" s="115"/>
      <c r="F152" s="116">
        <v>22</v>
      </c>
      <c r="G152" s="131"/>
      <c r="H152" s="131"/>
      <c r="I152" s="131"/>
      <c r="J152" s="120" t="s">
        <v>1774</v>
      </c>
    </row>
    <row r="153" spans="1:11" s="111" customFormat="1" ht="18" hidden="1" customHeight="1">
      <c r="A153" s="112"/>
      <c r="B153" s="113" t="s">
        <v>771</v>
      </c>
      <c r="C153" s="116">
        <v>450</v>
      </c>
      <c r="D153" s="116">
        <v>428</v>
      </c>
      <c r="E153" s="115"/>
      <c r="F153" s="116">
        <v>22</v>
      </c>
      <c r="G153" s="131"/>
      <c r="H153" s="131"/>
      <c r="I153" s="131"/>
      <c r="J153" s="120" t="s">
        <v>1774</v>
      </c>
      <c r="K153" s="110"/>
    </row>
    <row r="154" spans="1:11" s="111" customFormat="1" hidden="1">
      <c r="A154" s="112"/>
      <c r="B154" s="113" t="s">
        <v>772</v>
      </c>
      <c r="C154" s="116">
        <v>450</v>
      </c>
      <c r="D154" s="116">
        <v>428</v>
      </c>
      <c r="E154" s="115"/>
      <c r="F154" s="116">
        <v>22</v>
      </c>
      <c r="G154" s="131"/>
      <c r="H154" s="131"/>
      <c r="I154" s="131"/>
      <c r="J154" s="120" t="s">
        <v>1774</v>
      </c>
      <c r="K154" s="110"/>
    </row>
    <row r="155" spans="1:11" s="121" customFormat="1" ht="18" hidden="1" customHeight="1">
      <c r="A155" s="112"/>
      <c r="B155" s="113" t="s">
        <v>773</v>
      </c>
      <c r="C155" s="116">
        <v>450</v>
      </c>
      <c r="D155" s="116">
        <v>428</v>
      </c>
      <c r="E155" s="115"/>
      <c r="F155" s="116">
        <v>22</v>
      </c>
      <c r="G155" s="120"/>
      <c r="H155" s="120"/>
      <c r="I155" s="120"/>
      <c r="J155" s="120" t="s">
        <v>1774</v>
      </c>
    </row>
    <row r="156" spans="1:11" s="121" customFormat="1" ht="18" hidden="1" customHeight="1">
      <c r="A156" s="551" t="s">
        <v>701</v>
      </c>
      <c r="B156" s="118" t="s">
        <v>594</v>
      </c>
      <c r="C156" s="547">
        <f>SUM(C157:C160)</f>
        <v>1800</v>
      </c>
      <c r="D156" s="547">
        <v>1712</v>
      </c>
      <c r="E156" s="547"/>
      <c r="F156" s="547">
        <f t="shared" ref="F156" si="83">SUM(F157:F160)</f>
        <v>88</v>
      </c>
      <c r="G156" s="131"/>
      <c r="H156" s="131"/>
      <c r="I156" s="131"/>
      <c r="J156" s="120" t="s">
        <v>1774</v>
      </c>
    </row>
    <row r="157" spans="1:11" s="121" customFormat="1" hidden="1">
      <c r="A157" s="112"/>
      <c r="B157" s="113" t="s">
        <v>774</v>
      </c>
      <c r="C157" s="116">
        <v>450</v>
      </c>
      <c r="D157" s="116">
        <v>428</v>
      </c>
      <c r="E157" s="115"/>
      <c r="F157" s="116">
        <v>22</v>
      </c>
      <c r="G157" s="131"/>
      <c r="H157" s="131"/>
      <c r="I157" s="131"/>
      <c r="J157" s="120" t="s">
        <v>1774</v>
      </c>
    </row>
    <row r="158" spans="1:11" s="121" customFormat="1" ht="18" hidden="1" customHeight="1">
      <c r="A158" s="112"/>
      <c r="B158" s="113" t="s">
        <v>775</v>
      </c>
      <c r="C158" s="116">
        <v>450</v>
      </c>
      <c r="D158" s="116">
        <v>428</v>
      </c>
      <c r="E158" s="115"/>
      <c r="F158" s="116">
        <v>22</v>
      </c>
      <c r="G158" s="131"/>
      <c r="H158" s="131"/>
      <c r="I158" s="131"/>
      <c r="J158" s="120" t="s">
        <v>1774</v>
      </c>
    </row>
    <row r="159" spans="1:11" s="121" customFormat="1" ht="18" hidden="1" customHeight="1">
      <c r="A159" s="112"/>
      <c r="B159" s="113" t="s">
        <v>776</v>
      </c>
      <c r="C159" s="116">
        <v>450</v>
      </c>
      <c r="D159" s="116">
        <v>428</v>
      </c>
      <c r="E159" s="115"/>
      <c r="F159" s="116">
        <v>22</v>
      </c>
      <c r="G159" s="120"/>
      <c r="H159" s="120"/>
      <c r="I159" s="120"/>
      <c r="J159" s="120" t="s">
        <v>1774</v>
      </c>
    </row>
    <row r="160" spans="1:11" s="121" customFormat="1" ht="18" hidden="1" customHeight="1">
      <c r="A160" s="112"/>
      <c r="B160" s="113" t="s">
        <v>777</v>
      </c>
      <c r="C160" s="116">
        <v>450</v>
      </c>
      <c r="D160" s="116">
        <v>428</v>
      </c>
      <c r="E160" s="115"/>
      <c r="F160" s="116">
        <v>22</v>
      </c>
      <c r="G160" s="131"/>
      <c r="H160" s="131"/>
      <c r="I160" s="131"/>
      <c r="J160" s="120" t="s">
        <v>1774</v>
      </c>
    </row>
    <row r="161" spans="1:10" s="121" customFormat="1" hidden="1">
      <c r="A161" s="551" t="s">
        <v>701</v>
      </c>
      <c r="B161" s="118" t="s">
        <v>593</v>
      </c>
      <c r="C161" s="547">
        <f>SUM(C162:C165)</f>
        <v>1800</v>
      </c>
      <c r="D161" s="547">
        <v>1712</v>
      </c>
      <c r="E161" s="547"/>
      <c r="F161" s="547">
        <f t="shared" ref="F161" si="84">SUM(F162:F165)</f>
        <v>88</v>
      </c>
      <c r="G161" s="131"/>
      <c r="H161" s="131"/>
      <c r="I161" s="131"/>
      <c r="J161" s="120" t="s">
        <v>1774</v>
      </c>
    </row>
    <row r="162" spans="1:10" s="121" customFormat="1" ht="18" hidden="1" customHeight="1">
      <c r="A162" s="112"/>
      <c r="B162" s="113" t="s">
        <v>778</v>
      </c>
      <c r="C162" s="116">
        <v>450</v>
      </c>
      <c r="D162" s="116">
        <v>428</v>
      </c>
      <c r="E162" s="115"/>
      <c r="F162" s="116">
        <v>22</v>
      </c>
      <c r="G162" s="131"/>
      <c r="H162" s="131"/>
      <c r="I162" s="131"/>
      <c r="J162" s="120" t="s">
        <v>1774</v>
      </c>
    </row>
    <row r="163" spans="1:10" s="121" customFormat="1" ht="18" hidden="1" customHeight="1">
      <c r="A163" s="112"/>
      <c r="B163" s="113" t="s">
        <v>779</v>
      </c>
      <c r="C163" s="116">
        <v>450</v>
      </c>
      <c r="D163" s="116">
        <v>428</v>
      </c>
      <c r="E163" s="115"/>
      <c r="F163" s="116">
        <v>22</v>
      </c>
      <c r="G163" s="120"/>
      <c r="H163" s="120"/>
      <c r="I163" s="120"/>
      <c r="J163" s="120" t="s">
        <v>1774</v>
      </c>
    </row>
    <row r="164" spans="1:10" s="121" customFormat="1" ht="18" hidden="1" customHeight="1">
      <c r="A164" s="112"/>
      <c r="B164" s="113" t="s">
        <v>780</v>
      </c>
      <c r="C164" s="116">
        <v>450</v>
      </c>
      <c r="D164" s="116">
        <v>428</v>
      </c>
      <c r="E164" s="115"/>
      <c r="F164" s="116">
        <v>22</v>
      </c>
      <c r="G164" s="131"/>
      <c r="H164" s="131"/>
      <c r="I164" s="131"/>
      <c r="J164" s="120" t="s">
        <v>1774</v>
      </c>
    </row>
    <row r="165" spans="1:10" s="121" customFormat="1" ht="18" hidden="1" customHeight="1">
      <c r="A165" s="112"/>
      <c r="B165" s="113" t="s">
        <v>781</v>
      </c>
      <c r="C165" s="116">
        <v>450</v>
      </c>
      <c r="D165" s="116">
        <v>428</v>
      </c>
      <c r="E165" s="115"/>
      <c r="F165" s="116">
        <v>22</v>
      </c>
      <c r="G165" s="131"/>
      <c r="H165" s="131"/>
      <c r="I165" s="131"/>
      <c r="J165" s="120" t="s">
        <v>1774</v>
      </c>
    </row>
    <row r="166" spans="1:10" s="121" customFormat="1" hidden="1">
      <c r="A166" s="551" t="s">
        <v>701</v>
      </c>
      <c r="B166" s="118" t="s">
        <v>592</v>
      </c>
      <c r="C166" s="547">
        <f>SUM(C167:C170)</f>
        <v>1800</v>
      </c>
      <c r="D166" s="547">
        <v>1712</v>
      </c>
      <c r="E166" s="547"/>
      <c r="F166" s="547">
        <f t="shared" ref="F166" si="85">SUM(F167:F170)</f>
        <v>88</v>
      </c>
      <c r="G166" s="131"/>
      <c r="H166" s="131"/>
      <c r="I166" s="131"/>
      <c r="J166" s="120" t="s">
        <v>1774</v>
      </c>
    </row>
    <row r="167" spans="1:10" s="121" customFormat="1" ht="18" hidden="1" customHeight="1">
      <c r="A167" s="112"/>
      <c r="B167" s="113" t="s">
        <v>782</v>
      </c>
      <c r="C167" s="116">
        <v>450</v>
      </c>
      <c r="D167" s="116">
        <v>428</v>
      </c>
      <c r="E167" s="115"/>
      <c r="F167" s="116">
        <v>22</v>
      </c>
      <c r="G167" s="120"/>
      <c r="H167" s="120"/>
      <c r="I167" s="120"/>
      <c r="J167" s="120" t="s">
        <v>1774</v>
      </c>
    </row>
    <row r="168" spans="1:10" s="121" customFormat="1" ht="18" hidden="1" customHeight="1">
      <c r="A168" s="112"/>
      <c r="B168" s="113" t="s">
        <v>783</v>
      </c>
      <c r="C168" s="116">
        <v>450</v>
      </c>
      <c r="D168" s="116">
        <v>428</v>
      </c>
      <c r="E168" s="115"/>
      <c r="F168" s="116">
        <v>22</v>
      </c>
      <c r="G168" s="131"/>
      <c r="H168" s="131"/>
      <c r="I168" s="131"/>
      <c r="J168" s="120" t="s">
        <v>1774</v>
      </c>
    </row>
    <row r="169" spans="1:10" s="121" customFormat="1" ht="18" hidden="1" customHeight="1">
      <c r="A169" s="112"/>
      <c r="B169" s="113" t="s">
        <v>784</v>
      </c>
      <c r="C169" s="116">
        <v>450</v>
      </c>
      <c r="D169" s="116">
        <v>428</v>
      </c>
      <c r="E169" s="115"/>
      <c r="F169" s="116">
        <v>22</v>
      </c>
      <c r="G169" s="131"/>
      <c r="H169" s="131"/>
      <c r="I169" s="131"/>
      <c r="J169" s="120" t="s">
        <v>1774</v>
      </c>
    </row>
    <row r="170" spans="1:10" s="121" customFormat="1" ht="18" hidden="1" customHeight="1">
      <c r="A170" s="112"/>
      <c r="B170" s="113" t="s">
        <v>777</v>
      </c>
      <c r="C170" s="116">
        <v>450</v>
      </c>
      <c r="D170" s="116">
        <v>428</v>
      </c>
      <c r="E170" s="115"/>
      <c r="F170" s="116">
        <v>22</v>
      </c>
      <c r="G170" s="131"/>
      <c r="H170" s="131"/>
      <c r="I170" s="131"/>
      <c r="J170" s="120" t="s">
        <v>1774</v>
      </c>
    </row>
    <row r="171" spans="1:10" s="121" customFormat="1" ht="18" hidden="1" customHeight="1">
      <c r="A171" s="551" t="s">
        <v>701</v>
      </c>
      <c r="B171" s="118" t="s">
        <v>785</v>
      </c>
      <c r="C171" s="547">
        <f>SUM(C172:C175)</f>
        <v>300</v>
      </c>
      <c r="D171" s="547">
        <v>284</v>
      </c>
      <c r="E171" s="547"/>
      <c r="F171" s="547">
        <f t="shared" ref="F171" si="86">SUM(F172:F175)</f>
        <v>16</v>
      </c>
      <c r="G171" s="120"/>
      <c r="H171" s="120"/>
      <c r="I171" s="120"/>
      <c r="J171" s="120" t="s">
        <v>1774</v>
      </c>
    </row>
    <row r="172" spans="1:10" s="121" customFormat="1" ht="18" hidden="1" customHeight="1">
      <c r="A172" s="112"/>
      <c r="B172" s="113" t="s">
        <v>786</v>
      </c>
      <c r="C172" s="116">
        <v>75</v>
      </c>
      <c r="D172" s="116">
        <v>71</v>
      </c>
      <c r="E172" s="115"/>
      <c r="F172" s="116">
        <v>4</v>
      </c>
      <c r="G172" s="131"/>
      <c r="H172" s="131"/>
      <c r="I172" s="131"/>
      <c r="J172" s="120" t="s">
        <v>1774</v>
      </c>
    </row>
    <row r="173" spans="1:10" s="121" customFormat="1" ht="18" hidden="1" customHeight="1">
      <c r="A173" s="112"/>
      <c r="B173" s="113" t="s">
        <v>787</v>
      </c>
      <c r="C173" s="116">
        <v>75</v>
      </c>
      <c r="D173" s="116">
        <v>71</v>
      </c>
      <c r="E173" s="115"/>
      <c r="F173" s="116">
        <v>4</v>
      </c>
      <c r="G173" s="120"/>
      <c r="H173" s="120"/>
      <c r="I173" s="120"/>
      <c r="J173" s="120" t="s">
        <v>1774</v>
      </c>
    </row>
    <row r="174" spans="1:10" s="121" customFormat="1" ht="18" hidden="1" customHeight="1">
      <c r="A174" s="112"/>
      <c r="B174" s="113" t="s">
        <v>788</v>
      </c>
      <c r="C174" s="116">
        <v>75</v>
      </c>
      <c r="D174" s="116">
        <v>71</v>
      </c>
      <c r="E174" s="115"/>
      <c r="F174" s="116">
        <v>4</v>
      </c>
      <c r="G174" s="131"/>
      <c r="H174" s="131"/>
      <c r="I174" s="131"/>
      <c r="J174" s="120" t="s">
        <v>1774</v>
      </c>
    </row>
    <row r="175" spans="1:10" s="121" customFormat="1" ht="18" hidden="1" customHeight="1">
      <c r="A175" s="112"/>
      <c r="B175" s="113" t="s">
        <v>789</v>
      </c>
      <c r="C175" s="116">
        <v>75</v>
      </c>
      <c r="D175" s="116">
        <v>71</v>
      </c>
      <c r="E175" s="115"/>
      <c r="F175" s="116">
        <v>4</v>
      </c>
      <c r="G175" s="131"/>
      <c r="H175" s="131"/>
      <c r="I175" s="131"/>
      <c r="J175" s="120" t="s">
        <v>1774</v>
      </c>
    </row>
    <row r="176" spans="1:10" s="121" customFormat="1" ht="18" hidden="1" customHeight="1">
      <c r="A176" s="551" t="s">
        <v>701</v>
      </c>
      <c r="B176" s="118" t="s">
        <v>790</v>
      </c>
      <c r="C176" s="547">
        <f>SUM(C177:C180)</f>
        <v>1200</v>
      </c>
      <c r="D176" s="547">
        <v>1140</v>
      </c>
      <c r="E176" s="547"/>
      <c r="F176" s="547">
        <f t="shared" ref="F176" si="87">SUM(F177:F180)</f>
        <v>60</v>
      </c>
      <c r="G176" s="131"/>
      <c r="H176" s="131"/>
      <c r="I176" s="131"/>
      <c r="J176" s="120" t="s">
        <v>1774</v>
      </c>
    </row>
    <row r="177" spans="1:10" s="121" customFormat="1" ht="18" hidden="1" customHeight="1">
      <c r="A177" s="112"/>
      <c r="B177" s="113" t="s">
        <v>791</v>
      </c>
      <c r="C177" s="116">
        <f t="shared" ref="C177:C180" si="88">75*4</f>
        <v>300</v>
      </c>
      <c r="D177" s="116">
        <v>285</v>
      </c>
      <c r="E177" s="115"/>
      <c r="F177" s="116">
        <v>15</v>
      </c>
      <c r="G177" s="131"/>
      <c r="H177" s="131"/>
      <c r="I177" s="131"/>
      <c r="J177" s="120" t="s">
        <v>1774</v>
      </c>
    </row>
    <row r="178" spans="1:10" s="121" customFormat="1" ht="18" hidden="1" customHeight="1">
      <c r="A178" s="112"/>
      <c r="B178" s="113" t="s">
        <v>792</v>
      </c>
      <c r="C178" s="116">
        <f t="shared" si="88"/>
        <v>300</v>
      </c>
      <c r="D178" s="116">
        <v>285</v>
      </c>
      <c r="E178" s="115"/>
      <c r="F178" s="116">
        <v>15</v>
      </c>
      <c r="G178" s="131"/>
      <c r="H178" s="131"/>
      <c r="I178" s="131"/>
      <c r="J178" s="120" t="s">
        <v>1774</v>
      </c>
    </row>
    <row r="179" spans="1:10" s="121" customFormat="1" ht="18" hidden="1" customHeight="1">
      <c r="A179" s="112"/>
      <c r="B179" s="113" t="s">
        <v>793</v>
      </c>
      <c r="C179" s="116">
        <f t="shared" si="88"/>
        <v>300</v>
      </c>
      <c r="D179" s="116">
        <v>285</v>
      </c>
      <c r="E179" s="115"/>
      <c r="F179" s="116">
        <v>15</v>
      </c>
      <c r="G179" s="120"/>
      <c r="H179" s="120"/>
      <c r="I179" s="120"/>
      <c r="J179" s="120" t="s">
        <v>1774</v>
      </c>
    </row>
    <row r="180" spans="1:10" s="121" customFormat="1" ht="18" hidden="1" customHeight="1">
      <c r="A180" s="112"/>
      <c r="B180" s="113" t="s">
        <v>794</v>
      </c>
      <c r="C180" s="116">
        <f t="shared" si="88"/>
        <v>300</v>
      </c>
      <c r="D180" s="116">
        <v>285</v>
      </c>
      <c r="E180" s="115"/>
      <c r="F180" s="116">
        <v>15</v>
      </c>
      <c r="G180" s="131"/>
      <c r="H180" s="131"/>
      <c r="I180" s="131"/>
      <c r="J180" s="120" t="s">
        <v>1774</v>
      </c>
    </row>
    <row r="181" spans="1:10" s="121" customFormat="1" ht="18" hidden="1" customHeight="1">
      <c r="A181" s="551" t="s">
        <v>701</v>
      </c>
      <c r="B181" s="118" t="s">
        <v>795</v>
      </c>
      <c r="C181" s="547">
        <f>SUM(C182:C185)</f>
        <v>1200</v>
      </c>
      <c r="D181" s="547">
        <v>1140</v>
      </c>
      <c r="E181" s="547"/>
      <c r="F181" s="547">
        <f t="shared" ref="F181" si="89">SUM(F182:F185)</f>
        <v>60</v>
      </c>
      <c r="G181" s="131"/>
      <c r="H181" s="131"/>
      <c r="I181" s="131"/>
      <c r="J181" s="120" t="s">
        <v>1774</v>
      </c>
    </row>
    <row r="182" spans="1:10" s="121" customFormat="1" ht="18" hidden="1" customHeight="1">
      <c r="A182" s="112"/>
      <c r="B182" s="113" t="s">
        <v>796</v>
      </c>
      <c r="C182" s="116">
        <f t="shared" ref="C182:C185" si="90">75*4</f>
        <v>300</v>
      </c>
      <c r="D182" s="116">
        <v>285</v>
      </c>
      <c r="E182" s="115"/>
      <c r="F182" s="116">
        <v>15</v>
      </c>
      <c r="G182" s="131"/>
      <c r="H182" s="131"/>
      <c r="I182" s="131"/>
      <c r="J182" s="120" t="s">
        <v>1774</v>
      </c>
    </row>
    <row r="183" spans="1:10" s="121" customFormat="1" ht="18" hidden="1" customHeight="1">
      <c r="A183" s="112"/>
      <c r="B183" s="113" t="s">
        <v>797</v>
      </c>
      <c r="C183" s="116">
        <f t="shared" si="90"/>
        <v>300</v>
      </c>
      <c r="D183" s="116">
        <v>285</v>
      </c>
      <c r="E183" s="115"/>
      <c r="F183" s="116">
        <v>15</v>
      </c>
      <c r="G183" s="131"/>
      <c r="H183" s="131"/>
      <c r="I183" s="131"/>
      <c r="J183" s="120" t="s">
        <v>1774</v>
      </c>
    </row>
    <row r="184" spans="1:10" s="121" customFormat="1" hidden="1">
      <c r="A184" s="112"/>
      <c r="B184" s="113" t="s">
        <v>798</v>
      </c>
      <c r="C184" s="116">
        <f t="shared" si="90"/>
        <v>300</v>
      </c>
      <c r="D184" s="116">
        <v>285</v>
      </c>
      <c r="E184" s="115"/>
      <c r="F184" s="116">
        <v>15</v>
      </c>
      <c r="G184" s="131"/>
      <c r="H184" s="131"/>
      <c r="I184" s="131"/>
      <c r="J184" s="120" t="s">
        <v>1774</v>
      </c>
    </row>
    <row r="185" spans="1:10" s="121" customFormat="1" ht="18" hidden="1" customHeight="1">
      <c r="A185" s="112"/>
      <c r="B185" s="113" t="s">
        <v>799</v>
      </c>
      <c r="C185" s="116">
        <f t="shared" si="90"/>
        <v>300</v>
      </c>
      <c r="D185" s="116">
        <v>285</v>
      </c>
      <c r="E185" s="115"/>
      <c r="F185" s="116">
        <v>15</v>
      </c>
      <c r="G185" s="120"/>
      <c r="H185" s="120"/>
      <c r="I185" s="120"/>
      <c r="J185" s="120" t="s">
        <v>1774</v>
      </c>
    </row>
    <row r="186" spans="1:10" s="121" customFormat="1" ht="18" hidden="1" customHeight="1">
      <c r="A186" s="551" t="s">
        <v>701</v>
      </c>
      <c r="B186" s="118" t="s">
        <v>800</v>
      </c>
      <c r="C186" s="547">
        <f>SUM(C187:C190)</f>
        <v>1200</v>
      </c>
      <c r="D186" s="547">
        <v>1140</v>
      </c>
      <c r="E186" s="547"/>
      <c r="F186" s="547">
        <f t="shared" ref="F186" si="91">SUM(F187:F190)</f>
        <v>60</v>
      </c>
      <c r="G186" s="131"/>
      <c r="H186" s="131"/>
      <c r="I186" s="131"/>
      <c r="J186" s="120" t="s">
        <v>1774</v>
      </c>
    </row>
    <row r="187" spans="1:10" s="121" customFormat="1" ht="18" hidden="1" customHeight="1">
      <c r="A187" s="112"/>
      <c r="B187" s="113" t="s">
        <v>801</v>
      </c>
      <c r="C187" s="116">
        <f t="shared" ref="C187:C190" si="92">75*4</f>
        <v>300</v>
      </c>
      <c r="D187" s="116">
        <v>285</v>
      </c>
      <c r="E187" s="115"/>
      <c r="F187" s="116">
        <v>15</v>
      </c>
      <c r="G187" s="131"/>
      <c r="H187" s="131"/>
      <c r="I187" s="131"/>
      <c r="J187" s="120" t="s">
        <v>1774</v>
      </c>
    </row>
    <row r="188" spans="1:10" s="121" customFormat="1" ht="18" hidden="1" customHeight="1">
      <c r="A188" s="112"/>
      <c r="B188" s="113" t="s">
        <v>802</v>
      </c>
      <c r="C188" s="116">
        <f t="shared" si="92"/>
        <v>300</v>
      </c>
      <c r="D188" s="116">
        <v>285</v>
      </c>
      <c r="E188" s="115"/>
      <c r="F188" s="116">
        <v>15</v>
      </c>
      <c r="G188" s="131"/>
      <c r="H188" s="131"/>
      <c r="I188" s="131"/>
      <c r="J188" s="120" t="s">
        <v>1774</v>
      </c>
    </row>
    <row r="189" spans="1:10" s="121" customFormat="1" ht="18" hidden="1" customHeight="1">
      <c r="A189" s="112"/>
      <c r="B189" s="113" t="s">
        <v>803</v>
      </c>
      <c r="C189" s="116">
        <f t="shared" si="92"/>
        <v>300</v>
      </c>
      <c r="D189" s="116">
        <v>285</v>
      </c>
      <c r="E189" s="115"/>
      <c r="F189" s="116">
        <v>15</v>
      </c>
      <c r="G189" s="131"/>
      <c r="H189" s="131"/>
      <c r="I189" s="131"/>
      <c r="J189" s="120" t="s">
        <v>1774</v>
      </c>
    </row>
    <row r="190" spans="1:10" s="121" customFormat="1" ht="18" hidden="1" customHeight="1">
      <c r="A190" s="112"/>
      <c r="B190" s="113" t="s">
        <v>2246</v>
      </c>
      <c r="C190" s="116">
        <f t="shared" si="92"/>
        <v>300</v>
      </c>
      <c r="D190" s="116">
        <v>285</v>
      </c>
      <c r="E190" s="115"/>
      <c r="F190" s="116">
        <v>15</v>
      </c>
      <c r="G190" s="120"/>
      <c r="H190" s="120"/>
      <c r="I190" s="120"/>
      <c r="J190" s="120" t="s">
        <v>1774</v>
      </c>
    </row>
    <row r="191" spans="1:10" s="121" customFormat="1" ht="18" hidden="1" customHeight="1">
      <c r="A191" s="551" t="s">
        <v>701</v>
      </c>
      <c r="B191" s="118" t="s">
        <v>804</v>
      </c>
      <c r="C191" s="547">
        <f>SUM(C192:C195)</f>
        <v>1200</v>
      </c>
      <c r="D191" s="547">
        <v>1140</v>
      </c>
      <c r="E191" s="547"/>
      <c r="F191" s="547">
        <f t="shared" ref="F191" si="93">SUM(F192:F195)</f>
        <v>60</v>
      </c>
      <c r="G191" s="131"/>
      <c r="H191" s="131"/>
      <c r="I191" s="131"/>
      <c r="J191" s="120" t="s">
        <v>1774</v>
      </c>
    </row>
    <row r="192" spans="1:10" s="121" customFormat="1" ht="18" hidden="1" customHeight="1">
      <c r="A192" s="112"/>
      <c r="B192" s="113" t="s">
        <v>805</v>
      </c>
      <c r="C192" s="116">
        <f t="shared" ref="C192:C195" si="94">75*4</f>
        <v>300</v>
      </c>
      <c r="D192" s="116">
        <v>285</v>
      </c>
      <c r="E192" s="115"/>
      <c r="F192" s="116">
        <v>15</v>
      </c>
      <c r="G192" s="131"/>
      <c r="H192" s="131"/>
      <c r="I192" s="131"/>
      <c r="J192" s="120" t="s">
        <v>1774</v>
      </c>
    </row>
    <row r="193" spans="1:10" s="121" customFormat="1" ht="18" hidden="1" customHeight="1">
      <c r="A193" s="112"/>
      <c r="B193" s="113" t="s">
        <v>806</v>
      </c>
      <c r="C193" s="116">
        <f t="shared" si="94"/>
        <v>300</v>
      </c>
      <c r="D193" s="116">
        <v>285</v>
      </c>
      <c r="E193" s="115"/>
      <c r="F193" s="116">
        <v>15</v>
      </c>
      <c r="G193" s="131"/>
      <c r="H193" s="131"/>
      <c r="I193" s="131"/>
      <c r="J193" s="120" t="s">
        <v>1774</v>
      </c>
    </row>
    <row r="194" spans="1:10" s="121" customFormat="1" ht="18" hidden="1" customHeight="1">
      <c r="A194" s="112"/>
      <c r="B194" s="113" t="s">
        <v>807</v>
      </c>
      <c r="C194" s="116">
        <f t="shared" si="94"/>
        <v>300</v>
      </c>
      <c r="D194" s="116">
        <v>285</v>
      </c>
      <c r="E194" s="115"/>
      <c r="F194" s="116">
        <v>15</v>
      </c>
      <c r="G194" s="131"/>
      <c r="H194" s="131"/>
      <c r="I194" s="131"/>
      <c r="J194" s="120" t="s">
        <v>1774</v>
      </c>
    </row>
    <row r="195" spans="1:10" s="121" customFormat="1" ht="18" hidden="1" customHeight="1">
      <c r="A195" s="112"/>
      <c r="B195" s="113" t="s">
        <v>808</v>
      </c>
      <c r="C195" s="116">
        <f t="shared" si="94"/>
        <v>300</v>
      </c>
      <c r="D195" s="116">
        <v>285</v>
      </c>
      <c r="E195" s="115"/>
      <c r="F195" s="116">
        <v>15</v>
      </c>
      <c r="G195" s="120"/>
      <c r="H195" s="120"/>
      <c r="I195" s="120"/>
      <c r="J195" s="120" t="s">
        <v>1774</v>
      </c>
    </row>
    <row r="196" spans="1:10" s="121" customFormat="1" ht="18" hidden="1" customHeight="1">
      <c r="A196" s="551" t="s">
        <v>701</v>
      </c>
      <c r="B196" s="118" t="s">
        <v>809</v>
      </c>
      <c r="C196" s="547">
        <f>SUM(C197:C200)</f>
        <v>1200</v>
      </c>
      <c r="D196" s="547">
        <v>1140</v>
      </c>
      <c r="E196" s="547"/>
      <c r="F196" s="547">
        <f t="shared" ref="F196" si="95">SUM(F197:F200)</f>
        <v>60</v>
      </c>
      <c r="G196" s="131"/>
      <c r="H196" s="131"/>
      <c r="I196" s="131"/>
      <c r="J196" s="120" t="s">
        <v>1774</v>
      </c>
    </row>
    <row r="197" spans="1:10" s="121" customFormat="1" ht="18" hidden="1" customHeight="1">
      <c r="A197" s="112"/>
      <c r="B197" s="113" t="s">
        <v>810</v>
      </c>
      <c r="C197" s="116">
        <f t="shared" ref="C197:C200" si="96">75*4</f>
        <v>300</v>
      </c>
      <c r="D197" s="116">
        <v>285</v>
      </c>
      <c r="E197" s="115"/>
      <c r="F197" s="116">
        <v>15</v>
      </c>
      <c r="G197" s="131"/>
      <c r="H197" s="131"/>
      <c r="I197" s="131"/>
      <c r="J197" s="120" t="s">
        <v>1774</v>
      </c>
    </row>
    <row r="198" spans="1:10" s="121" customFormat="1" ht="18" hidden="1" customHeight="1">
      <c r="A198" s="112"/>
      <c r="B198" s="113" t="s">
        <v>811</v>
      </c>
      <c r="C198" s="116">
        <f t="shared" si="96"/>
        <v>300</v>
      </c>
      <c r="D198" s="116">
        <v>285</v>
      </c>
      <c r="E198" s="115"/>
      <c r="F198" s="116">
        <v>15</v>
      </c>
      <c r="G198" s="131"/>
      <c r="H198" s="131"/>
      <c r="I198" s="131"/>
      <c r="J198" s="120" t="s">
        <v>1774</v>
      </c>
    </row>
    <row r="199" spans="1:10" s="121" customFormat="1" ht="18" hidden="1" customHeight="1">
      <c r="A199" s="112"/>
      <c r="B199" s="113" t="s">
        <v>784</v>
      </c>
      <c r="C199" s="116">
        <f t="shared" si="96"/>
        <v>300</v>
      </c>
      <c r="D199" s="116">
        <v>285</v>
      </c>
      <c r="E199" s="115"/>
      <c r="F199" s="116">
        <v>15</v>
      </c>
      <c r="G199" s="131"/>
      <c r="H199" s="131"/>
      <c r="I199" s="131"/>
      <c r="J199" s="120" t="s">
        <v>1774</v>
      </c>
    </row>
    <row r="200" spans="1:10" s="121" customFormat="1" hidden="1">
      <c r="A200" s="112"/>
      <c r="B200" s="113" t="s">
        <v>812</v>
      </c>
      <c r="C200" s="116">
        <f t="shared" si="96"/>
        <v>300</v>
      </c>
      <c r="D200" s="116">
        <v>285</v>
      </c>
      <c r="E200" s="115"/>
      <c r="F200" s="116">
        <v>15</v>
      </c>
      <c r="G200" s="131"/>
      <c r="H200" s="131"/>
      <c r="I200" s="131"/>
      <c r="J200" s="120" t="s">
        <v>1774</v>
      </c>
    </row>
    <row r="201" spans="1:10" s="121" customFormat="1" ht="18" hidden="1" customHeight="1">
      <c r="A201" s="551" t="s">
        <v>701</v>
      </c>
      <c r="B201" s="118" t="s">
        <v>813</v>
      </c>
      <c r="C201" s="547">
        <f>SUM(C202:C205)</f>
        <v>1200</v>
      </c>
      <c r="D201" s="547">
        <v>1140</v>
      </c>
      <c r="E201" s="547"/>
      <c r="F201" s="547">
        <f t="shared" ref="F201" si="97">SUM(F202:F205)</f>
        <v>60</v>
      </c>
      <c r="G201" s="120"/>
      <c r="H201" s="120"/>
      <c r="I201" s="120"/>
      <c r="J201" s="120" t="s">
        <v>1774</v>
      </c>
    </row>
    <row r="202" spans="1:10" s="121" customFormat="1" ht="18" hidden="1" customHeight="1">
      <c r="A202" s="112"/>
      <c r="B202" s="113" t="s">
        <v>814</v>
      </c>
      <c r="C202" s="116">
        <f t="shared" ref="C202:C205" si="98">75*4</f>
        <v>300</v>
      </c>
      <c r="D202" s="116">
        <v>285</v>
      </c>
      <c r="E202" s="115"/>
      <c r="F202" s="116">
        <v>15</v>
      </c>
      <c r="G202" s="131"/>
      <c r="H202" s="131"/>
      <c r="I202" s="131"/>
      <c r="J202" s="120" t="s">
        <v>1774</v>
      </c>
    </row>
    <row r="203" spans="1:10" s="121" customFormat="1" ht="18" hidden="1" customHeight="1">
      <c r="A203" s="112"/>
      <c r="B203" s="113" t="s">
        <v>815</v>
      </c>
      <c r="C203" s="116">
        <f t="shared" si="98"/>
        <v>300</v>
      </c>
      <c r="D203" s="116">
        <v>285</v>
      </c>
      <c r="E203" s="115"/>
      <c r="F203" s="116">
        <v>15</v>
      </c>
      <c r="G203" s="131"/>
      <c r="H203" s="131"/>
      <c r="I203" s="131"/>
      <c r="J203" s="120" t="s">
        <v>1774</v>
      </c>
    </row>
    <row r="204" spans="1:10" s="121" customFormat="1" ht="18" hidden="1" customHeight="1">
      <c r="A204" s="112"/>
      <c r="B204" s="113" t="s">
        <v>816</v>
      </c>
      <c r="C204" s="116">
        <f t="shared" si="98"/>
        <v>300</v>
      </c>
      <c r="D204" s="116">
        <v>285</v>
      </c>
      <c r="E204" s="115"/>
      <c r="F204" s="116">
        <v>15</v>
      </c>
      <c r="G204" s="131"/>
      <c r="H204" s="131"/>
      <c r="I204" s="131"/>
      <c r="J204" s="120" t="s">
        <v>1774</v>
      </c>
    </row>
    <row r="205" spans="1:10" s="121" customFormat="1" ht="18" hidden="1" customHeight="1">
      <c r="A205" s="112"/>
      <c r="B205" s="113" t="s">
        <v>817</v>
      </c>
      <c r="C205" s="116">
        <f t="shared" si="98"/>
        <v>300</v>
      </c>
      <c r="D205" s="116">
        <v>285</v>
      </c>
      <c r="E205" s="115"/>
      <c r="F205" s="116">
        <v>15</v>
      </c>
      <c r="G205" s="131"/>
      <c r="H205" s="131"/>
      <c r="I205" s="131"/>
      <c r="J205" s="120" t="s">
        <v>1774</v>
      </c>
    </row>
    <row r="206" spans="1:10" s="121" customFormat="1" hidden="1">
      <c r="A206" s="551" t="s">
        <v>701</v>
      </c>
      <c r="B206" s="118" t="s">
        <v>818</v>
      </c>
      <c r="C206" s="547">
        <f>SUM(C207:C210)</f>
        <v>1200</v>
      </c>
      <c r="D206" s="547">
        <v>1140</v>
      </c>
      <c r="E206" s="547"/>
      <c r="F206" s="547">
        <f t="shared" ref="F206" si="99">SUM(F207:F210)</f>
        <v>60</v>
      </c>
      <c r="G206" s="131"/>
      <c r="H206" s="131"/>
      <c r="I206" s="131"/>
      <c r="J206" s="120" t="s">
        <v>1774</v>
      </c>
    </row>
    <row r="207" spans="1:10" s="121" customFormat="1" ht="18" hidden="1" customHeight="1">
      <c r="A207" s="112"/>
      <c r="B207" s="113" t="s">
        <v>774</v>
      </c>
      <c r="C207" s="116">
        <f t="shared" ref="C207:C210" si="100">75*4</f>
        <v>300</v>
      </c>
      <c r="D207" s="116">
        <v>285</v>
      </c>
      <c r="E207" s="115"/>
      <c r="F207" s="116">
        <v>15</v>
      </c>
      <c r="G207" s="120"/>
      <c r="H207" s="120"/>
      <c r="I207" s="120"/>
      <c r="J207" s="120" t="s">
        <v>1774</v>
      </c>
    </row>
    <row r="208" spans="1:10" s="121" customFormat="1" ht="18" hidden="1" customHeight="1">
      <c r="A208" s="112"/>
      <c r="B208" s="113" t="s">
        <v>819</v>
      </c>
      <c r="C208" s="116">
        <f t="shared" si="100"/>
        <v>300</v>
      </c>
      <c r="D208" s="116">
        <v>285</v>
      </c>
      <c r="E208" s="115"/>
      <c r="F208" s="116">
        <v>15</v>
      </c>
      <c r="G208" s="131"/>
      <c r="H208" s="131"/>
      <c r="I208" s="131"/>
      <c r="J208" s="120" t="s">
        <v>1774</v>
      </c>
    </row>
    <row r="209" spans="1:11" s="121" customFormat="1" ht="18" hidden="1" customHeight="1">
      <c r="A209" s="112"/>
      <c r="B209" s="113" t="s">
        <v>820</v>
      </c>
      <c r="C209" s="116">
        <f t="shared" si="100"/>
        <v>300</v>
      </c>
      <c r="D209" s="116">
        <v>285</v>
      </c>
      <c r="E209" s="115"/>
      <c r="F209" s="116">
        <v>15</v>
      </c>
      <c r="G209" s="131"/>
      <c r="H209" s="131"/>
      <c r="I209" s="131"/>
      <c r="J209" s="120" t="s">
        <v>1774</v>
      </c>
    </row>
    <row r="210" spans="1:11" s="121" customFormat="1" ht="18" hidden="1" customHeight="1">
      <c r="A210" s="112"/>
      <c r="B210" s="113" t="s">
        <v>777</v>
      </c>
      <c r="C210" s="116">
        <f t="shared" si="100"/>
        <v>300</v>
      </c>
      <c r="D210" s="116">
        <v>285</v>
      </c>
      <c r="E210" s="115"/>
      <c r="F210" s="116">
        <v>15</v>
      </c>
      <c r="G210" s="131"/>
      <c r="H210" s="131"/>
      <c r="I210" s="131"/>
      <c r="J210" s="120" t="s">
        <v>1774</v>
      </c>
    </row>
    <row r="211" spans="1:11" s="121" customFormat="1" ht="18" hidden="1" customHeight="1">
      <c r="A211" s="551" t="s">
        <v>701</v>
      </c>
      <c r="B211" s="118" t="s">
        <v>821</v>
      </c>
      <c r="C211" s="547">
        <f>SUM(C212:C215)</f>
        <v>1200</v>
      </c>
      <c r="D211" s="547">
        <v>1140</v>
      </c>
      <c r="E211" s="547"/>
      <c r="F211" s="547">
        <f t="shared" ref="F211" si="101">SUM(F212:F215)</f>
        <v>60</v>
      </c>
      <c r="G211" s="120"/>
      <c r="H211" s="120"/>
      <c r="I211" s="120"/>
      <c r="J211" s="120" t="s">
        <v>1774</v>
      </c>
    </row>
    <row r="212" spans="1:11" s="121" customFormat="1" ht="18" hidden="1" customHeight="1">
      <c r="A212" s="112"/>
      <c r="B212" s="113" t="s">
        <v>822</v>
      </c>
      <c r="C212" s="116">
        <f t="shared" ref="C212:C215" si="102">75*4</f>
        <v>300</v>
      </c>
      <c r="D212" s="116">
        <v>285</v>
      </c>
      <c r="E212" s="115"/>
      <c r="F212" s="116">
        <v>15</v>
      </c>
      <c r="G212" s="131"/>
      <c r="H212" s="131"/>
      <c r="I212" s="131"/>
      <c r="J212" s="120" t="s">
        <v>1774</v>
      </c>
    </row>
    <row r="213" spans="1:11" s="121" customFormat="1" ht="18" hidden="1" customHeight="1">
      <c r="A213" s="112"/>
      <c r="B213" s="113" t="s">
        <v>823</v>
      </c>
      <c r="C213" s="116">
        <f t="shared" si="102"/>
        <v>300</v>
      </c>
      <c r="D213" s="116">
        <v>285</v>
      </c>
      <c r="E213" s="115"/>
      <c r="F213" s="116">
        <v>15</v>
      </c>
      <c r="G213" s="131"/>
      <c r="H213" s="131"/>
      <c r="I213" s="131"/>
      <c r="J213" s="120" t="s">
        <v>1774</v>
      </c>
    </row>
    <row r="214" spans="1:11" s="35" customFormat="1" ht="18" hidden="1" customHeight="1">
      <c r="A214" s="112"/>
      <c r="B214" s="113" t="s">
        <v>824</v>
      </c>
      <c r="C214" s="116">
        <f t="shared" si="102"/>
        <v>300</v>
      </c>
      <c r="D214" s="116">
        <v>285</v>
      </c>
      <c r="E214" s="115"/>
      <c r="F214" s="116">
        <v>15</v>
      </c>
      <c r="G214" s="131"/>
      <c r="H214" s="131"/>
      <c r="I214" s="131"/>
      <c r="J214" s="120" t="s">
        <v>1774</v>
      </c>
    </row>
    <row r="215" spans="1:11" s="35" customFormat="1" ht="18" hidden="1" customHeight="1">
      <c r="A215" s="112"/>
      <c r="B215" s="113" t="s">
        <v>825</v>
      </c>
      <c r="C215" s="116">
        <f t="shared" si="102"/>
        <v>300</v>
      </c>
      <c r="D215" s="116">
        <v>285</v>
      </c>
      <c r="E215" s="115"/>
      <c r="F215" s="116">
        <v>15</v>
      </c>
      <c r="G215" s="120"/>
      <c r="H215" s="120"/>
      <c r="I215" s="120"/>
      <c r="J215" s="120" t="s">
        <v>1774</v>
      </c>
    </row>
    <row r="216" spans="1:11" s="121" customFormat="1" ht="18" customHeight="1">
      <c r="A216" s="26" t="s">
        <v>30</v>
      </c>
      <c r="B216" s="55" t="s">
        <v>23</v>
      </c>
      <c r="C216" s="21">
        <f>C217</f>
        <v>14799.75</v>
      </c>
      <c r="D216" s="21">
        <f>D217</f>
        <v>14095</v>
      </c>
      <c r="E216" s="135"/>
      <c r="F216" s="24">
        <f>F217</f>
        <v>704.75</v>
      </c>
      <c r="G216" s="131"/>
      <c r="H216" s="131"/>
      <c r="I216" s="131"/>
      <c r="J216" s="120"/>
    </row>
    <row r="217" spans="1:11" s="121" customFormat="1" ht="18" customHeight="1">
      <c r="A217" s="112" t="s">
        <v>10</v>
      </c>
      <c r="B217" s="12" t="s">
        <v>759</v>
      </c>
      <c r="C217" s="20">
        <f>SUM(C218:C221)</f>
        <v>14799.75</v>
      </c>
      <c r="D217" s="20">
        <f t="shared" ref="D217:F217" si="103">SUM(D218:D221)</f>
        <v>14095</v>
      </c>
      <c r="E217" s="25">
        <f t="shared" si="103"/>
        <v>0</v>
      </c>
      <c r="F217" s="25">
        <f t="shared" si="103"/>
        <v>704.75</v>
      </c>
      <c r="G217" s="131"/>
      <c r="H217" s="131"/>
      <c r="I217" s="131"/>
      <c r="J217" s="120"/>
    </row>
    <row r="218" spans="1:11" s="121" customFormat="1" ht="26" hidden="1">
      <c r="A218" s="482"/>
      <c r="B218" s="113" t="s">
        <v>2247</v>
      </c>
      <c r="C218" s="137">
        <f>+D218+F218</f>
        <v>3249.75</v>
      </c>
      <c r="D218" s="116">
        <v>3095</v>
      </c>
      <c r="E218" s="136"/>
      <c r="F218" s="116">
        <f>D218*5%</f>
        <v>154.75</v>
      </c>
      <c r="G218" s="131"/>
      <c r="H218" s="131"/>
      <c r="I218" s="131"/>
      <c r="J218" s="120" t="s">
        <v>1774</v>
      </c>
    </row>
    <row r="219" spans="1:11" s="111" customFormat="1" ht="26" hidden="1">
      <c r="A219" s="122"/>
      <c r="B219" s="113" t="s">
        <v>2248</v>
      </c>
      <c r="C219" s="137">
        <f t="shared" ref="C219:C221" si="104">+D219+F219</f>
        <v>3150</v>
      </c>
      <c r="D219" s="116">
        <v>3000</v>
      </c>
      <c r="E219" s="135"/>
      <c r="F219" s="116">
        <f t="shared" ref="F219:F221" si="105">D219*5%</f>
        <v>150</v>
      </c>
      <c r="G219" s="114"/>
      <c r="H219" s="114"/>
      <c r="I219" s="114"/>
      <c r="J219" s="120" t="s">
        <v>1774</v>
      </c>
      <c r="K219" s="110"/>
    </row>
    <row r="220" spans="1:11" s="8" customFormat="1" ht="18" hidden="1" customHeight="1">
      <c r="A220" s="122"/>
      <c r="B220" s="113" t="s">
        <v>2249</v>
      </c>
      <c r="C220" s="137">
        <f t="shared" si="104"/>
        <v>4200</v>
      </c>
      <c r="D220" s="116">
        <v>4000</v>
      </c>
      <c r="E220" s="116"/>
      <c r="F220" s="116">
        <f t="shared" si="105"/>
        <v>200</v>
      </c>
      <c r="G220" s="114"/>
      <c r="H220" s="114"/>
      <c r="I220" s="114"/>
      <c r="J220" s="114" t="s">
        <v>1774</v>
      </c>
    </row>
    <row r="221" spans="1:11" s="111" customFormat="1" ht="18" hidden="1" customHeight="1">
      <c r="A221" s="122"/>
      <c r="B221" s="113" t="s">
        <v>2250</v>
      </c>
      <c r="C221" s="137">
        <f t="shared" si="104"/>
        <v>4200</v>
      </c>
      <c r="D221" s="116">
        <v>4000</v>
      </c>
      <c r="E221" s="116"/>
      <c r="F221" s="116">
        <f t="shared" si="105"/>
        <v>200</v>
      </c>
      <c r="G221" s="114"/>
      <c r="H221" s="114"/>
      <c r="I221" s="114"/>
      <c r="J221" s="114" t="s">
        <v>1774</v>
      </c>
    </row>
    <row r="222" spans="1:11" s="35" customFormat="1" ht="18" customHeight="1">
      <c r="A222" s="108" t="s">
        <v>31</v>
      </c>
      <c r="B222" s="992" t="s">
        <v>21</v>
      </c>
      <c r="C222" s="420">
        <f>+C223+C224</f>
        <v>7070</v>
      </c>
      <c r="D222" s="420">
        <f t="shared" ref="D222:F222" si="106">+D223+D224</f>
        <v>6732</v>
      </c>
      <c r="E222" s="109">
        <f t="shared" si="106"/>
        <v>0</v>
      </c>
      <c r="F222" s="109">
        <f t="shared" si="106"/>
        <v>338</v>
      </c>
      <c r="G222" s="134"/>
      <c r="H222" s="134"/>
      <c r="I222" s="134"/>
      <c r="J222" s="126"/>
    </row>
    <row r="223" spans="1:11" s="111" customFormat="1" ht="18" hidden="1" customHeight="1">
      <c r="A223" s="112"/>
      <c r="B223" s="113" t="s">
        <v>760</v>
      </c>
      <c r="C223" s="552"/>
      <c r="D223" s="552"/>
      <c r="E223" s="138"/>
      <c r="F223" s="552"/>
      <c r="G223" s="114"/>
      <c r="H223" s="114"/>
      <c r="I223" s="114"/>
      <c r="J223" s="120" t="s">
        <v>1774</v>
      </c>
    </row>
    <row r="224" spans="1:11" s="111" customFormat="1" ht="18" customHeight="1">
      <c r="A224" s="112" t="s">
        <v>10</v>
      </c>
      <c r="B224" s="12" t="s">
        <v>759</v>
      </c>
      <c r="C224" s="155">
        <f>+C225+C227+C229+C231+C233+C235+C237</f>
        <v>7070</v>
      </c>
      <c r="D224" s="155">
        <f t="shared" ref="D224:F224" si="107">+D225+D227+D229+D231+D233+D235+D237</f>
        <v>6732</v>
      </c>
      <c r="E224" s="114">
        <f t="shared" si="107"/>
        <v>0</v>
      </c>
      <c r="F224" s="114">
        <f t="shared" si="107"/>
        <v>338</v>
      </c>
      <c r="G224" s="129"/>
      <c r="H224" s="129"/>
      <c r="I224" s="129"/>
      <c r="J224" s="120"/>
      <c r="K224" s="110"/>
    </row>
    <row r="225" spans="1:11" s="111" customFormat="1" ht="18" hidden="1" customHeight="1">
      <c r="A225" s="122" t="s">
        <v>701</v>
      </c>
      <c r="B225" s="113" t="s">
        <v>192</v>
      </c>
      <c r="C225" s="552">
        <f>+C226</f>
        <v>2625</v>
      </c>
      <c r="D225" s="552">
        <f t="shared" ref="D225:F225" si="108">+D226</f>
        <v>2500</v>
      </c>
      <c r="E225" s="552">
        <f t="shared" si="108"/>
        <v>0</v>
      </c>
      <c r="F225" s="552">
        <f t="shared" si="108"/>
        <v>125</v>
      </c>
      <c r="G225" s="129"/>
      <c r="H225" s="129"/>
      <c r="I225" s="129"/>
      <c r="J225" s="120" t="s">
        <v>1774</v>
      </c>
      <c r="K225" s="110"/>
    </row>
    <row r="226" spans="1:11" s="111" customFormat="1" ht="18" hidden="1" customHeight="1">
      <c r="A226" s="18"/>
      <c r="B226" s="19" t="s">
        <v>2251</v>
      </c>
      <c r="C226" s="552">
        <f>+D226+F226</f>
        <v>2625</v>
      </c>
      <c r="D226" s="115">
        <v>2500</v>
      </c>
      <c r="E226" s="116"/>
      <c r="F226" s="115">
        <v>125</v>
      </c>
      <c r="G226" s="129"/>
      <c r="H226" s="129"/>
      <c r="I226" s="129"/>
      <c r="J226" s="120" t="s">
        <v>1774</v>
      </c>
      <c r="K226" s="110"/>
    </row>
    <row r="227" spans="1:11" s="111" customFormat="1" ht="18" hidden="1" customHeight="1">
      <c r="A227" s="18" t="s">
        <v>701</v>
      </c>
      <c r="B227" s="19" t="s">
        <v>186</v>
      </c>
      <c r="C227" s="552">
        <f>+C228</f>
        <v>374</v>
      </c>
      <c r="D227" s="552">
        <f t="shared" ref="D227:F227" si="109">+D228</f>
        <v>356</v>
      </c>
      <c r="E227" s="552">
        <f t="shared" si="109"/>
        <v>0</v>
      </c>
      <c r="F227" s="552">
        <f t="shared" si="109"/>
        <v>18</v>
      </c>
      <c r="G227" s="129"/>
      <c r="H227" s="129"/>
      <c r="I227" s="129"/>
      <c r="J227" s="120" t="s">
        <v>1774</v>
      </c>
      <c r="K227" s="110"/>
    </row>
    <row r="228" spans="1:11" s="111" customFormat="1" ht="18" hidden="1" customHeight="1">
      <c r="A228" s="18"/>
      <c r="B228" s="19" t="s">
        <v>2251</v>
      </c>
      <c r="C228" s="552">
        <f t="shared" ref="C228:C238" si="110">+D228+F228</f>
        <v>374</v>
      </c>
      <c r="D228" s="552">
        <v>356</v>
      </c>
      <c r="E228" s="552"/>
      <c r="F228" s="552">
        <v>18</v>
      </c>
      <c r="G228" s="134"/>
      <c r="H228" s="134"/>
      <c r="I228" s="134"/>
      <c r="J228" s="120" t="s">
        <v>1774</v>
      </c>
      <c r="K228" s="110"/>
    </row>
    <row r="229" spans="1:11" s="111" customFormat="1" ht="18" hidden="1" customHeight="1">
      <c r="A229" s="18" t="s">
        <v>701</v>
      </c>
      <c r="B229" s="19" t="s">
        <v>207</v>
      </c>
      <c r="C229" s="552">
        <f>+C230</f>
        <v>749</v>
      </c>
      <c r="D229" s="552">
        <f t="shared" ref="D229:F229" si="111">+D230</f>
        <v>713</v>
      </c>
      <c r="E229" s="552">
        <f t="shared" si="111"/>
        <v>0</v>
      </c>
      <c r="F229" s="552">
        <f t="shared" si="111"/>
        <v>36</v>
      </c>
      <c r="G229" s="114"/>
      <c r="H229" s="114"/>
      <c r="I229" s="114"/>
      <c r="J229" s="120" t="s">
        <v>1774</v>
      </c>
      <c r="K229" s="110"/>
    </row>
    <row r="230" spans="1:11" s="111" customFormat="1" ht="18" hidden="1" customHeight="1">
      <c r="A230" s="18"/>
      <c r="B230" s="19" t="s">
        <v>2251</v>
      </c>
      <c r="C230" s="552">
        <f t="shared" si="110"/>
        <v>749</v>
      </c>
      <c r="D230" s="552">
        <v>713</v>
      </c>
      <c r="E230" s="552"/>
      <c r="F230" s="552">
        <v>36</v>
      </c>
      <c r="G230" s="114"/>
      <c r="H230" s="114"/>
      <c r="I230" s="114"/>
      <c r="J230" s="120" t="s">
        <v>1774</v>
      </c>
      <c r="K230" s="110"/>
    </row>
    <row r="231" spans="1:11" s="111" customFormat="1" ht="18" hidden="1" customHeight="1">
      <c r="A231" s="18" t="s">
        <v>701</v>
      </c>
      <c r="B231" s="19" t="s">
        <v>183</v>
      </c>
      <c r="C231" s="552">
        <f>+C232</f>
        <v>374</v>
      </c>
      <c r="D231" s="552">
        <f t="shared" ref="D231:F233" si="112">+D232</f>
        <v>356</v>
      </c>
      <c r="E231" s="552">
        <f t="shared" si="112"/>
        <v>0</v>
      </c>
      <c r="F231" s="552">
        <f t="shared" si="112"/>
        <v>18</v>
      </c>
      <c r="G231" s="114"/>
      <c r="H231" s="114"/>
      <c r="I231" s="114"/>
      <c r="J231" s="120" t="s">
        <v>1774</v>
      </c>
      <c r="K231" s="110"/>
    </row>
    <row r="232" spans="1:11" s="111" customFormat="1" ht="18" hidden="1" customHeight="1">
      <c r="A232" s="18"/>
      <c r="B232" s="19" t="s">
        <v>2252</v>
      </c>
      <c r="C232" s="552">
        <f t="shared" si="110"/>
        <v>374</v>
      </c>
      <c r="D232" s="115">
        <v>356</v>
      </c>
      <c r="E232" s="116"/>
      <c r="F232" s="115">
        <v>18</v>
      </c>
      <c r="G232" s="114"/>
      <c r="H232" s="114"/>
      <c r="I232" s="114"/>
      <c r="J232" s="120" t="s">
        <v>1774</v>
      </c>
      <c r="K232" s="110"/>
    </row>
    <row r="233" spans="1:11" s="111" customFormat="1" ht="18" hidden="1" customHeight="1">
      <c r="A233" s="18" t="s">
        <v>701</v>
      </c>
      <c r="B233" s="19" t="s">
        <v>175</v>
      </c>
      <c r="C233" s="552">
        <f>+C234</f>
        <v>374</v>
      </c>
      <c r="D233" s="552">
        <f t="shared" ref="D233:E233" si="113">+D234</f>
        <v>356</v>
      </c>
      <c r="E233" s="552">
        <f t="shared" si="113"/>
        <v>0</v>
      </c>
      <c r="F233" s="552">
        <f t="shared" si="112"/>
        <v>18</v>
      </c>
      <c r="G233" s="114"/>
      <c r="H233" s="114"/>
      <c r="I233" s="114"/>
      <c r="J233" s="120" t="s">
        <v>1774</v>
      </c>
      <c r="K233" s="110"/>
    </row>
    <row r="234" spans="1:11" s="111" customFormat="1" ht="18" hidden="1" customHeight="1">
      <c r="A234" s="18"/>
      <c r="B234" s="19" t="s">
        <v>2253</v>
      </c>
      <c r="C234" s="552">
        <f t="shared" si="110"/>
        <v>374</v>
      </c>
      <c r="D234" s="552">
        <v>356</v>
      </c>
      <c r="E234" s="552"/>
      <c r="F234" s="552">
        <v>18</v>
      </c>
      <c r="G234" s="134"/>
      <c r="H234" s="134"/>
      <c r="I234" s="134"/>
      <c r="J234" s="120" t="s">
        <v>1774</v>
      </c>
      <c r="K234" s="110"/>
    </row>
    <row r="235" spans="1:11" s="111" customFormat="1" ht="18" hidden="1" customHeight="1">
      <c r="A235" s="18" t="s">
        <v>701</v>
      </c>
      <c r="B235" s="19" t="s">
        <v>177</v>
      </c>
      <c r="C235" s="552">
        <f>+C236</f>
        <v>749</v>
      </c>
      <c r="D235" s="552">
        <f t="shared" ref="D235:F235" si="114">+D236</f>
        <v>713</v>
      </c>
      <c r="E235" s="552">
        <f t="shared" si="114"/>
        <v>0</v>
      </c>
      <c r="F235" s="552">
        <f t="shared" si="114"/>
        <v>36</v>
      </c>
      <c r="G235" s="114"/>
      <c r="H235" s="114"/>
      <c r="I235" s="114"/>
      <c r="J235" s="120" t="s">
        <v>1774</v>
      </c>
      <c r="K235" s="110"/>
    </row>
    <row r="236" spans="1:11" s="111" customFormat="1" ht="18" hidden="1" customHeight="1">
      <c r="A236" s="18"/>
      <c r="B236" s="19" t="s">
        <v>2254</v>
      </c>
      <c r="C236" s="552">
        <f t="shared" si="110"/>
        <v>749</v>
      </c>
      <c r="D236" s="552">
        <v>713</v>
      </c>
      <c r="E236" s="552"/>
      <c r="F236" s="552">
        <v>36</v>
      </c>
      <c r="G236" s="129"/>
      <c r="H236" s="129"/>
      <c r="I236" s="129"/>
      <c r="J236" s="120" t="s">
        <v>1774</v>
      </c>
      <c r="K236" s="110"/>
    </row>
    <row r="237" spans="1:11" s="8" customFormat="1" ht="18" hidden="1" customHeight="1">
      <c r="A237" s="18" t="s">
        <v>701</v>
      </c>
      <c r="B237" s="19" t="s">
        <v>176</v>
      </c>
      <c r="C237" s="552">
        <f>+C238</f>
        <v>1825</v>
      </c>
      <c r="D237" s="552">
        <f t="shared" ref="D237:F237" si="115">+D238</f>
        <v>1738</v>
      </c>
      <c r="E237" s="552">
        <f t="shared" si="115"/>
        <v>0</v>
      </c>
      <c r="F237" s="552">
        <f t="shared" si="115"/>
        <v>87</v>
      </c>
      <c r="G237" s="129"/>
      <c r="H237" s="129"/>
      <c r="I237" s="129"/>
      <c r="J237" s="120" t="s">
        <v>1774</v>
      </c>
      <c r="K237" s="30"/>
    </row>
    <row r="238" spans="1:11" s="8" customFormat="1" ht="18" hidden="1" customHeight="1">
      <c r="A238" s="18"/>
      <c r="B238" s="19" t="s">
        <v>2255</v>
      </c>
      <c r="C238" s="552">
        <f t="shared" si="110"/>
        <v>1825</v>
      </c>
      <c r="D238" s="115">
        <v>1738</v>
      </c>
      <c r="E238" s="116"/>
      <c r="F238" s="115">
        <v>87</v>
      </c>
      <c r="G238" s="129"/>
      <c r="H238" s="129"/>
      <c r="I238" s="129"/>
      <c r="J238" s="120" t="s">
        <v>1774</v>
      </c>
      <c r="K238" s="30"/>
    </row>
    <row r="239" spans="1:11" s="111" customFormat="1" ht="18" customHeight="1">
      <c r="A239" s="108" t="s">
        <v>80</v>
      </c>
      <c r="B239" s="992" t="s">
        <v>15</v>
      </c>
      <c r="C239" s="139">
        <f>+C240+C245</f>
        <v>49691</v>
      </c>
      <c r="D239" s="139">
        <f t="shared" ref="D239:F239" si="116">+D240+D245</f>
        <v>47325</v>
      </c>
      <c r="E239" s="139">
        <f t="shared" si="116"/>
        <v>0</v>
      </c>
      <c r="F239" s="139">
        <f t="shared" si="116"/>
        <v>2366</v>
      </c>
      <c r="G239" s="129"/>
      <c r="H239" s="129"/>
      <c r="I239" s="129"/>
      <c r="J239" s="120"/>
      <c r="K239" s="110"/>
    </row>
    <row r="240" spans="1:11" s="111" customFormat="1" ht="18" customHeight="1">
      <c r="A240" s="112" t="s">
        <v>10</v>
      </c>
      <c r="B240" s="12" t="s">
        <v>759</v>
      </c>
      <c r="C240" s="16">
        <f>SUM(C241:C244)</f>
        <v>4200</v>
      </c>
      <c r="D240" s="16">
        <f t="shared" ref="D240:F240" si="117">SUM(D241:D244)</f>
        <v>4000</v>
      </c>
      <c r="E240" s="553">
        <f t="shared" si="117"/>
        <v>0</v>
      </c>
      <c r="F240" s="553">
        <f t="shared" si="117"/>
        <v>200</v>
      </c>
      <c r="G240" s="134"/>
      <c r="H240" s="134"/>
      <c r="I240" s="134"/>
      <c r="J240" s="120"/>
      <c r="K240" s="110"/>
    </row>
    <row r="241" spans="1:11" s="111" customFormat="1" ht="18" hidden="1" customHeight="1">
      <c r="A241" s="124"/>
      <c r="B241" s="31" t="s">
        <v>2256</v>
      </c>
      <c r="C241" s="553">
        <f>+D241+F241</f>
        <v>1050</v>
      </c>
      <c r="D241" s="115">
        <v>1000</v>
      </c>
      <c r="E241" s="554"/>
      <c r="F241" s="550">
        <v>50</v>
      </c>
      <c r="G241" s="114"/>
      <c r="H241" s="114"/>
      <c r="I241" s="114"/>
      <c r="J241" s="120" t="s">
        <v>1774</v>
      </c>
      <c r="K241" s="110"/>
    </row>
    <row r="242" spans="1:11" s="111" customFormat="1" ht="18" hidden="1" customHeight="1">
      <c r="A242" s="124"/>
      <c r="B242" s="31" t="s">
        <v>2257</v>
      </c>
      <c r="C242" s="553">
        <f t="shared" ref="C242:C244" si="118">+D242+F242</f>
        <v>1050</v>
      </c>
      <c r="D242" s="115">
        <v>1000</v>
      </c>
      <c r="E242" s="554"/>
      <c r="F242" s="550">
        <v>50</v>
      </c>
      <c r="G242" s="114"/>
      <c r="H242" s="114"/>
      <c r="I242" s="114"/>
      <c r="J242" s="120" t="s">
        <v>1774</v>
      </c>
      <c r="K242" s="110"/>
    </row>
    <row r="243" spans="1:11" s="8" customFormat="1" ht="18" hidden="1" customHeight="1">
      <c r="A243" s="124"/>
      <c r="B243" s="31" t="s">
        <v>2258</v>
      </c>
      <c r="C243" s="553">
        <f t="shared" si="118"/>
        <v>1050</v>
      </c>
      <c r="D243" s="115">
        <v>1000</v>
      </c>
      <c r="E243" s="554"/>
      <c r="F243" s="550">
        <v>50</v>
      </c>
      <c r="G243" s="114"/>
      <c r="H243" s="114"/>
      <c r="I243" s="114"/>
      <c r="J243" s="120" t="s">
        <v>1774</v>
      </c>
      <c r="K243" s="30"/>
    </row>
    <row r="244" spans="1:11" s="111" customFormat="1" ht="18" hidden="1" customHeight="1">
      <c r="A244" s="124"/>
      <c r="B244" s="31" t="s">
        <v>2259</v>
      </c>
      <c r="C244" s="553">
        <f t="shared" si="118"/>
        <v>1050</v>
      </c>
      <c r="D244" s="115">
        <v>1000</v>
      </c>
      <c r="E244" s="555"/>
      <c r="F244" s="550">
        <v>50</v>
      </c>
      <c r="G244" s="114"/>
      <c r="H244" s="114"/>
      <c r="I244" s="114"/>
      <c r="J244" s="120" t="s">
        <v>1774</v>
      </c>
      <c r="K244" s="110"/>
    </row>
    <row r="245" spans="1:11" s="111" customFormat="1" ht="18" hidden="1" customHeight="1">
      <c r="A245" s="112" t="s">
        <v>742</v>
      </c>
      <c r="B245" s="19" t="s">
        <v>760</v>
      </c>
      <c r="C245" s="553">
        <f>SUM(C246:C266)</f>
        <v>45491</v>
      </c>
      <c r="D245" s="115">
        <f t="shared" ref="D245:F245" si="119">SUM(D246:D266)</f>
        <v>43325</v>
      </c>
      <c r="E245" s="553">
        <f t="shared" si="119"/>
        <v>0</v>
      </c>
      <c r="F245" s="553">
        <f t="shared" si="119"/>
        <v>2166</v>
      </c>
      <c r="G245" s="114"/>
      <c r="H245" s="114"/>
      <c r="I245" s="114"/>
      <c r="J245" s="120" t="s">
        <v>1774</v>
      </c>
      <c r="K245" s="110"/>
    </row>
    <row r="246" spans="1:11" s="111" customFormat="1" ht="18" hidden="1" customHeight="1">
      <c r="A246" s="122"/>
      <c r="B246" s="31" t="s">
        <v>2260</v>
      </c>
      <c r="C246" s="553">
        <f>+D246+F246</f>
        <v>2646</v>
      </c>
      <c r="D246" s="115">
        <v>2520</v>
      </c>
      <c r="E246" s="554"/>
      <c r="F246" s="116">
        <v>126</v>
      </c>
      <c r="G246" s="130"/>
      <c r="H246" s="130"/>
      <c r="I246" s="130"/>
      <c r="J246" s="120" t="s">
        <v>1774</v>
      </c>
      <c r="K246" s="110"/>
    </row>
    <row r="247" spans="1:11" s="111" customFormat="1" ht="18" hidden="1" customHeight="1">
      <c r="A247" s="122"/>
      <c r="B247" s="31" t="s">
        <v>2261</v>
      </c>
      <c r="C247" s="553">
        <f t="shared" ref="C247:C266" si="120">+D247+F247</f>
        <v>2646</v>
      </c>
      <c r="D247" s="115">
        <v>2520</v>
      </c>
      <c r="E247" s="554"/>
      <c r="F247" s="116">
        <v>126</v>
      </c>
      <c r="G247" s="114"/>
      <c r="H247" s="114"/>
      <c r="I247" s="114"/>
      <c r="J247" s="120" t="s">
        <v>1774</v>
      </c>
      <c r="K247" s="110"/>
    </row>
    <row r="248" spans="1:11" s="111" customFormat="1" ht="18" hidden="1" customHeight="1">
      <c r="A248" s="122"/>
      <c r="B248" s="31" t="s">
        <v>2262</v>
      </c>
      <c r="C248" s="553">
        <f t="shared" si="120"/>
        <v>2646</v>
      </c>
      <c r="D248" s="115">
        <v>2520</v>
      </c>
      <c r="E248" s="554"/>
      <c r="F248" s="116">
        <v>126</v>
      </c>
      <c r="G248" s="114"/>
      <c r="H248" s="114"/>
      <c r="I248" s="114"/>
      <c r="J248" s="120" t="s">
        <v>1774</v>
      </c>
      <c r="K248" s="110"/>
    </row>
    <row r="249" spans="1:11" s="111" customFormat="1" ht="18" hidden="1" customHeight="1">
      <c r="A249" s="122"/>
      <c r="B249" s="31" t="s">
        <v>2263</v>
      </c>
      <c r="C249" s="553">
        <f t="shared" si="120"/>
        <v>2646</v>
      </c>
      <c r="D249" s="115">
        <v>2520</v>
      </c>
      <c r="E249" s="554"/>
      <c r="F249" s="116">
        <v>126</v>
      </c>
      <c r="G249" s="114"/>
      <c r="H249" s="114"/>
      <c r="I249" s="114"/>
      <c r="J249" s="120" t="s">
        <v>1774</v>
      </c>
      <c r="K249" s="110"/>
    </row>
    <row r="250" spans="1:11" s="111" customFormat="1" ht="18" hidden="1" customHeight="1">
      <c r="A250" s="122"/>
      <c r="B250" s="31" t="s">
        <v>2264</v>
      </c>
      <c r="C250" s="553">
        <f t="shared" si="120"/>
        <v>2646</v>
      </c>
      <c r="D250" s="115">
        <v>2520</v>
      </c>
      <c r="E250" s="554"/>
      <c r="F250" s="116">
        <v>126</v>
      </c>
      <c r="G250" s="114"/>
      <c r="H250" s="114"/>
      <c r="I250" s="114"/>
      <c r="J250" s="120" t="s">
        <v>1774</v>
      </c>
      <c r="K250" s="110"/>
    </row>
    <row r="251" spans="1:11" s="111" customFormat="1" ht="18" hidden="1" customHeight="1">
      <c r="A251" s="122"/>
      <c r="B251" s="31" t="s">
        <v>2265</v>
      </c>
      <c r="C251" s="553">
        <f t="shared" si="120"/>
        <v>2646</v>
      </c>
      <c r="D251" s="115">
        <v>2520</v>
      </c>
      <c r="E251" s="554"/>
      <c r="F251" s="116">
        <v>126</v>
      </c>
      <c r="G251" s="114"/>
      <c r="H251" s="114"/>
      <c r="I251" s="114"/>
      <c r="J251" s="120" t="s">
        <v>1774</v>
      </c>
      <c r="K251" s="110"/>
    </row>
    <row r="252" spans="1:11" s="111" customFormat="1" ht="18" hidden="1" customHeight="1">
      <c r="A252" s="122"/>
      <c r="B252" s="31" t="s">
        <v>2266</v>
      </c>
      <c r="C252" s="553">
        <f t="shared" si="120"/>
        <v>2646</v>
      </c>
      <c r="D252" s="115">
        <v>2520</v>
      </c>
      <c r="E252" s="554"/>
      <c r="F252" s="116">
        <v>126</v>
      </c>
      <c r="G252" s="130"/>
      <c r="H252" s="130"/>
      <c r="I252" s="130"/>
      <c r="J252" s="120" t="s">
        <v>1774</v>
      </c>
      <c r="K252" s="110"/>
    </row>
    <row r="253" spans="1:11" s="111" customFormat="1" ht="18" hidden="1" customHeight="1">
      <c r="A253" s="122"/>
      <c r="B253" s="31" t="s">
        <v>2267</v>
      </c>
      <c r="C253" s="553">
        <f t="shared" si="120"/>
        <v>2646</v>
      </c>
      <c r="D253" s="115">
        <v>2520</v>
      </c>
      <c r="E253" s="554"/>
      <c r="F253" s="116">
        <v>126</v>
      </c>
      <c r="G253" s="114"/>
      <c r="H253" s="114"/>
      <c r="I253" s="114"/>
      <c r="J253" s="120" t="s">
        <v>1774</v>
      </c>
      <c r="K253" s="110"/>
    </row>
    <row r="254" spans="1:11" s="121" customFormat="1" ht="18" hidden="1" customHeight="1">
      <c r="A254" s="122"/>
      <c r="B254" s="31" t="s">
        <v>2268</v>
      </c>
      <c r="C254" s="553">
        <f t="shared" si="120"/>
        <v>1050</v>
      </c>
      <c r="D254" s="115">
        <v>1000</v>
      </c>
      <c r="E254" s="554"/>
      <c r="F254" s="116">
        <v>50</v>
      </c>
      <c r="G254" s="114"/>
      <c r="H254" s="114"/>
      <c r="I254" s="114"/>
      <c r="J254" s="120" t="s">
        <v>1774</v>
      </c>
    </row>
    <row r="255" spans="1:11" s="111" customFormat="1" ht="18" hidden="1" customHeight="1">
      <c r="A255" s="122"/>
      <c r="B255" s="31" t="s">
        <v>2269</v>
      </c>
      <c r="C255" s="553">
        <f t="shared" si="120"/>
        <v>1596</v>
      </c>
      <c r="D255" s="115">
        <v>1520</v>
      </c>
      <c r="E255" s="554"/>
      <c r="F255" s="116">
        <v>76</v>
      </c>
      <c r="G255" s="114"/>
      <c r="H255" s="114"/>
      <c r="I255" s="114"/>
      <c r="J255" s="120" t="s">
        <v>1774</v>
      </c>
    </row>
    <row r="256" spans="1:11" s="111" customFormat="1" ht="18" hidden="1" customHeight="1">
      <c r="A256" s="122"/>
      <c r="B256" s="31" t="s">
        <v>2270</v>
      </c>
      <c r="C256" s="553">
        <f t="shared" si="120"/>
        <v>1596</v>
      </c>
      <c r="D256" s="115">
        <v>1520</v>
      </c>
      <c r="E256" s="554"/>
      <c r="F256" s="116">
        <v>76</v>
      </c>
      <c r="G256" s="114"/>
      <c r="H256" s="114"/>
      <c r="I256" s="114"/>
      <c r="J256" s="120" t="s">
        <v>1774</v>
      </c>
      <c r="K256" s="110"/>
    </row>
    <row r="257" spans="1:11" s="111" customFormat="1" ht="18" hidden="1" customHeight="1">
      <c r="A257" s="122"/>
      <c r="B257" s="31" t="s">
        <v>2271</v>
      </c>
      <c r="C257" s="553">
        <f t="shared" si="120"/>
        <v>1596</v>
      </c>
      <c r="D257" s="115">
        <v>1520</v>
      </c>
      <c r="E257" s="554"/>
      <c r="F257" s="116">
        <v>76</v>
      </c>
      <c r="G257" s="114"/>
      <c r="H257" s="114"/>
      <c r="I257" s="114"/>
      <c r="J257" s="120" t="s">
        <v>1774</v>
      </c>
      <c r="K257" s="110"/>
    </row>
    <row r="258" spans="1:11" s="111" customFormat="1" ht="18" hidden="1" customHeight="1">
      <c r="A258" s="122"/>
      <c r="B258" s="31" t="s">
        <v>2272</v>
      </c>
      <c r="C258" s="553">
        <f t="shared" si="120"/>
        <v>2646</v>
      </c>
      <c r="D258" s="115">
        <v>2520</v>
      </c>
      <c r="E258" s="554"/>
      <c r="F258" s="116">
        <v>126</v>
      </c>
      <c r="G258" s="130"/>
      <c r="H258" s="130"/>
      <c r="I258" s="130"/>
      <c r="J258" s="120" t="s">
        <v>1774</v>
      </c>
      <c r="K258" s="110"/>
    </row>
    <row r="259" spans="1:11" s="111" customFormat="1" ht="18" hidden="1" customHeight="1">
      <c r="A259" s="122"/>
      <c r="B259" s="31" t="s">
        <v>2273</v>
      </c>
      <c r="C259" s="553">
        <f t="shared" si="120"/>
        <v>2646</v>
      </c>
      <c r="D259" s="115">
        <v>2520</v>
      </c>
      <c r="E259" s="554"/>
      <c r="F259" s="116">
        <v>126</v>
      </c>
      <c r="G259" s="130"/>
      <c r="H259" s="130"/>
      <c r="I259" s="130"/>
      <c r="J259" s="120" t="s">
        <v>1774</v>
      </c>
      <c r="K259" s="110"/>
    </row>
    <row r="260" spans="1:11" s="111" customFormat="1" ht="18" hidden="1" customHeight="1">
      <c r="A260" s="122"/>
      <c r="B260" s="31" t="s">
        <v>2274</v>
      </c>
      <c r="C260" s="553">
        <f t="shared" si="120"/>
        <v>1596</v>
      </c>
      <c r="D260" s="115">
        <v>1520</v>
      </c>
      <c r="E260" s="554"/>
      <c r="F260" s="116">
        <v>76</v>
      </c>
      <c r="G260" s="130"/>
      <c r="H260" s="130"/>
      <c r="I260" s="130"/>
      <c r="J260" s="120" t="s">
        <v>1774</v>
      </c>
      <c r="K260" s="110"/>
    </row>
    <row r="261" spans="1:11" s="111" customFormat="1" ht="18" hidden="1" customHeight="1">
      <c r="A261" s="122"/>
      <c r="B261" s="31" t="s">
        <v>2275</v>
      </c>
      <c r="C261" s="553">
        <f t="shared" si="120"/>
        <v>2646</v>
      </c>
      <c r="D261" s="115">
        <v>2520</v>
      </c>
      <c r="E261" s="554"/>
      <c r="F261" s="116">
        <v>126</v>
      </c>
      <c r="G261" s="130"/>
      <c r="H261" s="130"/>
      <c r="I261" s="130"/>
      <c r="J261" s="120" t="s">
        <v>1774</v>
      </c>
      <c r="K261" s="110"/>
    </row>
    <row r="262" spans="1:11" s="111" customFormat="1" ht="18" hidden="1" customHeight="1">
      <c r="A262" s="122"/>
      <c r="B262" s="31" t="s">
        <v>2276</v>
      </c>
      <c r="C262" s="553">
        <f t="shared" si="120"/>
        <v>2714</v>
      </c>
      <c r="D262" s="115">
        <v>2585</v>
      </c>
      <c r="E262" s="554"/>
      <c r="F262" s="116">
        <v>129</v>
      </c>
      <c r="G262" s="130"/>
      <c r="H262" s="130"/>
      <c r="I262" s="130"/>
      <c r="J262" s="120" t="s">
        <v>1774</v>
      </c>
      <c r="K262" s="110"/>
    </row>
    <row r="263" spans="1:11" s="111" customFormat="1" ht="18" hidden="1" customHeight="1">
      <c r="A263" s="122"/>
      <c r="B263" s="31" t="s">
        <v>2277</v>
      </c>
      <c r="C263" s="553">
        <f t="shared" si="120"/>
        <v>2646</v>
      </c>
      <c r="D263" s="115">
        <v>2520</v>
      </c>
      <c r="E263" s="554"/>
      <c r="F263" s="116">
        <v>126</v>
      </c>
      <c r="G263" s="130"/>
      <c r="H263" s="130"/>
      <c r="I263" s="130"/>
      <c r="J263" s="120" t="s">
        <v>1774</v>
      </c>
      <c r="K263" s="110"/>
    </row>
    <row r="264" spans="1:11" s="111" customFormat="1" ht="18" hidden="1" customHeight="1">
      <c r="A264" s="122"/>
      <c r="B264" s="19" t="s">
        <v>2278</v>
      </c>
      <c r="C264" s="553">
        <f t="shared" si="120"/>
        <v>1050</v>
      </c>
      <c r="D264" s="115">
        <v>1000</v>
      </c>
      <c r="E264" s="555"/>
      <c r="F264" s="116">
        <v>50</v>
      </c>
      <c r="G264" s="130"/>
      <c r="H264" s="130"/>
      <c r="I264" s="130"/>
      <c r="J264" s="120" t="s">
        <v>1774</v>
      </c>
      <c r="K264" s="110"/>
    </row>
    <row r="265" spans="1:11" s="111" customFormat="1" ht="18" hidden="1" customHeight="1">
      <c r="A265" s="122"/>
      <c r="B265" s="19" t="s">
        <v>2279</v>
      </c>
      <c r="C265" s="553">
        <f t="shared" si="120"/>
        <v>1491</v>
      </c>
      <c r="D265" s="115">
        <v>1420</v>
      </c>
      <c r="E265" s="555"/>
      <c r="F265" s="116">
        <v>71</v>
      </c>
      <c r="G265" s="130"/>
      <c r="H265" s="130"/>
      <c r="I265" s="130"/>
      <c r="J265" s="120" t="s">
        <v>1774</v>
      </c>
      <c r="K265" s="110"/>
    </row>
    <row r="266" spans="1:11" s="111" customFormat="1" ht="18" hidden="1" customHeight="1">
      <c r="A266" s="122"/>
      <c r="B266" s="19" t="s">
        <v>2280</v>
      </c>
      <c r="C266" s="553">
        <f t="shared" si="120"/>
        <v>1050</v>
      </c>
      <c r="D266" s="115">
        <v>1000</v>
      </c>
      <c r="E266" s="555"/>
      <c r="F266" s="116">
        <v>50</v>
      </c>
      <c r="G266" s="114"/>
      <c r="H266" s="114"/>
      <c r="I266" s="114"/>
      <c r="J266" s="120" t="s">
        <v>1774</v>
      </c>
      <c r="K266" s="110"/>
    </row>
    <row r="267" spans="1:11" s="121" customFormat="1" ht="18" customHeight="1">
      <c r="A267" s="26" t="s">
        <v>81</v>
      </c>
      <c r="B267" s="55" t="s">
        <v>25</v>
      </c>
      <c r="C267" s="21">
        <f>+C268</f>
        <v>1885</v>
      </c>
      <c r="D267" s="21">
        <f t="shared" ref="D267:F267" si="121">+D268</f>
        <v>1795</v>
      </c>
      <c r="E267" s="21">
        <f t="shared" si="121"/>
        <v>0</v>
      </c>
      <c r="F267" s="21">
        <f t="shared" si="121"/>
        <v>90</v>
      </c>
      <c r="G267" s="114"/>
      <c r="H267" s="114"/>
      <c r="I267" s="114"/>
      <c r="J267" s="120"/>
    </row>
    <row r="268" spans="1:11" s="111" customFormat="1" ht="18" customHeight="1">
      <c r="A268" s="112" t="s">
        <v>10</v>
      </c>
      <c r="B268" s="148" t="s">
        <v>760</v>
      </c>
      <c r="C268" s="21">
        <f>SUM(C269:C270)</f>
        <v>1885</v>
      </c>
      <c r="D268" s="21">
        <f t="shared" ref="D268:F268" si="122">SUM(D269:D270)</f>
        <v>1795</v>
      </c>
      <c r="E268" s="21">
        <f t="shared" si="122"/>
        <v>0</v>
      </c>
      <c r="F268" s="21">
        <f t="shared" si="122"/>
        <v>90</v>
      </c>
      <c r="G268" s="114"/>
      <c r="H268" s="114"/>
      <c r="I268" s="114"/>
      <c r="J268" s="120"/>
    </row>
    <row r="269" spans="1:11" s="111" customFormat="1" ht="18" hidden="1" customHeight="1">
      <c r="A269" s="26"/>
      <c r="B269" s="113" t="s">
        <v>2281</v>
      </c>
      <c r="C269" s="461">
        <f>+D269+F269</f>
        <v>945</v>
      </c>
      <c r="D269" s="461">
        <v>900</v>
      </c>
      <c r="E269" s="461"/>
      <c r="F269" s="461">
        <v>45</v>
      </c>
      <c r="G269" s="114"/>
      <c r="H269" s="114"/>
      <c r="I269" s="114"/>
      <c r="J269" s="120" t="s">
        <v>1774</v>
      </c>
      <c r="K269" s="110"/>
    </row>
    <row r="270" spans="1:11" s="111" customFormat="1" hidden="1">
      <c r="A270" s="446"/>
      <c r="B270" s="470" t="s">
        <v>2282</v>
      </c>
      <c r="C270" s="557">
        <f>+D270+F270</f>
        <v>940</v>
      </c>
      <c r="D270" s="557">
        <v>895</v>
      </c>
      <c r="E270" s="557"/>
      <c r="F270" s="557">
        <v>45</v>
      </c>
      <c r="G270" s="558"/>
      <c r="H270" s="558"/>
      <c r="I270" s="558"/>
      <c r="J270" s="559" t="s">
        <v>1774</v>
      </c>
      <c r="K270" s="110"/>
    </row>
    <row r="271" spans="1:11" ht="11.25" customHeight="1">
      <c r="A271" s="1806"/>
      <c r="B271" s="1806"/>
      <c r="E271" s="75"/>
      <c r="F271" s="75"/>
      <c r="G271" s="75"/>
      <c r="H271" s="75"/>
      <c r="I271" s="75"/>
    </row>
    <row r="272" spans="1:11" s="453" customFormat="1" ht="18" customHeight="1">
      <c r="A272" s="1809" t="s">
        <v>2466</v>
      </c>
      <c r="B272" s="1809"/>
      <c r="C272" s="753"/>
      <c r="D272" s="753"/>
      <c r="E272" s="966"/>
      <c r="F272" s="754"/>
      <c r="G272" s="754"/>
      <c r="H272" s="754"/>
      <c r="J272" s="509"/>
    </row>
    <row r="273" spans="1:10" s="755" customFormat="1" ht="69" customHeight="1">
      <c r="A273" s="1803" t="s">
        <v>2504</v>
      </c>
      <c r="B273" s="1803"/>
      <c r="C273" s="1803"/>
      <c r="D273" s="1803"/>
      <c r="E273" s="1804"/>
      <c r="F273" s="1804"/>
      <c r="G273" s="1804"/>
      <c r="H273" s="1804"/>
      <c r="I273" s="1804"/>
      <c r="J273" s="1803"/>
    </row>
    <row r="274" spans="1:10" s="453" customFormat="1" ht="18" customHeight="1">
      <c r="A274" s="1807"/>
      <c r="B274" s="1807"/>
      <c r="C274" s="1807"/>
      <c r="D274" s="1807"/>
      <c r="E274" s="1808"/>
      <c r="F274" s="1808"/>
      <c r="G274" s="1808"/>
      <c r="H274" s="1808"/>
      <c r="I274" s="1808"/>
      <c r="J274" s="1807"/>
    </row>
    <row r="275" spans="1:10" s="755" customFormat="1" ht="14">
      <c r="A275" s="1803"/>
      <c r="B275" s="1803"/>
      <c r="C275" s="1803"/>
      <c r="D275" s="1803"/>
      <c r="E275" s="1804"/>
      <c r="F275" s="1804"/>
      <c r="G275" s="1804"/>
      <c r="H275" s="1804"/>
      <c r="I275" s="1804"/>
      <c r="J275" s="1803"/>
    </row>
    <row r="276" spans="1:10" s="755" customFormat="1" ht="14">
      <c r="A276" s="1805"/>
      <c r="B276" s="1805"/>
      <c r="C276" s="754"/>
      <c r="D276" s="754"/>
      <c r="E276" s="412"/>
      <c r="F276" s="413"/>
      <c r="G276" s="413"/>
      <c r="H276" s="413"/>
      <c r="I276" s="414"/>
    </row>
    <row r="277" spans="1:10" ht="21" customHeight="1"/>
    <row r="278" spans="1:10" ht="21" customHeight="1"/>
    <row r="279" spans="1:10" ht="21" customHeight="1"/>
    <row r="280" spans="1:10" ht="21" customHeight="1"/>
    <row r="281" spans="1:10" ht="21" customHeight="1"/>
    <row r="282" spans="1:10" ht="21" customHeight="1"/>
    <row r="283" spans="1:10" ht="21" customHeight="1"/>
    <row r="284" spans="1:10" ht="21" customHeight="1"/>
    <row r="285" spans="1:10" ht="21" customHeight="1"/>
    <row r="286" spans="1:10" ht="21" customHeight="1"/>
    <row r="287" spans="1:10" ht="21" customHeight="1"/>
    <row r="288" spans="1:10"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sheetData>
  <autoFilter ref="A6:J275">
    <filterColumn colId="9">
      <filters blank="1"/>
    </filterColumn>
  </autoFilter>
  <mergeCells count="17">
    <mergeCell ref="A1:B1"/>
    <mergeCell ref="C1:J1"/>
    <mergeCell ref="A2:J2"/>
    <mergeCell ref="A3:J3"/>
    <mergeCell ref="D4:D5"/>
    <mergeCell ref="A4:A5"/>
    <mergeCell ref="B4:B5"/>
    <mergeCell ref="C4:C5"/>
    <mergeCell ref="F4:G4"/>
    <mergeCell ref="H4:I4"/>
    <mergeCell ref="J4:J5"/>
    <mergeCell ref="A275:J275"/>
    <mergeCell ref="A276:B276"/>
    <mergeCell ref="A271:B271"/>
    <mergeCell ref="A273:J273"/>
    <mergeCell ref="A274:J274"/>
    <mergeCell ref="A272:B272"/>
  </mergeCells>
  <pageMargins left="0.5" right="0.2" top="0.5" bottom="0.5" header="0.3" footer="0.3"/>
  <pageSetup paperSize="9" scale="90" orientation="portrait" r:id="rId1"/>
  <headerFooter>
    <oddFooter>&amp;C&amp;8&amp;P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20"/>
  <sheetViews>
    <sheetView workbookViewId="0">
      <pane xSplit="2" ySplit="6" topLeftCell="C7" activePane="bottomRight" state="frozen"/>
      <selection pane="topRight" activeCell="C1" sqref="C1"/>
      <selection pane="bottomLeft" activeCell="A7" sqref="A7"/>
      <selection pane="bottomRight" activeCell="H28" sqref="H28"/>
    </sheetView>
  </sheetViews>
  <sheetFormatPr defaultColWidth="9.08203125" defaultRowHeight="13"/>
  <cols>
    <col min="1" max="1" width="4.9140625" style="8" customWidth="1"/>
    <col min="2" max="2" width="28" style="8" customWidth="1"/>
    <col min="3" max="3" width="11.33203125" style="8" customWidth="1"/>
    <col min="4" max="5" width="11.4140625" style="8" customWidth="1"/>
    <col min="6" max="6" width="10.4140625" style="8" customWidth="1"/>
    <col min="7" max="7" width="8.4140625" style="8" customWidth="1"/>
    <col min="8" max="8" width="12.4140625" style="8" customWidth="1"/>
    <col min="9" max="9" width="18" style="8" customWidth="1"/>
    <col min="10" max="12" width="9.08203125" style="8"/>
    <col min="13" max="13" width="11.4140625" style="8" bestFit="1" customWidth="1"/>
    <col min="14" max="16384" width="9.08203125" style="8"/>
  </cols>
  <sheetData>
    <row r="1" spans="1:9" ht="21" customHeight="1">
      <c r="A1" s="1794" t="s">
        <v>39</v>
      </c>
      <c r="B1" s="1794"/>
      <c r="C1" s="7"/>
      <c r="D1" s="7"/>
      <c r="E1" s="7"/>
      <c r="F1" s="7"/>
      <c r="G1" s="7"/>
      <c r="H1" s="7"/>
      <c r="I1" s="7"/>
    </row>
    <row r="2" spans="1:9" ht="52.5" customHeight="1">
      <c r="A2" s="1777" t="s">
        <v>82</v>
      </c>
      <c r="B2" s="1777"/>
      <c r="C2" s="1777"/>
      <c r="D2" s="1777"/>
      <c r="E2" s="1777"/>
      <c r="F2" s="1777"/>
      <c r="G2" s="1777"/>
      <c r="H2" s="1777"/>
      <c r="I2" s="1777"/>
    </row>
    <row r="3" spans="1:9" ht="57" customHeight="1">
      <c r="A3" s="1777" t="s">
        <v>57</v>
      </c>
      <c r="B3" s="1777"/>
      <c r="C3" s="1777"/>
      <c r="D3" s="1777"/>
      <c r="E3" s="1777"/>
      <c r="F3" s="1777"/>
      <c r="G3" s="1777"/>
      <c r="H3" s="1777"/>
      <c r="I3" s="1777"/>
    </row>
    <row r="4" spans="1:9" ht="21.75" customHeight="1">
      <c r="A4" s="1777" t="s">
        <v>58</v>
      </c>
      <c r="B4" s="1777"/>
      <c r="C4" s="1777"/>
      <c r="D4" s="1777"/>
      <c r="E4" s="1777"/>
      <c r="F4" s="1777"/>
      <c r="G4" s="1777"/>
      <c r="H4" s="1777"/>
      <c r="I4" s="1777"/>
    </row>
    <row r="5" spans="1:9" ht="18" customHeight="1">
      <c r="A5" s="1773" t="s">
        <v>3</v>
      </c>
      <c r="B5" s="1773"/>
      <c r="C5" s="1773"/>
      <c r="D5" s="1773"/>
      <c r="E5" s="1773"/>
      <c r="F5" s="1773"/>
      <c r="G5" s="1773"/>
      <c r="H5" s="1773"/>
      <c r="I5" s="1773"/>
    </row>
    <row r="6" spans="1:9" ht="30" customHeight="1">
      <c r="A6" s="66" t="s">
        <v>4</v>
      </c>
      <c r="B6" s="66" t="s">
        <v>5</v>
      </c>
      <c r="C6" s="66" t="s">
        <v>55</v>
      </c>
      <c r="D6" s="66" t="s">
        <v>32</v>
      </c>
      <c r="E6" s="65" t="s">
        <v>35</v>
      </c>
      <c r="F6" s="65" t="s">
        <v>79</v>
      </c>
      <c r="G6" s="65" t="s">
        <v>68</v>
      </c>
      <c r="H6" s="66" t="s">
        <v>699</v>
      </c>
      <c r="I6" s="66" t="s">
        <v>33</v>
      </c>
    </row>
    <row r="7" spans="1:9" ht="18" customHeight="1">
      <c r="A7" s="22" t="s">
        <v>10</v>
      </c>
      <c r="B7" s="22" t="s">
        <v>12</v>
      </c>
      <c r="C7" s="22" t="s">
        <v>14</v>
      </c>
      <c r="D7" s="22" t="s">
        <v>16</v>
      </c>
      <c r="E7" s="22" t="s">
        <v>18</v>
      </c>
      <c r="F7" s="22" t="s">
        <v>20</v>
      </c>
      <c r="G7" s="22" t="s">
        <v>22</v>
      </c>
      <c r="H7" s="22" t="s">
        <v>24</v>
      </c>
      <c r="I7" s="22" t="s">
        <v>700</v>
      </c>
    </row>
    <row r="8" spans="1:9" s="30" customFormat="1" ht="18" customHeight="1">
      <c r="A8" s="40"/>
      <c r="B8" s="40" t="s">
        <v>6</v>
      </c>
      <c r="C8" s="40"/>
      <c r="D8" s="40"/>
      <c r="E8" s="40"/>
      <c r="F8" s="23">
        <f>F9+F12+F15+F18+F21+F24+F27+F29</f>
        <v>12500</v>
      </c>
      <c r="G8" s="23">
        <f>G9+G12+G15+G18+G21+G24+G27+G29</f>
        <v>12500</v>
      </c>
      <c r="H8" s="23">
        <f>H9+H12+H15+H18+H21+H24+H27+H29</f>
        <v>3000</v>
      </c>
      <c r="I8" s="24"/>
    </row>
    <row r="9" spans="1:9" ht="18" customHeight="1">
      <c r="A9" s="14" t="s">
        <v>8</v>
      </c>
      <c r="B9" s="46" t="s">
        <v>25</v>
      </c>
      <c r="C9" s="36"/>
      <c r="D9" s="36"/>
      <c r="E9" s="23"/>
      <c r="F9" s="23">
        <f>SUM(F10:F11)</f>
        <v>0</v>
      </c>
      <c r="G9" s="23">
        <f>SUM(G10:G11)</f>
        <v>0</v>
      </c>
      <c r="H9" s="23">
        <f>SUM(H10:H11)</f>
        <v>0</v>
      </c>
      <c r="I9" s="17"/>
    </row>
    <row r="10" spans="1:9" ht="18" customHeight="1">
      <c r="A10" s="32">
        <v>1</v>
      </c>
      <c r="B10" s="31" t="s">
        <v>78</v>
      </c>
      <c r="C10" s="17"/>
      <c r="D10" s="17"/>
      <c r="E10" s="16"/>
      <c r="F10" s="20"/>
      <c r="G10" s="20"/>
      <c r="H10" s="20"/>
      <c r="I10" s="16"/>
    </row>
    <row r="11" spans="1:9" ht="18" customHeight="1">
      <c r="A11" s="52"/>
      <c r="B11" s="31"/>
      <c r="C11" s="56"/>
      <c r="D11" s="56"/>
      <c r="E11" s="44"/>
      <c r="F11" s="44"/>
      <c r="G11" s="44"/>
      <c r="H11" s="44"/>
      <c r="I11" s="16"/>
    </row>
    <row r="12" spans="1:9">
      <c r="A12" s="14" t="s">
        <v>26</v>
      </c>
      <c r="B12" s="46" t="s">
        <v>23</v>
      </c>
      <c r="C12" s="36"/>
      <c r="D12" s="36"/>
      <c r="E12" s="23"/>
      <c r="F12" s="23">
        <f>SUM(F13:F14)</f>
        <v>0</v>
      </c>
      <c r="G12" s="23">
        <f>SUM(G13:G14)</f>
        <v>0</v>
      </c>
      <c r="H12" s="23">
        <f>SUM(H13:H14)</f>
        <v>0</v>
      </c>
      <c r="I12" s="17"/>
    </row>
    <row r="13" spans="1:9" ht="18" customHeight="1">
      <c r="A13" s="32">
        <v>1</v>
      </c>
      <c r="B13" s="31" t="s">
        <v>78</v>
      </c>
      <c r="C13" s="56"/>
      <c r="D13" s="56"/>
      <c r="E13" s="44"/>
      <c r="F13" s="44"/>
      <c r="G13" s="44"/>
      <c r="H13" s="44"/>
      <c r="I13" s="16"/>
    </row>
    <row r="14" spans="1:9" ht="18" customHeight="1">
      <c r="A14" s="52"/>
      <c r="B14" s="31"/>
      <c r="C14" s="56"/>
      <c r="D14" s="56"/>
      <c r="E14" s="44"/>
      <c r="F14" s="44"/>
      <c r="G14" s="44"/>
      <c r="H14" s="44"/>
      <c r="I14" s="16"/>
    </row>
    <row r="15" spans="1:9" ht="30" customHeight="1">
      <c r="A15" s="14" t="s">
        <v>28</v>
      </c>
      <c r="B15" s="46" t="s">
        <v>21</v>
      </c>
      <c r="C15" s="36"/>
      <c r="D15" s="36"/>
      <c r="E15" s="23"/>
      <c r="F15" s="23">
        <f>SUM(F16:F17)</f>
        <v>0</v>
      </c>
      <c r="G15" s="23">
        <f>SUM(G16:G17)</f>
        <v>0</v>
      </c>
      <c r="H15" s="23">
        <f>SUM(H16:H17)</f>
        <v>0</v>
      </c>
      <c r="I15" s="17"/>
    </row>
    <row r="16" spans="1:9" ht="18" customHeight="1">
      <c r="A16" s="32">
        <v>1</v>
      </c>
      <c r="B16" s="31" t="s">
        <v>78</v>
      </c>
      <c r="C16" s="56"/>
      <c r="D16" s="56"/>
      <c r="E16" s="44"/>
      <c r="F16" s="44"/>
      <c r="G16" s="44"/>
      <c r="H16" s="44"/>
      <c r="I16" s="16"/>
    </row>
    <row r="17" spans="1:9" ht="18" customHeight="1">
      <c r="A17" s="52"/>
      <c r="B17" s="31"/>
      <c r="C17" s="56"/>
      <c r="D17" s="56"/>
      <c r="E17" s="44"/>
      <c r="F17" s="44"/>
      <c r="G17" s="44"/>
      <c r="H17" s="44"/>
      <c r="I17" s="16"/>
    </row>
    <row r="18" spans="1:9">
      <c r="A18" s="14" t="s">
        <v>29</v>
      </c>
      <c r="B18" s="46" t="s">
        <v>19</v>
      </c>
      <c r="C18" s="36"/>
      <c r="D18" s="36"/>
      <c r="E18" s="23"/>
      <c r="F18" s="23">
        <f>SUM(F19:F20)</f>
        <v>0</v>
      </c>
      <c r="G18" s="23">
        <f>SUM(G19:G20)</f>
        <v>0</v>
      </c>
      <c r="H18" s="23">
        <f>SUM(H19:H20)</f>
        <v>0</v>
      </c>
      <c r="I18" s="17"/>
    </row>
    <row r="19" spans="1:9" ht="18" customHeight="1">
      <c r="A19" s="32"/>
      <c r="B19" s="31"/>
      <c r="C19" s="56"/>
      <c r="D19" s="56"/>
      <c r="E19" s="44"/>
      <c r="F19" s="44"/>
      <c r="G19" s="44"/>
      <c r="H19" s="44"/>
      <c r="I19" s="16"/>
    </row>
    <row r="20" spans="1:9" ht="18" customHeight="1">
      <c r="A20" s="52"/>
      <c r="B20" s="31"/>
      <c r="C20" s="56"/>
      <c r="D20" s="56"/>
      <c r="E20" s="44"/>
      <c r="F20" s="44"/>
      <c r="G20" s="44"/>
      <c r="H20" s="44"/>
      <c r="I20" s="16"/>
    </row>
    <row r="21" spans="1:9">
      <c r="A21" s="14" t="s">
        <v>30</v>
      </c>
      <c r="B21" s="46" t="s">
        <v>17</v>
      </c>
      <c r="C21" s="36"/>
      <c r="D21" s="36"/>
      <c r="E21" s="23"/>
      <c r="F21" s="23">
        <f>SUM(F22:F23)</f>
        <v>0</v>
      </c>
      <c r="G21" s="23">
        <f>SUM(G22:G23)</f>
        <v>0</v>
      </c>
      <c r="H21" s="23">
        <f>SUM(H22:H23)</f>
        <v>0</v>
      </c>
      <c r="I21" s="17"/>
    </row>
    <row r="22" spans="1:9" ht="18" customHeight="1">
      <c r="A22" s="32"/>
      <c r="B22" s="31"/>
      <c r="C22" s="56"/>
      <c r="D22" s="56"/>
      <c r="E22" s="44"/>
      <c r="F22" s="44"/>
      <c r="G22" s="44"/>
      <c r="H22" s="44"/>
      <c r="I22" s="16"/>
    </row>
    <row r="23" spans="1:9" ht="18" customHeight="1">
      <c r="A23" s="52"/>
      <c r="B23" s="31"/>
      <c r="C23" s="56"/>
      <c r="D23" s="56"/>
      <c r="E23" s="44"/>
      <c r="F23" s="44"/>
      <c r="G23" s="44"/>
      <c r="H23" s="44"/>
      <c r="I23" s="16"/>
    </row>
    <row r="24" spans="1:9">
      <c r="A24" s="14" t="s">
        <v>31</v>
      </c>
      <c r="B24" s="46" t="s">
        <v>15</v>
      </c>
      <c r="C24" s="36"/>
      <c r="D24" s="36"/>
      <c r="E24" s="23"/>
      <c r="F24" s="23">
        <f>SUM(F25:F26)</f>
        <v>0</v>
      </c>
      <c r="G24" s="23">
        <f>SUM(G25:G26)</f>
        <v>0</v>
      </c>
      <c r="H24" s="23">
        <f>SUM(H25:H26)</f>
        <v>0</v>
      </c>
      <c r="I24" s="17"/>
    </row>
    <row r="25" spans="1:9" ht="18" customHeight="1">
      <c r="A25" s="32"/>
      <c r="B25" s="31"/>
      <c r="C25" s="56"/>
      <c r="D25" s="56"/>
      <c r="E25" s="44"/>
      <c r="F25" s="44"/>
      <c r="G25" s="44"/>
      <c r="H25" s="44"/>
      <c r="I25" s="16"/>
    </row>
    <row r="26" spans="1:9" ht="18" customHeight="1">
      <c r="A26" s="52"/>
      <c r="B26" s="31"/>
      <c r="C26" s="56"/>
      <c r="D26" s="56"/>
      <c r="E26" s="44"/>
      <c r="F26" s="44"/>
      <c r="G26" s="44"/>
      <c r="H26" s="44"/>
      <c r="I26" s="16"/>
    </row>
    <row r="27" spans="1:9" ht="18" customHeight="1">
      <c r="A27" s="14" t="s">
        <v>80</v>
      </c>
      <c r="B27" s="46" t="s">
        <v>13</v>
      </c>
      <c r="C27" s="36"/>
      <c r="D27" s="36"/>
      <c r="E27" s="23"/>
      <c r="F27" s="23">
        <f>SUM(F28:F28)</f>
        <v>0</v>
      </c>
      <c r="G27" s="23">
        <f>SUM(G28:G28)</f>
        <v>0</v>
      </c>
      <c r="H27" s="23">
        <f>SUM(H28:H28)</f>
        <v>3000</v>
      </c>
      <c r="I27" s="16"/>
    </row>
    <row r="28" spans="1:9" ht="91">
      <c r="A28" s="32">
        <v>1</v>
      </c>
      <c r="B28" s="31" t="s">
        <v>461</v>
      </c>
      <c r="C28" s="56"/>
      <c r="D28" s="56"/>
      <c r="E28" s="44"/>
      <c r="F28" s="16"/>
      <c r="G28" s="16"/>
      <c r="H28" s="16">
        <v>3000</v>
      </c>
      <c r="I28" s="16"/>
    </row>
    <row r="29" spans="1:9" ht="18" customHeight="1">
      <c r="A29" s="14" t="s">
        <v>81</v>
      </c>
      <c r="B29" s="46" t="s">
        <v>11</v>
      </c>
      <c r="C29" s="36"/>
      <c r="D29" s="36"/>
      <c r="E29" s="23"/>
      <c r="F29" s="23">
        <f>SUM(F30:F30)</f>
        <v>12500</v>
      </c>
      <c r="G29" s="23">
        <f>SUM(G30:G30)</f>
        <v>12500</v>
      </c>
      <c r="H29" s="23">
        <f>SUM(H30:H30)</f>
        <v>0</v>
      </c>
      <c r="I29" s="16"/>
    </row>
    <row r="30" spans="1:9" ht="78">
      <c r="A30" s="32">
        <v>1</v>
      </c>
      <c r="B30" s="31" t="s">
        <v>640</v>
      </c>
      <c r="C30" s="56" t="s">
        <v>642</v>
      </c>
      <c r="D30" s="56" t="s">
        <v>641</v>
      </c>
      <c r="E30" s="44"/>
      <c r="F30" s="44">
        <v>12500</v>
      </c>
      <c r="G30" s="44">
        <v>12500</v>
      </c>
      <c r="H30" s="44">
        <v>0</v>
      </c>
      <c r="I30" s="16"/>
    </row>
    <row r="31" spans="1:9" ht="18" customHeight="1">
      <c r="A31" s="41"/>
      <c r="B31" s="15"/>
      <c r="C31" s="47"/>
      <c r="D31" s="47"/>
      <c r="E31" s="47"/>
      <c r="F31" s="47"/>
      <c r="G31" s="47"/>
      <c r="H31" s="47"/>
      <c r="I31" s="47"/>
    </row>
    <row r="32" spans="1:9" s="30" customFormat="1" ht="18" customHeight="1">
      <c r="A32" s="1819" t="s">
        <v>40</v>
      </c>
      <c r="B32" s="1819"/>
      <c r="C32" s="91"/>
      <c r="D32" s="91"/>
      <c r="E32" s="91"/>
      <c r="F32" s="91"/>
      <c r="G32" s="91"/>
      <c r="H32" s="91"/>
      <c r="I32" s="91"/>
    </row>
    <row r="33" spans="1:9" ht="31.5" customHeight="1">
      <c r="A33" s="1817" t="s">
        <v>63</v>
      </c>
      <c r="B33" s="1817"/>
      <c r="C33" s="1817"/>
      <c r="D33" s="1817"/>
      <c r="E33" s="1817"/>
      <c r="F33" s="1817"/>
      <c r="G33" s="1817"/>
      <c r="H33" s="1817"/>
      <c r="I33" s="1817"/>
    </row>
    <row r="34" spans="1:9" ht="30.9" customHeight="1">
      <c r="A34" s="1817" t="s">
        <v>59</v>
      </c>
      <c r="B34" s="1817"/>
      <c r="C34" s="1817"/>
      <c r="D34" s="1817"/>
      <c r="E34" s="1817"/>
      <c r="F34" s="1817"/>
      <c r="G34" s="1817"/>
      <c r="H34" s="1817"/>
      <c r="I34" s="1817"/>
    </row>
    <row r="35" spans="1:9" ht="56.25" customHeight="1">
      <c r="A35" s="1818" t="s">
        <v>61</v>
      </c>
      <c r="B35" s="1817"/>
      <c r="C35" s="1817"/>
      <c r="D35" s="1817"/>
      <c r="E35" s="1817"/>
      <c r="F35" s="1817"/>
      <c r="G35" s="1817"/>
      <c r="H35" s="1817"/>
      <c r="I35" s="1817"/>
    </row>
    <row r="36" spans="1:9" ht="18" customHeight="1">
      <c r="A36" s="1818" t="s">
        <v>60</v>
      </c>
      <c r="B36" s="1817"/>
      <c r="C36" s="1817"/>
      <c r="D36" s="1817"/>
      <c r="E36" s="1817"/>
      <c r="F36" s="1817"/>
      <c r="G36" s="1817"/>
      <c r="H36" s="1817"/>
      <c r="I36" s="1817"/>
    </row>
    <row r="37" spans="1:9" ht="30.9" customHeight="1">
      <c r="A37" s="1818" t="s">
        <v>62</v>
      </c>
      <c r="B37" s="1818"/>
      <c r="C37" s="1818"/>
      <c r="D37" s="1818"/>
      <c r="E37" s="1818"/>
      <c r="F37" s="1818"/>
      <c r="G37" s="1818"/>
      <c r="H37" s="1818"/>
      <c r="I37" s="1818"/>
    </row>
    <row r="38" spans="1:9" ht="18" customHeight="1"/>
    <row r="39" spans="1:9" ht="18" customHeight="1"/>
    <row r="40" spans="1:9" ht="18" customHeight="1"/>
    <row r="41" spans="1:9" ht="18" customHeight="1"/>
    <row r="42" spans="1:9" ht="18" customHeight="1"/>
    <row r="43" spans="1:9" ht="18" customHeight="1"/>
    <row r="44" spans="1:9" ht="18" customHeight="1"/>
    <row r="45" spans="1:9" ht="18" customHeight="1"/>
    <row r="46" spans="1:9" ht="18" customHeight="1"/>
    <row r="47" spans="1:9" ht="18" customHeight="1"/>
    <row r="48" spans="1:9" ht="18" customHeight="1"/>
    <row r="49" ht="18"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sheetData>
  <mergeCells count="11">
    <mergeCell ref="A34:I34"/>
    <mergeCell ref="A37:I37"/>
    <mergeCell ref="A35:I35"/>
    <mergeCell ref="A36:I36"/>
    <mergeCell ref="A1:B1"/>
    <mergeCell ref="A4:I4"/>
    <mergeCell ref="A5:I5"/>
    <mergeCell ref="A33:I33"/>
    <mergeCell ref="A2:I2"/>
    <mergeCell ref="A3:I3"/>
    <mergeCell ref="A32:B32"/>
  </mergeCells>
  <pageMargins left="0.5" right="0.2" top="0.5" bottom="0.5" header="0.3" footer="0.3"/>
  <pageSetup paperSize="9" orientation="portrait" r:id="rId1"/>
  <ignoredErrors>
    <ignoredError sqref="A7:C7"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196"/>
  <sheetViews>
    <sheetView topLeftCell="A10" workbookViewId="0">
      <selection activeCell="F6" sqref="F6:F10"/>
    </sheetView>
  </sheetViews>
  <sheetFormatPr defaultRowHeight="14"/>
  <cols>
    <col min="1" max="1" width="6.08203125" style="332" customWidth="1"/>
    <col min="2" max="2" width="59.6640625" style="332" customWidth="1"/>
    <col min="3" max="3" width="8.33203125" style="332" hidden="1" customWidth="1"/>
    <col min="4" max="4" width="6.08203125" style="332" hidden="1" customWidth="1"/>
    <col min="5" max="5" width="7.08203125" style="332" hidden="1" customWidth="1"/>
    <col min="6" max="6" width="12" style="332" customWidth="1"/>
    <col min="7" max="7" width="8" style="332" hidden="1" customWidth="1"/>
    <col min="8" max="9" width="8" style="388" hidden="1" customWidth="1"/>
    <col min="10" max="11" width="8" style="455" hidden="1" customWidth="1"/>
    <col min="12" max="12" width="8" style="332" hidden="1" customWidth="1"/>
    <col min="13" max="13" width="11.6640625" style="332" customWidth="1"/>
    <col min="14" max="252" width="9.08203125" style="332"/>
    <col min="253" max="253" width="5" style="332" customWidth="1"/>
    <col min="254" max="254" width="76.08203125" style="332" customWidth="1"/>
    <col min="255" max="255" width="6.6640625" style="332" customWidth="1"/>
    <col min="256" max="257" width="7.08203125" style="332" customWidth="1"/>
    <col min="258" max="264" width="8" style="332" customWidth="1"/>
    <col min="265" max="265" width="9.6640625" style="332" customWidth="1"/>
    <col min="266" max="508" width="9.08203125" style="332"/>
    <col min="509" max="509" width="5" style="332" customWidth="1"/>
    <col min="510" max="510" width="76.08203125" style="332" customWidth="1"/>
    <col min="511" max="511" width="6.6640625" style="332" customWidth="1"/>
    <col min="512" max="513" width="7.08203125" style="332" customWidth="1"/>
    <col min="514" max="520" width="8" style="332" customWidth="1"/>
    <col min="521" max="521" width="9.6640625" style="332" customWidth="1"/>
    <col min="522" max="764" width="9.08203125" style="332"/>
    <col min="765" max="765" width="5" style="332" customWidth="1"/>
    <col min="766" max="766" width="76.08203125" style="332" customWidth="1"/>
    <col min="767" max="767" width="6.6640625" style="332" customWidth="1"/>
    <col min="768" max="769" width="7.08203125" style="332" customWidth="1"/>
    <col min="770" max="776" width="8" style="332" customWidth="1"/>
    <col min="777" max="777" width="9.6640625" style="332" customWidth="1"/>
    <col min="778" max="1020" width="9.08203125" style="332"/>
    <col min="1021" max="1021" width="5" style="332" customWidth="1"/>
    <col min="1022" max="1022" width="76.08203125" style="332" customWidth="1"/>
    <col min="1023" max="1023" width="6.6640625" style="332" customWidth="1"/>
    <col min="1024" max="1025" width="7.08203125" style="332" customWidth="1"/>
    <col min="1026" max="1032" width="8" style="332" customWidth="1"/>
    <col min="1033" max="1033" width="9.6640625" style="332" customWidth="1"/>
    <col min="1034" max="1276" width="9.08203125" style="332"/>
    <col min="1277" max="1277" width="5" style="332" customWidth="1"/>
    <col min="1278" max="1278" width="76.08203125" style="332" customWidth="1"/>
    <col min="1279" max="1279" width="6.6640625" style="332" customWidth="1"/>
    <col min="1280" max="1281" width="7.08203125" style="332" customWidth="1"/>
    <col min="1282" max="1288" width="8" style="332" customWidth="1"/>
    <col min="1289" max="1289" width="9.6640625" style="332" customWidth="1"/>
    <col min="1290" max="1532" width="9.08203125" style="332"/>
    <col min="1533" max="1533" width="5" style="332" customWidth="1"/>
    <col min="1534" max="1534" width="76.08203125" style="332" customWidth="1"/>
    <col min="1535" max="1535" width="6.6640625" style="332" customWidth="1"/>
    <col min="1536" max="1537" width="7.08203125" style="332" customWidth="1"/>
    <col min="1538" max="1544" width="8" style="332" customWidth="1"/>
    <col min="1545" max="1545" width="9.6640625" style="332" customWidth="1"/>
    <col min="1546" max="1788" width="9.08203125" style="332"/>
    <col min="1789" max="1789" width="5" style="332" customWidth="1"/>
    <col min="1790" max="1790" width="76.08203125" style="332" customWidth="1"/>
    <col min="1791" max="1791" width="6.6640625" style="332" customWidth="1"/>
    <col min="1792" max="1793" width="7.08203125" style="332" customWidth="1"/>
    <col min="1794" max="1800" width="8" style="332" customWidth="1"/>
    <col min="1801" max="1801" width="9.6640625" style="332" customWidth="1"/>
    <col min="1802" max="2044" width="9.08203125" style="332"/>
    <col min="2045" max="2045" width="5" style="332" customWidth="1"/>
    <col min="2046" max="2046" width="76.08203125" style="332" customWidth="1"/>
    <col min="2047" max="2047" width="6.6640625" style="332" customWidth="1"/>
    <col min="2048" max="2049" width="7.08203125" style="332" customWidth="1"/>
    <col min="2050" max="2056" width="8" style="332" customWidth="1"/>
    <col min="2057" max="2057" width="9.6640625" style="332" customWidth="1"/>
    <col min="2058" max="2300" width="9.08203125" style="332"/>
    <col min="2301" max="2301" width="5" style="332" customWidth="1"/>
    <col min="2302" max="2302" width="76.08203125" style="332" customWidth="1"/>
    <col min="2303" max="2303" width="6.6640625" style="332" customWidth="1"/>
    <col min="2304" max="2305" width="7.08203125" style="332" customWidth="1"/>
    <col min="2306" max="2312" width="8" style="332" customWidth="1"/>
    <col min="2313" max="2313" width="9.6640625" style="332" customWidth="1"/>
    <col min="2314" max="2556" width="9.08203125" style="332"/>
    <col min="2557" max="2557" width="5" style="332" customWidth="1"/>
    <col min="2558" max="2558" width="76.08203125" style="332" customWidth="1"/>
    <col min="2559" max="2559" width="6.6640625" style="332" customWidth="1"/>
    <col min="2560" max="2561" width="7.08203125" style="332" customWidth="1"/>
    <col min="2562" max="2568" width="8" style="332" customWidth="1"/>
    <col min="2569" max="2569" width="9.6640625" style="332" customWidth="1"/>
    <col min="2570" max="2812" width="9.08203125" style="332"/>
    <col min="2813" max="2813" width="5" style="332" customWidth="1"/>
    <col min="2814" max="2814" width="76.08203125" style="332" customWidth="1"/>
    <col min="2815" max="2815" width="6.6640625" style="332" customWidth="1"/>
    <col min="2816" max="2817" width="7.08203125" style="332" customWidth="1"/>
    <col min="2818" max="2824" width="8" style="332" customWidth="1"/>
    <col min="2825" max="2825" width="9.6640625" style="332" customWidth="1"/>
    <col min="2826" max="3068" width="9.08203125" style="332"/>
    <col min="3069" max="3069" width="5" style="332" customWidth="1"/>
    <col min="3070" max="3070" width="76.08203125" style="332" customWidth="1"/>
    <col min="3071" max="3071" width="6.6640625" style="332" customWidth="1"/>
    <col min="3072" max="3073" width="7.08203125" style="332" customWidth="1"/>
    <col min="3074" max="3080" width="8" style="332" customWidth="1"/>
    <col min="3081" max="3081" width="9.6640625" style="332" customWidth="1"/>
    <col min="3082" max="3324" width="9.08203125" style="332"/>
    <col min="3325" max="3325" width="5" style="332" customWidth="1"/>
    <col min="3326" max="3326" width="76.08203125" style="332" customWidth="1"/>
    <col min="3327" max="3327" width="6.6640625" style="332" customWidth="1"/>
    <col min="3328" max="3329" width="7.08203125" style="332" customWidth="1"/>
    <col min="3330" max="3336" width="8" style="332" customWidth="1"/>
    <col min="3337" max="3337" width="9.6640625" style="332" customWidth="1"/>
    <col min="3338" max="3580" width="9.08203125" style="332"/>
    <col min="3581" max="3581" width="5" style="332" customWidth="1"/>
    <col min="3582" max="3582" width="76.08203125" style="332" customWidth="1"/>
    <col min="3583" max="3583" width="6.6640625" style="332" customWidth="1"/>
    <col min="3584" max="3585" width="7.08203125" style="332" customWidth="1"/>
    <col min="3586" max="3592" width="8" style="332" customWidth="1"/>
    <col min="3593" max="3593" width="9.6640625" style="332" customWidth="1"/>
    <col min="3594" max="3836" width="9.08203125" style="332"/>
    <col min="3837" max="3837" width="5" style="332" customWidth="1"/>
    <col min="3838" max="3838" width="76.08203125" style="332" customWidth="1"/>
    <col min="3839" max="3839" width="6.6640625" style="332" customWidth="1"/>
    <col min="3840" max="3841" width="7.08203125" style="332" customWidth="1"/>
    <col min="3842" max="3848" width="8" style="332" customWidth="1"/>
    <col min="3849" max="3849" width="9.6640625" style="332" customWidth="1"/>
    <col min="3850" max="4092" width="9.08203125" style="332"/>
    <col min="4093" max="4093" width="5" style="332" customWidth="1"/>
    <col min="4094" max="4094" width="76.08203125" style="332" customWidth="1"/>
    <col min="4095" max="4095" width="6.6640625" style="332" customWidth="1"/>
    <col min="4096" max="4097" width="7.08203125" style="332" customWidth="1"/>
    <col min="4098" max="4104" width="8" style="332" customWidth="1"/>
    <col min="4105" max="4105" width="9.6640625" style="332" customWidth="1"/>
    <col min="4106" max="4348" width="9.08203125" style="332"/>
    <col min="4349" max="4349" width="5" style="332" customWidth="1"/>
    <col min="4350" max="4350" width="76.08203125" style="332" customWidth="1"/>
    <col min="4351" max="4351" width="6.6640625" style="332" customWidth="1"/>
    <col min="4352" max="4353" width="7.08203125" style="332" customWidth="1"/>
    <col min="4354" max="4360" width="8" style="332" customWidth="1"/>
    <col min="4361" max="4361" width="9.6640625" style="332" customWidth="1"/>
    <col min="4362" max="4604" width="9.08203125" style="332"/>
    <col min="4605" max="4605" width="5" style="332" customWidth="1"/>
    <col min="4606" max="4606" width="76.08203125" style="332" customWidth="1"/>
    <col min="4607" max="4607" width="6.6640625" style="332" customWidth="1"/>
    <col min="4608" max="4609" width="7.08203125" style="332" customWidth="1"/>
    <col min="4610" max="4616" width="8" style="332" customWidth="1"/>
    <col min="4617" max="4617" width="9.6640625" style="332" customWidth="1"/>
    <col min="4618" max="4860" width="9.08203125" style="332"/>
    <col min="4861" max="4861" width="5" style="332" customWidth="1"/>
    <col min="4862" max="4862" width="76.08203125" style="332" customWidth="1"/>
    <col min="4863" max="4863" width="6.6640625" style="332" customWidth="1"/>
    <col min="4864" max="4865" width="7.08203125" style="332" customWidth="1"/>
    <col min="4866" max="4872" width="8" style="332" customWidth="1"/>
    <col min="4873" max="4873" width="9.6640625" style="332" customWidth="1"/>
    <col min="4874" max="5116" width="9.08203125" style="332"/>
    <col min="5117" max="5117" width="5" style="332" customWidth="1"/>
    <col min="5118" max="5118" width="76.08203125" style="332" customWidth="1"/>
    <col min="5119" max="5119" width="6.6640625" style="332" customWidth="1"/>
    <col min="5120" max="5121" width="7.08203125" style="332" customWidth="1"/>
    <col min="5122" max="5128" width="8" style="332" customWidth="1"/>
    <col min="5129" max="5129" width="9.6640625" style="332" customWidth="1"/>
    <col min="5130" max="5372" width="9.08203125" style="332"/>
    <col min="5373" max="5373" width="5" style="332" customWidth="1"/>
    <col min="5374" max="5374" width="76.08203125" style="332" customWidth="1"/>
    <col min="5375" max="5375" width="6.6640625" style="332" customWidth="1"/>
    <col min="5376" max="5377" width="7.08203125" style="332" customWidth="1"/>
    <col min="5378" max="5384" width="8" style="332" customWidth="1"/>
    <col min="5385" max="5385" width="9.6640625" style="332" customWidth="1"/>
    <col min="5386" max="5628" width="9.08203125" style="332"/>
    <col min="5629" max="5629" width="5" style="332" customWidth="1"/>
    <col min="5630" max="5630" width="76.08203125" style="332" customWidth="1"/>
    <col min="5631" max="5631" width="6.6640625" style="332" customWidth="1"/>
    <col min="5632" max="5633" width="7.08203125" style="332" customWidth="1"/>
    <col min="5634" max="5640" width="8" style="332" customWidth="1"/>
    <col min="5641" max="5641" width="9.6640625" style="332" customWidth="1"/>
    <col min="5642" max="5884" width="9.08203125" style="332"/>
    <col min="5885" max="5885" width="5" style="332" customWidth="1"/>
    <col min="5886" max="5886" width="76.08203125" style="332" customWidth="1"/>
    <col min="5887" max="5887" width="6.6640625" style="332" customWidth="1"/>
    <col min="5888" max="5889" width="7.08203125" style="332" customWidth="1"/>
    <col min="5890" max="5896" width="8" style="332" customWidth="1"/>
    <col min="5897" max="5897" width="9.6640625" style="332" customWidth="1"/>
    <col min="5898" max="6140" width="9.08203125" style="332"/>
    <col min="6141" max="6141" width="5" style="332" customWidth="1"/>
    <col min="6142" max="6142" width="76.08203125" style="332" customWidth="1"/>
    <col min="6143" max="6143" width="6.6640625" style="332" customWidth="1"/>
    <col min="6144" max="6145" width="7.08203125" style="332" customWidth="1"/>
    <col min="6146" max="6152" width="8" style="332" customWidth="1"/>
    <col min="6153" max="6153" width="9.6640625" style="332" customWidth="1"/>
    <col min="6154" max="6396" width="9.08203125" style="332"/>
    <col min="6397" max="6397" width="5" style="332" customWidth="1"/>
    <col min="6398" max="6398" width="76.08203125" style="332" customWidth="1"/>
    <col min="6399" max="6399" width="6.6640625" style="332" customWidth="1"/>
    <col min="6400" max="6401" width="7.08203125" style="332" customWidth="1"/>
    <col min="6402" max="6408" width="8" style="332" customWidth="1"/>
    <col min="6409" max="6409" width="9.6640625" style="332" customWidth="1"/>
    <col min="6410" max="6652" width="9.08203125" style="332"/>
    <col min="6653" max="6653" width="5" style="332" customWidth="1"/>
    <col min="6654" max="6654" width="76.08203125" style="332" customWidth="1"/>
    <col min="6655" max="6655" width="6.6640625" style="332" customWidth="1"/>
    <col min="6656" max="6657" width="7.08203125" style="332" customWidth="1"/>
    <col min="6658" max="6664" width="8" style="332" customWidth="1"/>
    <col min="6665" max="6665" width="9.6640625" style="332" customWidth="1"/>
    <col min="6666" max="6908" width="9.08203125" style="332"/>
    <col min="6909" max="6909" width="5" style="332" customWidth="1"/>
    <col min="6910" max="6910" width="76.08203125" style="332" customWidth="1"/>
    <col min="6911" max="6911" width="6.6640625" style="332" customWidth="1"/>
    <col min="6912" max="6913" width="7.08203125" style="332" customWidth="1"/>
    <col min="6914" max="6920" width="8" style="332" customWidth="1"/>
    <col min="6921" max="6921" width="9.6640625" style="332" customWidth="1"/>
    <col min="6922" max="7164" width="9.08203125" style="332"/>
    <col min="7165" max="7165" width="5" style="332" customWidth="1"/>
    <col min="7166" max="7166" width="76.08203125" style="332" customWidth="1"/>
    <col min="7167" max="7167" width="6.6640625" style="332" customWidth="1"/>
    <col min="7168" max="7169" width="7.08203125" style="332" customWidth="1"/>
    <col min="7170" max="7176" width="8" style="332" customWidth="1"/>
    <col min="7177" max="7177" width="9.6640625" style="332" customWidth="1"/>
    <col min="7178" max="7420" width="9.08203125" style="332"/>
    <col min="7421" max="7421" width="5" style="332" customWidth="1"/>
    <col min="7422" max="7422" width="76.08203125" style="332" customWidth="1"/>
    <col min="7423" max="7423" width="6.6640625" style="332" customWidth="1"/>
    <col min="7424" max="7425" width="7.08203125" style="332" customWidth="1"/>
    <col min="7426" max="7432" width="8" style="332" customWidth="1"/>
    <col min="7433" max="7433" width="9.6640625" style="332" customWidth="1"/>
    <col min="7434" max="7676" width="9.08203125" style="332"/>
    <col min="7677" max="7677" width="5" style="332" customWidth="1"/>
    <col min="7678" max="7678" width="76.08203125" style="332" customWidth="1"/>
    <col min="7679" max="7679" width="6.6640625" style="332" customWidth="1"/>
    <col min="7680" max="7681" width="7.08203125" style="332" customWidth="1"/>
    <col min="7682" max="7688" width="8" style="332" customWidth="1"/>
    <col min="7689" max="7689" width="9.6640625" style="332" customWidth="1"/>
    <col min="7690" max="7932" width="9.08203125" style="332"/>
    <col min="7933" max="7933" width="5" style="332" customWidth="1"/>
    <col min="7934" max="7934" width="76.08203125" style="332" customWidth="1"/>
    <col min="7935" max="7935" width="6.6640625" style="332" customWidth="1"/>
    <col min="7936" max="7937" width="7.08203125" style="332" customWidth="1"/>
    <col min="7938" max="7944" width="8" style="332" customWidth="1"/>
    <col min="7945" max="7945" width="9.6640625" style="332" customWidth="1"/>
    <col min="7946" max="8188" width="9.08203125" style="332"/>
    <col min="8189" max="8189" width="5" style="332" customWidth="1"/>
    <col min="8190" max="8190" width="76.08203125" style="332" customWidth="1"/>
    <col min="8191" max="8191" width="6.6640625" style="332" customWidth="1"/>
    <col min="8192" max="8193" width="7.08203125" style="332" customWidth="1"/>
    <col min="8194" max="8200" width="8" style="332" customWidth="1"/>
    <col min="8201" max="8201" width="9.6640625" style="332" customWidth="1"/>
    <col min="8202" max="8444" width="9.08203125" style="332"/>
    <col min="8445" max="8445" width="5" style="332" customWidth="1"/>
    <col min="8446" max="8446" width="76.08203125" style="332" customWidth="1"/>
    <col min="8447" max="8447" width="6.6640625" style="332" customWidth="1"/>
    <col min="8448" max="8449" width="7.08203125" style="332" customWidth="1"/>
    <col min="8450" max="8456" width="8" style="332" customWidth="1"/>
    <col min="8457" max="8457" width="9.6640625" style="332" customWidth="1"/>
    <col min="8458" max="8700" width="9.08203125" style="332"/>
    <col min="8701" max="8701" width="5" style="332" customWidth="1"/>
    <col min="8702" max="8702" width="76.08203125" style="332" customWidth="1"/>
    <col min="8703" max="8703" width="6.6640625" style="332" customWidth="1"/>
    <col min="8704" max="8705" width="7.08203125" style="332" customWidth="1"/>
    <col min="8706" max="8712" width="8" style="332" customWidth="1"/>
    <col min="8713" max="8713" width="9.6640625" style="332" customWidth="1"/>
    <col min="8714" max="8956" width="9.08203125" style="332"/>
    <col min="8957" max="8957" width="5" style="332" customWidth="1"/>
    <col min="8958" max="8958" width="76.08203125" style="332" customWidth="1"/>
    <col min="8959" max="8959" width="6.6640625" style="332" customWidth="1"/>
    <col min="8960" max="8961" width="7.08203125" style="332" customWidth="1"/>
    <col min="8962" max="8968" width="8" style="332" customWidth="1"/>
    <col min="8969" max="8969" width="9.6640625" style="332" customWidth="1"/>
    <col min="8970" max="9212" width="9.08203125" style="332"/>
    <col min="9213" max="9213" width="5" style="332" customWidth="1"/>
    <col min="9214" max="9214" width="76.08203125" style="332" customWidth="1"/>
    <col min="9215" max="9215" width="6.6640625" style="332" customWidth="1"/>
    <col min="9216" max="9217" width="7.08203125" style="332" customWidth="1"/>
    <col min="9218" max="9224" width="8" style="332" customWidth="1"/>
    <col min="9225" max="9225" width="9.6640625" style="332" customWidth="1"/>
    <col min="9226" max="9468" width="9.08203125" style="332"/>
    <col min="9469" max="9469" width="5" style="332" customWidth="1"/>
    <col min="9470" max="9470" width="76.08203125" style="332" customWidth="1"/>
    <col min="9471" max="9471" width="6.6640625" style="332" customWidth="1"/>
    <col min="9472" max="9473" width="7.08203125" style="332" customWidth="1"/>
    <col min="9474" max="9480" width="8" style="332" customWidth="1"/>
    <col min="9481" max="9481" width="9.6640625" style="332" customWidth="1"/>
    <col min="9482" max="9724" width="9.08203125" style="332"/>
    <col min="9725" max="9725" width="5" style="332" customWidth="1"/>
    <col min="9726" max="9726" width="76.08203125" style="332" customWidth="1"/>
    <col min="9727" max="9727" width="6.6640625" style="332" customWidth="1"/>
    <col min="9728" max="9729" width="7.08203125" style="332" customWidth="1"/>
    <col min="9730" max="9736" width="8" style="332" customWidth="1"/>
    <col min="9737" max="9737" width="9.6640625" style="332" customWidth="1"/>
    <col min="9738" max="9980" width="9.08203125" style="332"/>
    <col min="9981" max="9981" width="5" style="332" customWidth="1"/>
    <col min="9982" max="9982" width="76.08203125" style="332" customWidth="1"/>
    <col min="9983" max="9983" width="6.6640625" style="332" customWidth="1"/>
    <col min="9984" max="9985" width="7.08203125" style="332" customWidth="1"/>
    <col min="9986" max="9992" width="8" style="332" customWidth="1"/>
    <col min="9993" max="9993" width="9.6640625" style="332" customWidth="1"/>
    <col min="9994" max="10236" width="9.08203125" style="332"/>
    <col min="10237" max="10237" width="5" style="332" customWidth="1"/>
    <col min="10238" max="10238" width="76.08203125" style="332" customWidth="1"/>
    <col min="10239" max="10239" width="6.6640625" style="332" customWidth="1"/>
    <col min="10240" max="10241" width="7.08203125" style="332" customWidth="1"/>
    <col min="10242" max="10248" width="8" style="332" customWidth="1"/>
    <col min="10249" max="10249" width="9.6640625" style="332" customWidth="1"/>
    <col min="10250" max="10492" width="9.08203125" style="332"/>
    <col min="10493" max="10493" width="5" style="332" customWidth="1"/>
    <col min="10494" max="10494" width="76.08203125" style="332" customWidth="1"/>
    <col min="10495" max="10495" width="6.6640625" style="332" customWidth="1"/>
    <col min="10496" max="10497" width="7.08203125" style="332" customWidth="1"/>
    <col min="10498" max="10504" width="8" style="332" customWidth="1"/>
    <col min="10505" max="10505" width="9.6640625" style="332" customWidth="1"/>
    <col min="10506" max="10748" width="9.08203125" style="332"/>
    <col min="10749" max="10749" width="5" style="332" customWidth="1"/>
    <col min="10750" max="10750" width="76.08203125" style="332" customWidth="1"/>
    <col min="10751" max="10751" width="6.6640625" style="332" customWidth="1"/>
    <col min="10752" max="10753" width="7.08203125" style="332" customWidth="1"/>
    <col min="10754" max="10760" width="8" style="332" customWidth="1"/>
    <col min="10761" max="10761" width="9.6640625" style="332" customWidth="1"/>
    <col min="10762" max="11004" width="9.08203125" style="332"/>
    <col min="11005" max="11005" width="5" style="332" customWidth="1"/>
    <col min="11006" max="11006" width="76.08203125" style="332" customWidth="1"/>
    <col min="11007" max="11007" width="6.6640625" style="332" customWidth="1"/>
    <col min="11008" max="11009" width="7.08203125" style="332" customWidth="1"/>
    <col min="11010" max="11016" width="8" style="332" customWidth="1"/>
    <col min="11017" max="11017" width="9.6640625" style="332" customWidth="1"/>
    <col min="11018" max="11260" width="9.08203125" style="332"/>
    <col min="11261" max="11261" width="5" style="332" customWidth="1"/>
    <col min="11262" max="11262" width="76.08203125" style="332" customWidth="1"/>
    <col min="11263" max="11263" width="6.6640625" style="332" customWidth="1"/>
    <col min="11264" max="11265" width="7.08203125" style="332" customWidth="1"/>
    <col min="11266" max="11272" width="8" style="332" customWidth="1"/>
    <col min="11273" max="11273" width="9.6640625" style="332" customWidth="1"/>
    <col min="11274" max="11516" width="9.08203125" style="332"/>
    <col min="11517" max="11517" width="5" style="332" customWidth="1"/>
    <col min="11518" max="11518" width="76.08203125" style="332" customWidth="1"/>
    <col min="11519" max="11519" width="6.6640625" style="332" customWidth="1"/>
    <col min="11520" max="11521" width="7.08203125" style="332" customWidth="1"/>
    <col min="11522" max="11528" width="8" style="332" customWidth="1"/>
    <col min="11529" max="11529" width="9.6640625" style="332" customWidth="1"/>
    <col min="11530" max="11772" width="9.08203125" style="332"/>
    <col min="11773" max="11773" width="5" style="332" customWidth="1"/>
    <col min="11774" max="11774" width="76.08203125" style="332" customWidth="1"/>
    <col min="11775" max="11775" width="6.6640625" style="332" customWidth="1"/>
    <col min="11776" max="11777" width="7.08203125" style="332" customWidth="1"/>
    <col min="11778" max="11784" width="8" style="332" customWidth="1"/>
    <col min="11785" max="11785" width="9.6640625" style="332" customWidth="1"/>
    <col min="11786" max="12028" width="9.08203125" style="332"/>
    <col min="12029" max="12029" width="5" style="332" customWidth="1"/>
    <col min="12030" max="12030" width="76.08203125" style="332" customWidth="1"/>
    <col min="12031" max="12031" width="6.6640625" style="332" customWidth="1"/>
    <col min="12032" max="12033" width="7.08203125" style="332" customWidth="1"/>
    <col min="12034" max="12040" width="8" style="332" customWidth="1"/>
    <col min="12041" max="12041" width="9.6640625" style="332" customWidth="1"/>
    <col min="12042" max="12284" width="9.08203125" style="332"/>
    <col min="12285" max="12285" width="5" style="332" customWidth="1"/>
    <col min="12286" max="12286" width="76.08203125" style="332" customWidth="1"/>
    <col min="12287" max="12287" width="6.6640625" style="332" customWidth="1"/>
    <col min="12288" max="12289" width="7.08203125" style="332" customWidth="1"/>
    <col min="12290" max="12296" width="8" style="332" customWidth="1"/>
    <col min="12297" max="12297" width="9.6640625" style="332" customWidth="1"/>
    <col min="12298" max="12540" width="9.08203125" style="332"/>
    <col min="12541" max="12541" width="5" style="332" customWidth="1"/>
    <col min="12542" max="12542" width="76.08203125" style="332" customWidth="1"/>
    <col min="12543" max="12543" width="6.6640625" style="332" customWidth="1"/>
    <col min="12544" max="12545" width="7.08203125" style="332" customWidth="1"/>
    <col min="12546" max="12552" width="8" style="332" customWidth="1"/>
    <col min="12553" max="12553" width="9.6640625" style="332" customWidth="1"/>
    <col min="12554" max="12796" width="9.08203125" style="332"/>
    <col min="12797" max="12797" width="5" style="332" customWidth="1"/>
    <col min="12798" max="12798" width="76.08203125" style="332" customWidth="1"/>
    <col min="12799" max="12799" width="6.6640625" style="332" customWidth="1"/>
    <col min="12800" max="12801" width="7.08203125" style="332" customWidth="1"/>
    <col min="12802" max="12808" width="8" style="332" customWidth="1"/>
    <col min="12809" max="12809" width="9.6640625" style="332" customWidth="1"/>
    <col min="12810" max="13052" width="9.08203125" style="332"/>
    <col min="13053" max="13053" width="5" style="332" customWidth="1"/>
    <col min="13054" max="13054" width="76.08203125" style="332" customWidth="1"/>
    <col min="13055" max="13055" width="6.6640625" style="332" customWidth="1"/>
    <col min="13056" max="13057" width="7.08203125" style="332" customWidth="1"/>
    <col min="13058" max="13064" width="8" style="332" customWidth="1"/>
    <col min="13065" max="13065" width="9.6640625" style="332" customWidth="1"/>
    <col min="13066" max="13308" width="9.08203125" style="332"/>
    <col min="13309" max="13309" width="5" style="332" customWidth="1"/>
    <col min="13310" max="13310" width="76.08203125" style="332" customWidth="1"/>
    <col min="13311" max="13311" width="6.6640625" style="332" customWidth="1"/>
    <col min="13312" max="13313" width="7.08203125" style="332" customWidth="1"/>
    <col min="13314" max="13320" width="8" style="332" customWidth="1"/>
    <col min="13321" max="13321" width="9.6640625" style="332" customWidth="1"/>
    <col min="13322" max="13564" width="9.08203125" style="332"/>
    <col min="13565" max="13565" width="5" style="332" customWidth="1"/>
    <col min="13566" max="13566" width="76.08203125" style="332" customWidth="1"/>
    <col min="13567" max="13567" width="6.6640625" style="332" customWidth="1"/>
    <col min="13568" max="13569" width="7.08203125" style="332" customWidth="1"/>
    <col min="13570" max="13576" width="8" style="332" customWidth="1"/>
    <col min="13577" max="13577" width="9.6640625" style="332" customWidth="1"/>
    <col min="13578" max="13820" width="9.08203125" style="332"/>
    <col min="13821" max="13821" width="5" style="332" customWidth="1"/>
    <col min="13822" max="13822" width="76.08203125" style="332" customWidth="1"/>
    <col min="13823" max="13823" width="6.6640625" style="332" customWidth="1"/>
    <col min="13824" max="13825" width="7.08203125" style="332" customWidth="1"/>
    <col min="13826" max="13832" width="8" style="332" customWidth="1"/>
    <col min="13833" max="13833" width="9.6640625" style="332" customWidth="1"/>
    <col min="13834" max="14076" width="9.08203125" style="332"/>
    <col min="14077" max="14077" width="5" style="332" customWidth="1"/>
    <col min="14078" max="14078" width="76.08203125" style="332" customWidth="1"/>
    <col min="14079" max="14079" width="6.6640625" style="332" customWidth="1"/>
    <col min="14080" max="14081" width="7.08203125" style="332" customWidth="1"/>
    <col min="14082" max="14088" width="8" style="332" customWidth="1"/>
    <col min="14089" max="14089" width="9.6640625" style="332" customWidth="1"/>
    <col min="14090" max="14332" width="9.08203125" style="332"/>
    <col min="14333" max="14333" width="5" style="332" customWidth="1"/>
    <col min="14334" max="14334" width="76.08203125" style="332" customWidth="1"/>
    <col min="14335" max="14335" width="6.6640625" style="332" customWidth="1"/>
    <col min="14336" max="14337" width="7.08203125" style="332" customWidth="1"/>
    <col min="14338" max="14344" width="8" style="332" customWidth="1"/>
    <col min="14345" max="14345" width="9.6640625" style="332" customWidth="1"/>
    <col min="14346" max="14588" width="9.08203125" style="332"/>
    <col min="14589" max="14589" width="5" style="332" customWidth="1"/>
    <col min="14590" max="14590" width="76.08203125" style="332" customWidth="1"/>
    <col min="14591" max="14591" width="6.6640625" style="332" customWidth="1"/>
    <col min="14592" max="14593" width="7.08203125" style="332" customWidth="1"/>
    <col min="14594" max="14600" width="8" style="332" customWidth="1"/>
    <col min="14601" max="14601" width="9.6640625" style="332" customWidth="1"/>
    <col min="14602" max="14844" width="9.08203125" style="332"/>
    <col min="14845" max="14845" width="5" style="332" customWidth="1"/>
    <col min="14846" max="14846" width="76.08203125" style="332" customWidth="1"/>
    <col min="14847" max="14847" width="6.6640625" style="332" customWidth="1"/>
    <col min="14848" max="14849" width="7.08203125" style="332" customWidth="1"/>
    <col min="14850" max="14856" width="8" style="332" customWidth="1"/>
    <col min="14857" max="14857" width="9.6640625" style="332" customWidth="1"/>
    <col min="14858" max="15100" width="9.08203125" style="332"/>
    <col min="15101" max="15101" width="5" style="332" customWidth="1"/>
    <col min="15102" max="15102" width="76.08203125" style="332" customWidth="1"/>
    <col min="15103" max="15103" width="6.6640625" style="332" customWidth="1"/>
    <col min="15104" max="15105" width="7.08203125" style="332" customWidth="1"/>
    <col min="15106" max="15112" width="8" style="332" customWidth="1"/>
    <col min="15113" max="15113" width="9.6640625" style="332" customWidth="1"/>
    <col min="15114" max="15356" width="9.08203125" style="332"/>
    <col min="15357" max="15357" width="5" style="332" customWidth="1"/>
    <col min="15358" max="15358" width="76.08203125" style="332" customWidth="1"/>
    <col min="15359" max="15359" width="6.6640625" style="332" customWidth="1"/>
    <col min="15360" max="15361" width="7.08203125" style="332" customWidth="1"/>
    <col min="15362" max="15368" width="8" style="332" customWidth="1"/>
    <col min="15369" max="15369" width="9.6640625" style="332" customWidth="1"/>
    <col min="15370" max="15612" width="9.08203125" style="332"/>
    <col min="15613" max="15613" width="5" style="332" customWidth="1"/>
    <col min="15614" max="15614" width="76.08203125" style="332" customWidth="1"/>
    <col min="15615" max="15615" width="6.6640625" style="332" customWidth="1"/>
    <col min="15616" max="15617" width="7.08203125" style="332" customWidth="1"/>
    <col min="15618" max="15624" width="8" style="332" customWidth="1"/>
    <col min="15625" max="15625" width="9.6640625" style="332" customWidth="1"/>
    <col min="15626" max="15868" width="9.08203125" style="332"/>
    <col min="15869" max="15869" width="5" style="332" customWidth="1"/>
    <col min="15870" max="15870" width="76.08203125" style="332" customWidth="1"/>
    <col min="15871" max="15871" width="6.6640625" style="332" customWidth="1"/>
    <col min="15872" max="15873" width="7.08203125" style="332" customWidth="1"/>
    <col min="15874" max="15880" width="8" style="332" customWidth="1"/>
    <col min="15881" max="15881" width="9.6640625" style="332" customWidth="1"/>
    <col min="15882" max="16124" width="9.08203125" style="332"/>
    <col min="16125" max="16125" width="5" style="332" customWidth="1"/>
    <col min="16126" max="16126" width="76.08203125" style="332" customWidth="1"/>
    <col min="16127" max="16127" width="6.6640625" style="332" customWidth="1"/>
    <col min="16128" max="16129" width="7.08203125" style="332" customWidth="1"/>
    <col min="16130" max="16136" width="8" style="332" customWidth="1"/>
    <col min="16137" max="16137" width="9.6640625" style="332" customWidth="1"/>
    <col min="16138" max="16384" width="9.08203125" style="332"/>
  </cols>
  <sheetData>
    <row r="1" spans="1:13" ht="22.5" customHeight="1">
      <c r="A1" s="1822" t="s">
        <v>2912</v>
      </c>
      <c r="B1" s="1822"/>
      <c r="C1" s="1822"/>
      <c r="D1" s="1822"/>
      <c r="E1" s="1822"/>
      <c r="F1" s="1822"/>
      <c r="G1" s="1822"/>
      <c r="H1" s="1822"/>
      <c r="I1" s="1822"/>
      <c r="J1" s="1822"/>
      <c r="K1" s="1822"/>
      <c r="L1" s="1822"/>
      <c r="M1" s="1822"/>
    </row>
    <row r="2" spans="1:13" s="1093" customFormat="1" ht="18" hidden="1" customHeight="1">
      <c r="A2" s="1772"/>
      <c r="B2" s="1772"/>
      <c r="C2" s="1092"/>
      <c r="D2" s="1092"/>
      <c r="E2" s="1092"/>
      <c r="F2" s="1088"/>
      <c r="G2" s="1088"/>
      <c r="H2" s="1088"/>
      <c r="I2" s="1088"/>
      <c r="J2" s="1088"/>
      <c r="K2" s="1774" t="s">
        <v>1901</v>
      </c>
      <c r="L2" s="1774"/>
      <c r="M2" s="1774"/>
    </row>
    <row r="3" spans="1:13" s="377" customFormat="1" ht="18" customHeight="1">
      <c r="A3" s="1714" t="s">
        <v>58</v>
      </c>
      <c r="B3" s="1714"/>
      <c r="C3" s="1714"/>
      <c r="D3" s="1714"/>
      <c r="E3" s="1714"/>
      <c r="F3" s="1714"/>
      <c r="G3" s="1714"/>
      <c r="H3" s="1714"/>
      <c r="I3" s="1714"/>
      <c r="J3" s="1714"/>
      <c r="K3" s="1714"/>
      <c r="L3" s="1714"/>
      <c r="M3" s="1714"/>
    </row>
    <row r="4" spans="1:13" s="1094" customFormat="1" ht="18" customHeight="1">
      <c r="A4" s="1716" t="e">
        <f>#REF!</f>
        <v>#REF!</v>
      </c>
      <c r="B4" s="1716"/>
      <c r="C4" s="1716"/>
      <c r="D4" s="1716"/>
      <c r="E4" s="1716"/>
      <c r="F4" s="1716"/>
      <c r="G4" s="1716"/>
      <c r="H4" s="1716"/>
      <c r="I4" s="1716"/>
      <c r="J4" s="1716"/>
      <c r="K4" s="1716"/>
      <c r="L4" s="1716"/>
      <c r="M4" s="1716"/>
    </row>
    <row r="5" spans="1:13" s="377" customFormat="1" ht="18" customHeight="1">
      <c r="A5" s="1773" t="s">
        <v>3</v>
      </c>
      <c r="B5" s="1773"/>
      <c r="C5" s="1773"/>
      <c r="D5" s="1773"/>
      <c r="E5" s="1773"/>
      <c r="F5" s="1773"/>
      <c r="G5" s="1773"/>
      <c r="H5" s="1773"/>
      <c r="I5" s="1773"/>
      <c r="J5" s="1773"/>
      <c r="K5" s="1773"/>
      <c r="L5" s="1773"/>
      <c r="M5" s="1773"/>
    </row>
    <row r="6" spans="1:13" ht="26.25" customHeight="1">
      <c r="A6" s="1778" t="s">
        <v>4</v>
      </c>
      <c r="B6" s="1778" t="s">
        <v>5</v>
      </c>
      <c r="C6" s="1778" t="s">
        <v>826</v>
      </c>
      <c r="D6" s="1778" t="s">
        <v>738</v>
      </c>
      <c r="E6" s="1778" t="s">
        <v>739</v>
      </c>
      <c r="F6" s="1727" t="s">
        <v>2537</v>
      </c>
      <c r="G6" s="1044"/>
      <c r="H6" s="1778" t="s">
        <v>746</v>
      </c>
      <c r="I6" s="1778"/>
      <c r="J6" s="1778" t="s">
        <v>725</v>
      </c>
      <c r="K6" s="1778" t="s">
        <v>726</v>
      </c>
      <c r="L6" s="1778" t="s">
        <v>36</v>
      </c>
      <c r="M6" s="1778" t="s">
        <v>33</v>
      </c>
    </row>
    <row r="7" spans="1:13" ht="34.5" customHeight="1">
      <c r="A7" s="1778"/>
      <c r="B7" s="1778"/>
      <c r="C7" s="1778"/>
      <c r="D7" s="1778"/>
      <c r="E7" s="1778"/>
      <c r="F7" s="1821"/>
      <c r="G7" s="65" t="s">
        <v>720</v>
      </c>
      <c r="H7" s="65" t="s">
        <v>719</v>
      </c>
      <c r="I7" s="65" t="s">
        <v>720</v>
      </c>
      <c r="J7" s="1778"/>
      <c r="K7" s="1778"/>
      <c r="L7" s="1778"/>
      <c r="M7" s="1778"/>
    </row>
    <row r="8" spans="1:13" s="483" customFormat="1" ht="18" hidden="1" customHeight="1">
      <c r="A8" s="484" t="s">
        <v>10</v>
      </c>
      <c r="B8" s="484" t="s">
        <v>12</v>
      </c>
      <c r="C8" s="484" t="s">
        <v>14</v>
      </c>
      <c r="D8" s="484" t="s">
        <v>16</v>
      </c>
      <c r="E8" s="484" t="s">
        <v>18</v>
      </c>
      <c r="F8" s="484" t="s">
        <v>20</v>
      </c>
      <c r="G8" s="484" t="s">
        <v>22</v>
      </c>
      <c r="H8" s="484" t="s">
        <v>24</v>
      </c>
      <c r="I8" s="484" t="s">
        <v>700</v>
      </c>
      <c r="J8" s="484" t="s">
        <v>728</v>
      </c>
      <c r="K8" s="484" t="s">
        <v>763</v>
      </c>
      <c r="L8" s="484" t="s">
        <v>24</v>
      </c>
      <c r="M8" s="484" t="s">
        <v>700</v>
      </c>
    </row>
    <row r="9" spans="1:13" ht="22.5" customHeight="1">
      <c r="A9" s="18"/>
      <c r="B9" s="40" t="s">
        <v>6</v>
      </c>
      <c r="C9" s="40"/>
      <c r="D9" s="40"/>
      <c r="E9" s="40"/>
      <c r="F9" s="24">
        <f t="shared" ref="F9:L9" si="0">F10+F11</f>
        <v>28733</v>
      </c>
      <c r="G9" s="24">
        <f t="shared" si="0"/>
        <v>27681</v>
      </c>
      <c r="H9" s="24">
        <f t="shared" si="0"/>
        <v>3067</v>
      </c>
      <c r="I9" s="24">
        <f t="shared" si="0"/>
        <v>2115</v>
      </c>
      <c r="J9" s="24">
        <f t="shared" si="0"/>
        <v>110000</v>
      </c>
      <c r="K9" s="24">
        <f t="shared" si="0"/>
        <v>0</v>
      </c>
      <c r="L9" s="24">
        <f t="shared" si="0"/>
        <v>171596</v>
      </c>
      <c r="M9" s="18"/>
    </row>
    <row r="10" spans="1:13" s="390" customFormat="1" ht="18" customHeight="1">
      <c r="A10" s="40" t="s">
        <v>37</v>
      </c>
      <c r="B10" s="55" t="s">
        <v>733</v>
      </c>
      <c r="C10" s="40"/>
      <c r="D10" s="40"/>
      <c r="E10" s="40"/>
      <c r="F10" s="24"/>
      <c r="G10" s="24"/>
      <c r="H10" s="24"/>
      <c r="I10" s="24"/>
      <c r="J10" s="24"/>
      <c r="K10" s="24"/>
      <c r="L10" s="24"/>
      <c r="M10" s="40"/>
    </row>
    <row r="11" spans="1:13" s="390" customFormat="1" ht="18" customHeight="1">
      <c r="A11" s="40" t="s">
        <v>38</v>
      </c>
      <c r="B11" s="55" t="s">
        <v>901</v>
      </c>
      <c r="C11" s="26"/>
      <c r="D11" s="76"/>
      <c r="E11" s="76"/>
      <c r="F11" s="24">
        <f t="shared" ref="F11:L11" si="1">F12+F13+F14+F20+F27+F34+F41+F47</f>
        <v>28733</v>
      </c>
      <c r="G11" s="24">
        <f t="shared" si="1"/>
        <v>27681</v>
      </c>
      <c r="H11" s="24">
        <f t="shared" si="1"/>
        <v>3067</v>
      </c>
      <c r="I11" s="24">
        <f t="shared" si="1"/>
        <v>2115</v>
      </c>
      <c r="J11" s="24">
        <f t="shared" si="1"/>
        <v>110000</v>
      </c>
      <c r="K11" s="24">
        <f t="shared" si="1"/>
        <v>0</v>
      </c>
      <c r="L11" s="24">
        <f t="shared" si="1"/>
        <v>171596</v>
      </c>
      <c r="M11" s="40"/>
    </row>
    <row r="12" spans="1:13" s="454" customFormat="1" ht="18" customHeight="1">
      <c r="A12" s="26" t="s">
        <v>8</v>
      </c>
      <c r="B12" s="55" t="s">
        <v>25</v>
      </c>
      <c r="C12" s="55"/>
      <c r="D12" s="741"/>
      <c r="E12" s="741"/>
      <c r="F12" s="24"/>
      <c r="G12" s="24"/>
      <c r="H12" s="24"/>
      <c r="I12" s="24"/>
      <c r="J12" s="24"/>
      <c r="K12" s="24"/>
      <c r="L12" s="24"/>
      <c r="M12" s="24"/>
    </row>
    <row r="13" spans="1:13" s="454" customFormat="1" ht="18" customHeight="1">
      <c r="A13" s="26" t="s">
        <v>26</v>
      </c>
      <c r="B13" s="55" t="s">
        <v>23</v>
      </c>
      <c r="C13" s="55"/>
      <c r="D13" s="741"/>
      <c r="E13" s="741"/>
      <c r="F13" s="24"/>
      <c r="G13" s="24"/>
      <c r="H13" s="24"/>
      <c r="I13" s="24"/>
      <c r="J13" s="24"/>
      <c r="K13" s="24"/>
      <c r="L13" s="24"/>
      <c r="M13" s="34"/>
    </row>
    <row r="14" spans="1:13" s="454" customFormat="1" ht="26">
      <c r="A14" s="26" t="s">
        <v>28</v>
      </c>
      <c r="B14" s="55" t="s">
        <v>2283</v>
      </c>
      <c r="C14" s="55"/>
      <c r="D14" s="741"/>
      <c r="E14" s="741"/>
      <c r="F14" s="737">
        <f t="shared" ref="F14:L14" si="2">+SUM(F15:F19)</f>
        <v>1796</v>
      </c>
      <c r="G14" s="737">
        <f t="shared" si="2"/>
        <v>1730</v>
      </c>
      <c r="H14" s="24">
        <f t="shared" si="2"/>
        <v>304</v>
      </c>
      <c r="I14" s="24">
        <f t="shared" si="2"/>
        <v>122</v>
      </c>
      <c r="J14" s="24">
        <f t="shared" si="2"/>
        <v>10000</v>
      </c>
      <c r="K14" s="24">
        <f t="shared" si="2"/>
        <v>0</v>
      </c>
      <c r="L14" s="737">
        <f t="shared" si="2"/>
        <v>13952</v>
      </c>
      <c r="M14" s="737"/>
    </row>
    <row r="15" spans="1:13" s="389" customFormat="1" ht="15.5">
      <c r="A15" s="13" t="s">
        <v>2141</v>
      </c>
      <c r="B15" s="12" t="s">
        <v>827</v>
      </c>
      <c r="C15" s="13" t="s">
        <v>84</v>
      </c>
      <c r="D15" s="37">
        <v>7</v>
      </c>
      <c r="E15" s="739">
        <v>300</v>
      </c>
      <c r="F15" s="25">
        <v>1796</v>
      </c>
      <c r="G15" s="16"/>
      <c r="H15" s="16">
        <v>304</v>
      </c>
      <c r="I15" s="25"/>
      <c r="J15" s="16">
        <v>3000</v>
      </c>
      <c r="K15" s="16"/>
      <c r="L15" s="25">
        <f>+SUM(F15:K15)</f>
        <v>5100</v>
      </c>
      <c r="M15" s="16"/>
    </row>
    <row r="16" spans="1:13" s="389" customFormat="1" ht="15.5" hidden="1">
      <c r="A16" s="13" t="s">
        <v>2143</v>
      </c>
      <c r="B16" s="12" t="s">
        <v>828</v>
      </c>
      <c r="C16" s="13" t="s">
        <v>829</v>
      </c>
      <c r="D16" s="37">
        <v>85</v>
      </c>
      <c r="E16" s="739">
        <v>2</v>
      </c>
      <c r="F16" s="16"/>
      <c r="G16" s="16">
        <v>470</v>
      </c>
      <c r="H16" s="16"/>
      <c r="I16" s="25">
        <v>50</v>
      </c>
      <c r="J16" s="16"/>
      <c r="K16" s="16"/>
      <c r="L16" s="25">
        <f t="shared" ref="L16:L19" si="3">+SUM(F16:K16)</f>
        <v>520</v>
      </c>
      <c r="M16" s="16"/>
    </row>
    <row r="17" spans="1:13" s="389" customFormat="1" ht="26" hidden="1">
      <c r="A17" s="13" t="s">
        <v>2144</v>
      </c>
      <c r="B17" s="12" t="s">
        <v>831</v>
      </c>
      <c r="C17" s="13" t="s">
        <v>832</v>
      </c>
      <c r="D17" s="37">
        <v>1</v>
      </c>
      <c r="E17" s="739">
        <v>300</v>
      </c>
      <c r="F17" s="16"/>
      <c r="G17" s="16">
        <v>280</v>
      </c>
      <c r="H17" s="16"/>
      <c r="I17" s="25">
        <v>20</v>
      </c>
      <c r="J17" s="16"/>
      <c r="K17" s="16"/>
      <c r="L17" s="25">
        <f t="shared" si="3"/>
        <v>300</v>
      </c>
      <c r="M17" s="16"/>
    </row>
    <row r="18" spans="1:13" s="389" customFormat="1" ht="26" hidden="1">
      <c r="A18" s="13" t="s">
        <v>2145</v>
      </c>
      <c r="B18" s="12" t="s">
        <v>833</v>
      </c>
      <c r="C18" s="13" t="s">
        <v>830</v>
      </c>
      <c r="D18" s="37">
        <v>1</v>
      </c>
      <c r="E18" s="739">
        <v>150</v>
      </c>
      <c r="F18" s="16"/>
      <c r="G18" s="16">
        <v>140</v>
      </c>
      <c r="H18" s="16"/>
      <c r="I18" s="25">
        <v>10</v>
      </c>
      <c r="J18" s="16"/>
      <c r="K18" s="16"/>
      <c r="L18" s="25">
        <f t="shared" si="3"/>
        <v>150</v>
      </c>
      <c r="M18" s="16"/>
    </row>
    <row r="19" spans="1:13" s="389" customFormat="1" ht="18" hidden="1" customHeight="1">
      <c r="A19" s="13" t="s">
        <v>2147</v>
      </c>
      <c r="B19" s="12" t="s">
        <v>834</v>
      </c>
      <c r="C19" s="13" t="s">
        <v>84</v>
      </c>
      <c r="D19" s="37">
        <v>7</v>
      </c>
      <c r="E19" s="739">
        <v>126</v>
      </c>
      <c r="F19" s="16"/>
      <c r="G19" s="16">
        <v>840</v>
      </c>
      <c r="H19" s="16"/>
      <c r="I19" s="25">
        <v>42</v>
      </c>
      <c r="J19" s="16">
        <v>7000</v>
      </c>
      <c r="K19" s="16"/>
      <c r="L19" s="25">
        <f t="shared" si="3"/>
        <v>7882</v>
      </c>
      <c r="M19" s="16"/>
    </row>
    <row r="20" spans="1:13" s="454" customFormat="1" ht="26">
      <c r="A20" s="26" t="s">
        <v>29</v>
      </c>
      <c r="B20" s="55" t="s">
        <v>2178</v>
      </c>
      <c r="C20" s="26"/>
      <c r="D20" s="741"/>
      <c r="E20" s="741"/>
      <c r="F20" s="24">
        <f t="shared" ref="F20:L20" si="4">+SUM(F21:F26)</f>
        <v>5387</v>
      </c>
      <c r="G20" s="24">
        <f t="shared" si="4"/>
        <v>5190</v>
      </c>
      <c r="H20" s="24">
        <f t="shared" si="4"/>
        <v>613</v>
      </c>
      <c r="I20" s="24">
        <f t="shared" si="4"/>
        <v>380</v>
      </c>
      <c r="J20" s="24">
        <f t="shared" si="4"/>
        <v>30000</v>
      </c>
      <c r="K20" s="24">
        <f t="shared" si="4"/>
        <v>0</v>
      </c>
      <c r="L20" s="24">
        <f t="shared" si="4"/>
        <v>41570</v>
      </c>
      <c r="M20" s="34"/>
    </row>
    <row r="21" spans="1:13" s="454" customFormat="1" ht="15">
      <c r="A21" s="13" t="s">
        <v>2141</v>
      </c>
      <c r="B21" s="12" t="s">
        <v>2142</v>
      </c>
      <c r="C21" s="13" t="s">
        <v>84</v>
      </c>
      <c r="D21" s="37">
        <v>20</v>
      </c>
      <c r="E21" s="37">
        <v>300</v>
      </c>
      <c r="F21" s="25">
        <v>5387</v>
      </c>
      <c r="G21" s="25"/>
      <c r="H21" s="25">
        <v>613</v>
      </c>
      <c r="I21" s="25"/>
      <c r="J21" s="25">
        <v>7000</v>
      </c>
      <c r="K21" s="25"/>
      <c r="L21" s="25">
        <f t="shared" ref="L21:L26" si="5">+SUM(F21:K21)</f>
        <v>13000</v>
      </c>
      <c r="M21" s="34"/>
    </row>
    <row r="22" spans="1:13" s="454" customFormat="1" ht="18" hidden="1" customHeight="1">
      <c r="A22" s="13" t="s">
        <v>2143</v>
      </c>
      <c r="B22" s="12" t="s">
        <v>2140</v>
      </c>
      <c r="C22" s="13" t="s">
        <v>830</v>
      </c>
      <c r="D22" s="37">
        <v>3</v>
      </c>
      <c r="E22" s="37"/>
      <c r="F22" s="25"/>
      <c r="G22" s="25">
        <v>1800</v>
      </c>
      <c r="H22" s="25"/>
      <c r="I22" s="25">
        <v>200</v>
      </c>
      <c r="J22" s="25">
        <v>3000</v>
      </c>
      <c r="K22" s="25"/>
      <c r="L22" s="25">
        <f t="shared" si="5"/>
        <v>5000</v>
      </c>
      <c r="M22" s="34"/>
    </row>
    <row r="23" spans="1:13" s="454" customFormat="1" ht="15" hidden="1">
      <c r="A23" s="13" t="s">
        <v>2144</v>
      </c>
      <c r="B23" s="12" t="s">
        <v>828</v>
      </c>
      <c r="C23" s="13" t="s">
        <v>829</v>
      </c>
      <c r="D23" s="37">
        <v>100</v>
      </c>
      <c r="E23" s="37">
        <v>2</v>
      </c>
      <c r="F23" s="25"/>
      <c r="G23" s="25">
        <v>570</v>
      </c>
      <c r="H23" s="25"/>
      <c r="I23" s="25">
        <v>30</v>
      </c>
      <c r="J23" s="25"/>
      <c r="K23" s="25"/>
      <c r="L23" s="25">
        <f t="shared" si="5"/>
        <v>600</v>
      </c>
      <c r="M23" s="34"/>
    </row>
    <row r="24" spans="1:13" s="454" customFormat="1" ht="26" hidden="1">
      <c r="A24" s="13" t="s">
        <v>2145</v>
      </c>
      <c r="B24" s="12" t="s">
        <v>2146</v>
      </c>
      <c r="C24" s="13" t="s">
        <v>832</v>
      </c>
      <c r="D24" s="37">
        <v>1</v>
      </c>
      <c r="E24" s="37">
        <v>300</v>
      </c>
      <c r="F24" s="25"/>
      <c r="G24" s="25">
        <v>280</v>
      </c>
      <c r="H24" s="25"/>
      <c r="I24" s="25">
        <v>20</v>
      </c>
      <c r="J24" s="25"/>
      <c r="K24" s="25"/>
      <c r="L24" s="25">
        <f t="shared" si="5"/>
        <v>300</v>
      </c>
      <c r="M24" s="34"/>
    </row>
    <row r="25" spans="1:13" s="454" customFormat="1" ht="26" hidden="1">
      <c r="A25" s="13" t="s">
        <v>2147</v>
      </c>
      <c r="B25" s="12" t="s">
        <v>1902</v>
      </c>
      <c r="C25" s="13" t="s">
        <v>830</v>
      </c>
      <c r="D25" s="37">
        <v>1</v>
      </c>
      <c r="E25" s="37">
        <v>150</v>
      </c>
      <c r="F25" s="25"/>
      <c r="G25" s="25">
        <v>140</v>
      </c>
      <c r="H25" s="25"/>
      <c r="I25" s="25">
        <v>10</v>
      </c>
      <c r="J25" s="25"/>
      <c r="K25" s="25"/>
      <c r="L25" s="25">
        <f t="shared" si="5"/>
        <v>150</v>
      </c>
      <c r="M25" s="34"/>
    </row>
    <row r="26" spans="1:13" s="454" customFormat="1" ht="18" hidden="1" customHeight="1">
      <c r="A26" s="13" t="s">
        <v>2148</v>
      </c>
      <c r="B26" s="12" t="s">
        <v>834</v>
      </c>
      <c r="C26" s="13" t="s">
        <v>84</v>
      </c>
      <c r="D26" s="37">
        <v>20</v>
      </c>
      <c r="E26" s="37">
        <v>126</v>
      </c>
      <c r="F26" s="25"/>
      <c r="G26" s="25">
        <v>2400</v>
      </c>
      <c r="H26" s="25"/>
      <c r="I26" s="25">
        <v>120</v>
      </c>
      <c r="J26" s="25">
        <v>20000</v>
      </c>
      <c r="K26" s="25"/>
      <c r="L26" s="25">
        <f t="shared" si="5"/>
        <v>22520</v>
      </c>
      <c r="M26" s="34"/>
    </row>
    <row r="27" spans="1:13" s="454" customFormat="1" ht="26">
      <c r="A27" s="26" t="s">
        <v>30</v>
      </c>
      <c r="B27" s="55" t="s">
        <v>2179</v>
      </c>
      <c r="C27" s="26"/>
      <c r="D27" s="741"/>
      <c r="E27" s="741"/>
      <c r="F27" s="24">
        <f t="shared" ref="F27:L27" si="6">+SUM(F28:F33)</f>
        <v>5387</v>
      </c>
      <c r="G27" s="24">
        <f t="shared" si="6"/>
        <v>5190</v>
      </c>
      <c r="H27" s="24">
        <f t="shared" si="6"/>
        <v>613</v>
      </c>
      <c r="I27" s="24">
        <f t="shared" si="6"/>
        <v>380</v>
      </c>
      <c r="J27" s="24">
        <f t="shared" si="6"/>
        <v>30000</v>
      </c>
      <c r="K27" s="24">
        <f t="shared" si="6"/>
        <v>0</v>
      </c>
      <c r="L27" s="24">
        <f t="shared" si="6"/>
        <v>41570</v>
      </c>
      <c r="M27" s="24"/>
    </row>
    <row r="28" spans="1:13" s="389" customFormat="1" ht="15.5">
      <c r="A28" s="13" t="s">
        <v>2141</v>
      </c>
      <c r="B28" s="12" t="s">
        <v>2142</v>
      </c>
      <c r="C28" s="13" t="s">
        <v>84</v>
      </c>
      <c r="D28" s="37">
        <v>20</v>
      </c>
      <c r="E28" s="37">
        <v>300</v>
      </c>
      <c r="F28" s="25">
        <v>5387</v>
      </c>
      <c r="G28" s="25"/>
      <c r="H28" s="25">
        <v>613</v>
      </c>
      <c r="I28" s="25"/>
      <c r="J28" s="25">
        <v>7000</v>
      </c>
      <c r="K28" s="25"/>
      <c r="L28" s="25">
        <f>+SUM(F28:K28)</f>
        <v>13000</v>
      </c>
      <c r="M28" s="25"/>
    </row>
    <row r="29" spans="1:13" s="389" customFormat="1" ht="15.5" hidden="1">
      <c r="A29" s="13" t="s">
        <v>2143</v>
      </c>
      <c r="B29" s="12" t="s">
        <v>2140</v>
      </c>
      <c r="C29" s="13" t="s">
        <v>830</v>
      </c>
      <c r="D29" s="37">
        <v>3</v>
      </c>
      <c r="E29" s="37"/>
      <c r="F29" s="25"/>
      <c r="G29" s="25">
        <v>1800</v>
      </c>
      <c r="H29" s="25"/>
      <c r="I29" s="25">
        <v>200</v>
      </c>
      <c r="J29" s="25">
        <v>3000</v>
      </c>
      <c r="K29" s="25"/>
      <c r="L29" s="25">
        <f t="shared" ref="L29:L33" si="7">+SUM(F29:K29)</f>
        <v>5000</v>
      </c>
      <c r="M29" s="25"/>
    </row>
    <row r="30" spans="1:13" s="389" customFormat="1" ht="15.5" hidden="1">
      <c r="A30" s="13" t="s">
        <v>2144</v>
      </c>
      <c r="B30" s="12" t="s">
        <v>828</v>
      </c>
      <c r="C30" s="13" t="s">
        <v>829</v>
      </c>
      <c r="D30" s="37">
        <v>100</v>
      </c>
      <c r="E30" s="37">
        <v>2</v>
      </c>
      <c r="F30" s="25"/>
      <c r="G30" s="25">
        <v>570</v>
      </c>
      <c r="H30" s="25"/>
      <c r="I30" s="25">
        <v>30</v>
      </c>
      <c r="J30" s="25"/>
      <c r="K30" s="25"/>
      <c r="L30" s="25">
        <f t="shared" si="7"/>
        <v>600</v>
      </c>
      <c r="M30" s="25"/>
    </row>
    <row r="31" spans="1:13" s="389" customFormat="1" ht="26" hidden="1">
      <c r="A31" s="13" t="s">
        <v>2145</v>
      </c>
      <c r="B31" s="12" t="s">
        <v>2146</v>
      </c>
      <c r="C31" s="13" t="s">
        <v>832</v>
      </c>
      <c r="D31" s="37">
        <v>1</v>
      </c>
      <c r="E31" s="37">
        <v>300</v>
      </c>
      <c r="F31" s="25"/>
      <c r="G31" s="25">
        <v>280</v>
      </c>
      <c r="H31" s="25"/>
      <c r="I31" s="25">
        <v>20</v>
      </c>
      <c r="J31" s="25"/>
      <c r="K31" s="25"/>
      <c r="L31" s="25">
        <f t="shared" si="7"/>
        <v>300</v>
      </c>
      <c r="M31" s="25"/>
    </row>
    <row r="32" spans="1:13" s="389" customFormat="1" ht="26" hidden="1">
      <c r="A32" s="13" t="s">
        <v>2147</v>
      </c>
      <c r="B32" s="12" t="s">
        <v>1902</v>
      </c>
      <c r="C32" s="13" t="s">
        <v>830</v>
      </c>
      <c r="D32" s="37">
        <v>1</v>
      </c>
      <c r="E32" s="37">
        <v>150</v>
      </c>
      <c r="F32" s="25"/>
      <c r="G32" s="25">
        <v>140</v>
      </c>
      <c r="H32" s="25"/>
      <c r="I32" s="25">
        <v>10</v>
      </c>
      <c r="J32" s="25"/>
      <c r="K32" s="25"/>
      <c r="L32" s="25">
        <f t="shared" si="7"/>
        <v>150</v>
      </c>
      <c r="M32" s="25"/>
    </row>
    <row r="33" spans="1:13" s="389" customFormat="1" ht="18" hidden="1" customHeight="1">
      <c r="A33" s="13" t="s">
        <v>2148</v>
      </c>
      <c r="B33" s="12" t="s">
        <v>834</v>
      </c>
      <c r="C33" s="13" t="s">
        <v>84</v>
      </c>
      <c r="D33" s="37">
        <v>20</v>
      </c>
      <c r="E33" s="37">
        <v>126</v>
      </c>
      <c r="F33" s="25"/>
      <c r="G33" s="25">
        <v>2400</v>
      </c>
      <c r="H33" s="25"/>
      <c r="I33" s="25">
        <v>120</v>
      </c>
      <c r="J33" s="25">
        <v>20000</v>
      </c>
      <c r="K33" s="25"/>
      <c r="L33" s="25">
        <f t="shared" si="7"/>
        <v>22520</v>
      </c>
      <c r="M33" s="25"/>
    </row>
    <row r="34" spans="1:13" s="454" customFormat="1" ht="39">
      <c r="A34" s="26" t="s">
        <v>31</v>
      </c>
      <c r="B34" s="55" t="s">
        <v>2180</v>
      </c>
      <c r="C34" s="26"/>
      <c r="D34" s="741"/>
      <c r="E34" s="741"/>
      <c r="F34" s="24">
        <f t="shared" ref="F34:L34" si="8">+SUM(F35:F40)</f>
        <v>5387</v>
      </c>
      <c r="G34" s="24">
        <f t="shared" si="8"/>
        <v>5190</v>
      </c>
      <c r="H34" s="24">
        <f t="shared" si="8"/>
        <v>613</v>
      </c>
      <c r="I34" s="24">
        <f t="shared" si="8"/>
        <v>380</v>
      </c>
      <c r="J34" s="24">
        <f t="shared" si="8"/>
        <v>0</v>
      </c>
      <c r="K34" s="24">
        <f t="shared" si="8"/>
        <v>0</v>
      </c>
      <c r="L34" s="24">
        <f t="shared" si="8"/>
        <v>11570</v>
      </c>
      <c r="M34" s="34"/>
    </row>
    <row r="35" spans="1:13" s="389" customFormat="1" ht="15.5">
      <c r="A35" s="13" t="s">
        <v>2141</v>
      </c>
      <c r="B35" s="12" t="s">
        <v>2142</v>
      </c>
      <c r="C35" s="13" t="s">
        <v>84</v>
      </c>
      <c r="D35" s="37">
        <v>20</v>
      </c>
      <c r="E35" s="37">
        <v>300</v>
      </c>
      <c r="F35" s="25">
        <v>5387</v>
      </c>
      <c r="G35" s="25"/>
      <c r="H35" s="25">
        <v>613</v>
      </c>
      <c r="I35" s="25"/>
      <c r="J35" s="25"/>
      <c r="K35" s="25"/>
      <c r="L35" s="25">
        <f>+SUM(F35:K35)</f>
        <v>6000</v>
      </c>
      <c r="M35" s="174"/>
    </row>
    <row r="36" spans="1:13" s="389" customFormat="1" ht="15.5" hidden="1">
      <c r="A36" s="13" t="s">
        <v>2143</v>
      </c>
      <c r="B36" s="12" t="s">
        <v>2140</v>
      </c>
      <c r="C36" s="13" t="s">
        <v>830</v>
      </c>
      <c r="D36" s="37">
        <v>3</v>
      </c>
      <c r="E36" s="37"/>
      <c r="F36" s="25"/>
      <c r="G36" s="25">
        <v>1800</v>
      </c>
      <c r="H36" s="25"/>
      <c r="I36" s="25">
        <v>200</v>
      </c>
      <c r="J36" s="25"/>
      <c r="K36" s="25"/>
      <c r="L36" s="25">
        <f t="shared" ref="L36:L40" si="9">+SUM(F36:K36)</f>
        <v>2000</v>
      </c>
      <c r="M36" s="174"/>
    </row>
    <row r="37" spans="1:13" s="389" customFormat="1" ht="15.5" hidden="1">
      <c r="A37" s="13" t="s">
        <v>2144</v>
      </c>
      <c r="B37" s="12" t="s">
        <v>828</v>
      </c>
      <c r="C37" s="13" t="s">
        <v>829</v>
      </c>
      <c r="D37" s="37">
        <v>100</v>
      </c>
      <c r="E37" s="37">
        <v>2</v>
      </c>
      <c r="F37" s="25"/>
      <c r="G37" s="25">
        <v>570</v>
      </c>
      <c r="H37" s="25"/>
      <c r="I37" s="25">
        <v>30</v>
      </c>
      <c r="J37" s="25"/>
      <c r="K37" s="25"/>
      <c r="L37" s="25">
        <f t="shared" si="9"/>
        <v>600</v>
      </c>
      <c r="M37" s="174"/>
    </row>
    <row r="38" spans="1:13" s="389" customFormat="1" ht="26" hidden="1">
      <c r="A38" s="13" t="s">
        <v>2145</v>
      </c>
      <c r="B38" s="12" t="s">
        <v>2146</v>
      </c>
      <c r="C38" s="13" t="s">
        <v>832</v>
      </c>
      <c r="D38" s="37">
        <v>1</v>
      </c>
      <c r="E38" s="37">
        <v>300</v>
      </c>
      <c r="F38" s="25"/>
      <c r="G38" s="25">
        <v>280</v>
      </c>
      <c r="H38" s="25"/>
      <c r="I38" s="25">
        <v>20</v>
      </c>
      <c r="J38" s="25"/>
      <c r="K38" s="25"/>
      <c r="L38" s="25">
        <f t="shared" si="9"/>
        <v>300</v>
      </c>
      <c r="M38" s="174"/>
    </row>
    <row r="39" spans="1:13" s="389" customFormat="1" ht="26" hidden="1">
      <c r="A39" s="13" t="s">
        <v>2147</v>
      </c>
      <c r="B39" s="12" t="s">
        <v>1902</v>
      </c>
      <c r="C39" s="13" t="s">
        <v>830</v>
      </c>
      <c r="D39" s="37">
        <v>1</v>
      </c>
      <c r="E39" s="37">
        <v>150</v>
      </c>
      <c r="F39" s="25"/>
      <c r="G39" s="25">
        <v>140</v>
      </c>
      <c r="H39" s="25"/>
      <c r="I39" s="25">
        <v>10</v>
      </c>
      <c r="J39" s="25"/>
      <c r="K39" s="25"/>
      <c r="L39" s="25">
        <f t="shared" si="9"/>
        <v>150</v>
      </c>
      <c r="M39" s="174"/>
    </row>
    <row r="40" spans="1:13" s="389" customFormat="1" ht="15.5" hidden="1">
      <c r="A40" s="13" t="s">
        <v>2148</v>
      </c>
      <c r="B40" s="12" t="s">
        <v>834</v>
      </c>
      <c r="C40" s="13" t="s">
        <v>84</v>
      </c>
      <c r="D40" s="37">
        <v>20</v>
      </c>
      <c r="E40" s="37">
        <v>126</v>
      </c>
      <c r="F40" s="25"/>
      <c r="G40" s="25">
        <v>2400</v>
      </c>
      <c r="H40" s="25"/>
      <c r="I40" s="25">
        <v>120</v>
      </c>
      <c r="J40" s="25"/>
      <c r="K40" s="25"/>
      <c r="L40" s="25">
        <f t="shared" si="9"/>
        <v>2520</v>
      </c>
      <c r="M40" s="174"/>
    </row>
    <row r="41" spans="1:13" s="454" customFormat="1" ht="26">
      <c r="A41" s="26" t="s">
        <v>80</v>
      </c>
      <c r="B41" s="55" t="s">
        <v>2149</v>
      </c>
      <c r="C41" s="26"/>
      <c r="D41" s="741"/>
      <c r="E41" s="741"/>
      <c r="F41" s="24">
        <f t="shared" ref="F41:L41" si="10">+SUM(F42:F46)</f>
        <v>1796</v>
      </c>
      <c r="G41" s="24">
        <f t="shared" si="10"/>
        <v>1730</v>
      </c>
      <c r="H41" s="24">
        <f t="shared" si="10"/>
        <v>304</v>
      </c>
      <c r="I41" s="24">
        <f t="shared" si="10"/>
        <v>122</v>
      </c>
      <c r="J41" s="24">
        <f t="shared" si="10"/>
        <v>10000</v>
      </c>
      <c r="K41" s="24">
        <f t="shared" si="10"/>
        <v>0</v>
      </c>
      <c r="L41" s="24">
        <f t="shared" si="10"/>
        <v>13952</v>
      </c>
      <c r="M41" s="34"/>
    </row>
    <row r="42" spans="1:13" s="454" customFormat="1" ht="15">
      <c r="A42" s="13" t="s">
        <v>2141</v>
      </c>
      <c r="B42" s="12" t="s">
        <v>827</v>
      </c>
      <c r="C42" s="13" t="s">
        <v>84</v>
      </c>
      <c r="D42" s="37">
        <v>7</v>
      </c>
      <c r="E42" s="37">
        <v>300</v>
      </c>
      <c r="F42" s="25">
        <v>1796</v>
      </c>
      <c r="G42" s="25"/>
      <c r="H42" s="25">
        <v>304</v>
      </c>
      <c r="I42" s="25"/>
      <c r="J42" s="25">
        <v>3000</v>
      </c>
      <c r="K42" s="25"/>
      <c r="L42" s="25">
        <f>+SUM(F42:K42)</f>
        <v>5100</v>
      </c>
      <c r="M42" s="34"/>
    </row>
    <row r="43" spans="1:13" s="454" customFormat="1" ht="15" hidden="1">
      <c r="A43" s="13" t="s">
        <v>2143</v>
      </c>
      <c r="B43" s="12" t="s">
        <v>828</v>
      </c>
      <c r="C43" s="13" t="s">
        <v>829</v>
      </c>
      <c r="D43" s="37">
        <v>85</v>
      </c>
      <c r="E43" s="37">
        <v>2</v>
      </c>
      <c r="F43" s="25"/>
      <c r="G43" s="25">
        <v>470</v>
      </c>
      <c r="H43" s="25"/>
      <c r="I43" s="25">
        <v>50</v>
      </c>
      <c r="J43" s="25"/>
      <c r="K43" s="25"/>
      <c r="L43" s="25">
        <f>+SUM(F43:K43)</f>
        <v>520</v>
      </c>
      <c r="M43" s="34"/>
    </row>
    <row r="44" spans="1:13" s="454" customFormat="1" ht="26" hidden="1">
      <c r="A44" s="13" t="s">
        <v>2144</v>
      </c>
      <c r="B44" s="12" t="s">
        <v>831</v>
      </c>
      <c r="C44" s="13" t="s">
        <v>832</v>
      </c>
      <c r="D44" s="37">
        <v>1</v>
      </c>
      <c r="E44" s="37">
        <v>300</v>
      </c>
      <c r="F44" s="25"/>
      <c r="G44" s="25">
        <v>280</v>
      </c>
      <c r="H44" s="25"/>
      <c r="I44" s="25">
        <v>20</v>
      </c>
      <c r="J44" s="25"/>
      <c r="K44" s="25"/>
      <c r="L44" s="25">
        <f>+SUM(F44:K44)</f>
        <v>300</v>
      </c>
      <c r="M44" s="34"/>
    </row>
    <row r="45" spans="1:13" s="454" customFormat="1" ht="26" hidden="1">
      <c r="A45" s="13" t="s">
        <v>2145</v>
      </c>
      <c r="B45" s="12" t="s">
        <v>833</v>
      </c>
      <c r="C45" s="13" t="s">
        <v>830</v>
      </c>
      <c r="D45" s="37">
        <v>1</v>
      </c>
      <c r="E45" s="37">
        <v>150</v>
      </c>
      <c r="F45" s="25"/>
      <c r="G45" s="25">
        <v>140</v>
      </c>
      <c r="H45" s="25"/>
      <c r="I45" s="25">
        <v>10</v>
      </c>
      <c r="J45" s="25"/>
      <c r="K45" s="25"/>
      <c r="L45" s="25">
        <f>+SUM(F45:K45)</f>
        <v>150</v>
      </c>
      <c r="M45" s="34"/>
    </row>
    <row r="46" spans="1:13" s="454" customFormat="1" ht="18" hidden="1" customHeight="1">
      <c r="A46" s="13" t="s">
        <v>2147</v>
      </c>
      <c r="B46" s="12" t="s">
        <v>834</v>
      </c>
      <c r="C46" s="13" t="s">
        <v>84</v>
      </c>
      <c r="D46" s="37">
        <v>7</v>
      </c>
      <c r="E46" s="37">
        <v>126</v>
      </c>
      <c r="F46" s="25"/>
      <c r="G46" s="25">
        <v>840</v>
      </c>
      <c r="H46" s="25"/>
      <c r="I46" s="25">
        <v>42</v>
      </c>
      <c r="J46" s="25">
        <v>7000</v>
      </c>
      <c r="K46" s="25"/>
      <c r="L46" s="25">
        <f>+SUM(F46:K46)</f>
        <v>7882</v>
      </c>
      <c r="M46" s="34"/>
    </row>
    <row r="47" spans="1:13" s="454" customFormat="1" ht="26">
      <c r="A47" s="26" t="s">
        <v>81</v>
      </c>
      <c r="B47" s="55" t="s">
        <v>2139</v>
      </c>
      <c r="C47" s="26"/>
      <c r="D47" s="741"/>
      <c r="E47" s="741"/>
      <c r="F47" s="24">
        <f t="shared" ref="F47:L47" si="11">+SUM(F48:F53)</f>
        <v>8980</v>
      </c>
      <c r="G47" s="24">
        <f t="shared" si="11"/>
        <v>8651</v>
      </c>
      <c r="H47" s="24">
        <f t="shared" si="11"/>
        <v>620</v>
      </c>
      <c r="I47" s="24">
        <f t="shared" si="11"/>
        <v>731</v>
      </c>
      <c r="J47" s="24">
        <f t="shared" si="11"/>
        <v>30000</v>
      </c>
      <c r="K47" s="24">
        <f t="shared" si="11"/>
        <v>0</v>
      </c>
      <c r="L47" s="24">
        <f t="shared" si="11"/>
        <v>48982</v>
      </c>
      <c r="M47" s="34"/>
    </row>
    <row r="48" spans="1:13" s="389" customFormat="1" ht="15.5">
      <c r="A48" s="41" t="s">
        <v>2141</v>
      </c>
      <c r="B48" s="705" t="s">
        <v>2142</v>
      </c>
      <c r="C48" s="41" t="s">
        <v>84</v>
      </c>
      <c r="D48" s="756">
        <v>32</v>
      </c>
      <c r="E48" s="756">
        <v>300</v>
      </c>
      <c r="F48" s="47">
        <v>8980</v>
      </c>
      <c r="G48" s="47"/>
      <c r="H48" s="47">
        <v>620</v>
      </c>
      <c r="I48" s="47"/>
      <c r="J48" s="47">
        <v>10000</v>
      </c>
      <c r="K48" s="47"/>
      <c r="L48" s="47">
        <f>+SUM(F48:K48)</f>
        <v>19600</v>
      </c>
      <c r="M48" s="757"/>
    </row>
    <row r="49" spans="1:13" s="389" customFormat="1" ht="18" hidden="1" customHeight="1">
      <c r="A49" s="1095" t="s">
        <v>2143</v>
      </c>
      <c r="B49" s="1096" t="s">
        <v>2140</v>
      </c>
      <c r="C49" s="1095" t="s">
        <v>830</v>
      </c>
      <c r="D49" s="1097">
        <v>5</v>
      </c>
      <c r="E49" s="1097"/>
      <c r="F49" s="1098"/>
      <c r="G49" s="1098">
        <v>3571</v>
      </c>
      <c r="H49" s="1098"/>
      <c r="I49" s="1098">
        <v>429</v>
      </c>
      <c r="J49" s="1098">
        <v>4000</v>
      </c>
      <c r="K49" s="1098"/>
      <c r="L49" s="1098">
        <f t="shared" ref="L49:L52" si="12">+SUM(F49:K49)</f>
        <v>8000</v>
      </c>
      <c r="M49" s="1099"/>
    </row>
    <row r="50" spans="1:13" s="389" customFormat="1" ht="15.5" hidden="1">
      <c r="A50" s="13" t="s">
        <v>2144</v>
      </c>
      <c r="B50" s="12" t="s">
        <v>828</v>
      </c>
      <c r="C50" s="13" t="s">
        <v>829</v>
      </c>
      <c r="D50" s="37">
        <v>150</v>
      </c>
      <c r="E50" s="37">
        <v>2</v>
      </c>
      <c r="F50" s="25"/>
      <c r="G50" s="25">
        <v>860</v>
      </c>
      <c r="H50" s="25"/>
      <c r="I50" s="25">
        <v>40</v>
      </c>
      <c r="J50" s="25"/>
      <c r="K50" s="25"/>
      <c r="L50" s="25">
        <f t="shared" si="12"/>
        <v>900</v>
      </c>
      <c r="M50" s="174"/>
    </row>
    <row r="51" spans="1:13" s="389" customFormat="1" ht="26" hidden="1">
      <c r="A51" s="13" t="s">
        <v>2145</v>
      </c>
      <c r="B51" s="12" t="s">
        <v>2146</v>
      </c>
      <c r="C51" s="13" t="s">
        <v>832</v>
      </c>
      <c r="D51" s="37">
        <v>1</v>
      </c>
      <c r="E51" s="37">
        <v>300</v>
      </c>
      <c r="F51" s="25"/>
      <c r="G51" s="25">
        <v>280</v>
      </c>
      <c r="H51" s="25"/>
      <c r="I51" s="25">
        <v>20</v>
      </c>
      <c r="J51" s="25"/>
      <c r="K51" s="25"/>
      <c r="L51" s="25">
        <f t="shared" si="12"/>
        <v>300</v>
      </c>
      <c r="M51" s="174"/>
    </row>
    <row r="52" spans="1:13" s="389" customFormat="1" ht="26" hidden="1">
      <c r="A52" s="13" t="s">
        <v>2147</v>
      </c>
      <c r="B52" s="12" t="s">
        <v>1902</v>
      </c>
      <c r="C52" s="13" t="s">
        <v>830</v>
      </c>
      <c r="D52" s="37">
        <v>1</v>
      </c>
      <c r="E52" s="37">
        <v>150</v>
      </c>
      <c r="F52" s="25"/>
      <c r="G52" s="25">
        <v>140</v>
      </c>
      <c r="H52" s="25"/>
      <c r="I52" s="25">
        <v>10</v>
      </c>
      <c r="J52" s="25"/>
      <c r="K52" s="25"/>
      <c r="L52" s="25">
        <f t="shared" si="12"/>
        <v>150</v>
      </c>
      <c r="M52" s="174"/>
    </row>
    <row r="53" spans="1:13" s="389" customFormat="1" ht="18" hidden="1" customHeight="1">
      <c r="A53" s="41" t="s">
        <v>2148</v>
      </c>
      <c r="B53" s="705" t="s">
        <v>834</v>
      </c>
      <c r="C53" s="41" t="s">
        <v>84</v>
      </c>
      <c r="D53" s="756">
        <v>32</v>
      </c>
      <c r="E53" s="756">
        <v>126</v>
      </c>
      <c r="F53" s="47"/>
      <c r="G53" s="47">
        <v>3800</v>
      </c>
      <c r="H53" s="47"/>
      <c r="I53" s="47">
        <v>232</v>
      </c>
      <c r="J53" s="47">
        <v>16000</v>
      </c>
      <c r="K53" s="47"/>
      <c r="L53" s="47">
        <f>+SUM(F53:K53)</f>
        <v>20032</v>
      </c>
      <c r="M53" s="757"/>
    </row>
    <row r="54" spans="1:13">
      <c r="A54" s="434"/>
      <c r="B54" s="434"/>
      <c r="C54" s="434"/>
      <c r="D54" s="434"/>
      <c r="E54" s="434"/>
      <c r="F54" s="434"/>
      <c r="G54" s="434"/>
      <c r="H54" s="434"/>
      <c r="I54" s="434"/>
      <c r="J54" s="434"/>
      <c r="K54" s="434"/>
      <c r="L54" s="434"/>
      <c r="M54" s="434"/>
    </row>
    <row r="55" spans="1:13" ht="14.5">
      <c r="A55" s="1820" t="s">
        <v>2465</v>
      </c>
      <c r="B55" s="1820"/>
      <c r="C55" s="1820"/>
      <c r="D55" s="1820"/>
      <c r="E55" s="1820"/>
      <c r="F55" s="1820"/>
      <c r="G55" s="1820"/>
      <c r="H55" s="1820"/>
      <c r="I55" s="1820"/>
      <c r="J55" s="1820"/>
      <c r="K55" s="1820"/>
      <c r="L55" s="1820"/>
      <c r="M55" s="1820"/>
    </row>
    <row r="71" ht="49.5"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sheetData>
  <mergeCells count="18">
    <mergeCell ref="A1:M1"/>
    <mergeCell ref="A4:M4"/>
    <mergeCell ref="A2:B2"/>
    <mergeCell ref="A3:M3"/>
    <mergeCell ref="A5:M5"/>
    <mergeCell ref="K2:M2"/>
    <mergeCell ref="A55:M55"/>
    <mergeCell ref="H6:I6"/>
    <mergeCell ref="J6:J7"/>
    <mergeCell ref="K6:K7"/>
    <mergeCell ref="L6:L7"/>
    <mergeCell ref="M6:M7"/>
    <mergeCell ref="A6:A7"/>
    <mergeCell ref="B6:B7"/>
    <mergeCell ref="C6:C7"/>
    <mergeCell ref="D6:D7"/>
    <mergeCell ref="E6:E7"/>
    <mergeCell ref="F6:F7"/>
  </mergeCells>
  <pageMargins left="0.5" right="0.5" top="0.5" bottom="0.5" header="0.47" footer="0.3"/>
  <pageSetup paperSize="9" scale="90" orientation="portrait" r:id="rId1"/>
  <headerFoot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topLeftCell="A10" zoomScale="90" zoomScaleNormal="90" workbookViewId="0">
      <selection activeCell="B20" sqref="B20"/>
    </sheetView>
  </sheetViews>
  <sheetFormatPr defaultRowHeight="13"/>
  <cols>
    <col min="1" max="1" width="5.08203125" style="1148" customWidth="1"/>
    <col min="2" max="2" width="49.4140625" style="1151" customWidth="1"/>
    <col min="3" max="3" width="8.9140625" style="1148" customWidth="1"/>
    <col min="4" max="4" width="18.9140625" style="1148" customWidth="1"/>
    <col min="5" max="5" width="12.4140625" style="1148" customWidth="1"/>
    <col min="6" max="6" width="9.08203125" style="1148" customWidth="1"/>
    <col min="7" max="7" width="17.08203125" style="1148" customWidth="1"/>
    <col min="8" max="10" width="9.08203125" style="1148"/>
    <col min="11" max="11" width="19.33203125" style="1148" customWidth="1"/>
    <col min="12" max="12" width="28.08203125" style="1148" customWidth="1"/>
    <col min="13" max="256" width="9.08203125" style="1148"/>
    <col min="257" max="257" width="5.08203125" style="1148" customWidth="1"/>
    <col min="258" max="258" width="64.4140625" style="1148" customWidth="1"/>
    <col min="259" max="259" width="14.6640625" style="1148" customWidth="1"/>
    <col min="260" max="260" width="23" style="1148" customWidth="1"/>
    <col min="261" max="261" width="20.08203125" style="1148" customWidth="1"/>
    <col min="262" max="262" width="14" style="1148" customWidth="1"/>
    <col min="263" max="263" width="17.08203125" style="1148" customWidth="1"/>
    <col min="264" max="512" width="9.08203125" style="1148"/>
    <col min="513" max="513" width="5.08203125" style="1148" customWidth="1"/>
    <col min="514" max="514" width="64.4140625" style="1148" customWidth="1"/>
    <col min="515" max="515" width="14.6640625" style="1148" customWidth="1"/>
    <col min="516" max="516" width="23" style="1148" customWidth="1"/>
    <col min="517" max="517" width="20.08203125" style="1148" customWidth="1"/>
    <col min="518" max="518" width="14" style="1148" customWidth="1"/>
    <col min="519" max="519" width="17.08203125" style="1148" customWidth="1"/>
    <col min="520" max="768" width="9.08203125" style="1148"/>
    <col min="769" max="769" width="5.08203125" style="1148" customWidth="1"/>
    <col min="770" max="770" width="64.4140625" style="1148" customWidth="1"/>
    <col min="771" max="771" width="14.6640625" style="1148" customWidth="1"/>
    <col min="772" max="772" width="23" style="1148" customWidth="1"/>
    <col min="773" max="773" width="20.08203125" style="1148" customWidth="1"/>
    <col min="774" max="774" width="14" style="1148" customWidth="1"/>
    <col min="775" max="775" width="17.08203125" style="1148" customWidth="1"/>
    <col min="776" max="1024" width="9.08203125" style="1148"/>
    <col min="1025" max="1025" width="5.08203125" style="1148" customWidth="1"/>
    <col min="1026" max="1026" width="64.4140625" style="1148" customWidth="1"/>
    <col min="1027" max="1027" width="14.6640625" style="1148" customWidth="1"/>
    <col min="1028" max="1028" width="23" style="1148" customWidth="1"/>
    <col min="1029" max="1029" width="20.08203125" style="1148" customWidth="1"/>
    <col min="1030" max="1030" width="14" style="1148" customWidth="1"/>
    <col min="1031" max="1031" width="17.08203125" style="1148" customWidth="1"/>
    <col min="1032" max="1280" width="9.08203125" style="1148"/>
    <col min="1281" max="1281" width="5.08203125" style="1148" customWidth="1"/>
    <col min="1282" max="1282" width="64.4140625" style="1148" customWidth="1"/>
    <col min="1283" max="1283" width="14.6640625" style="1148" customWidth="1"/>
    <col min="1284" max="1284" width="23" style="1148" customWidth="1"/>
    <col min="1285" max="1285" width="20.08203125" style="1148" customWidth="1"/>
    <col min="1286" max="1286" width="14" style="1148" customWidth="1"/>
    <col min="1287" max="1287" width="17.08203125" style="1148" customWidth="1"/>
    <col min="1288" max="1536" width="9.08203125" style="1148"/>
    <col min="1537" max="1537" width="5.08203125" style="1148" customWidth="1"/>
    <col min="1538" max="1538" width="64.4140625" style="1148" customWidth="1"/>
    <col min="1539" max="1539" width="14.6640625" style="1148" customWidth="1"/>
    <col min="1540" max="1540" width="23" style="1148" customWidth="1"/>
    <col min="1541" max="1541" width="20.08203125" style="1148" customWidth="1"/>
    <col min="1542" max="1542" width="14" style="1148" customWidth="1"/>
    <col min="1543" max="1543" width="17.08203125" style="1148" customWidth="1"/>
    <col min="1544" max="1792" width="9.08203125" style="1148"/>
    <col min="1793" max="1793" width="5.08203125" style="1148" customWidth="1"/>
    <col min="1794" max="1794" width="64.4140625" style="1148" customWidth="1"/>
    <col min="1795" max="1795" width="14.6640625" style="1148" customWidth="1"/>
    <col min="1796" max="1796" width="23" style="1148" customWidth="1"/>
    <col min="1797" max="1797" width="20.08203125" style="1148" customWidth="1"/>
    <col min="1798" max="1798" width="14" style="1148" customWidth="1"/>
    <col min="1799" max="1799" width="17.08203125" style="1148" customWidth="1"/>
    <col min="1800" max="2048" width="9.08203125" style="1148"/>
    <col min="2049" max="2049" width="5.08203125" style="1148" customWidth="1"/>
    <col min="2050" max="2050" width="64.4140625" style="1148" customWidth="1"/>
    <col min="2051" max="2051" width="14.6640625" style="1148" customWidth="1"/>
    <col min="2052" max="2052" width="23" style="1148" customWidth="1"/>
    <col min="2053" max="2053" width="20.08203125" style="1148" customWidth="1"/>
    <col min="2054" max="2054" width="14" style="1148" customWidth="1"/>
    <col min="2055" max="2055" width="17.08203125" style="1148" customWidth="1"/>
    <col min="2056" max="2304" width="9.08203125" style="1148"/>
    <col min="2305" max="2305" width="5.08203125" style="1148" customWidth="1"/>
    <col min="2306" max="2306" width="64.4140625" style="1148" customWidth="1"/>
    <col min="2307" max="2307" width="14.6640625" style="1148" customWidth="1"/>
    <col min="2308" max="2308" width="23" style="1148" customWidth="1"/>
    <col min="2309" max="2309" width="20.08203125" style="1148" customWidth="1"/>
    <col min="2310" max="2310" width="14" style="1148" customWidth="1"/>
    <col min="2311" max="2311" width="17.08203125" style="1148" customWidth="1"/>
    <col min="2312" max="2560" width="9.08203125" style="1148"/>
    <col min="2561" max="2561" width="5.08203125" style="1148" customWidth="1"/>
    <col min="2562" max="2562" width="64.4140625" style="1148" customWidth="1"/>
    <col min="2563" max="2563" width="14.6640625" style="1148" customWidth="1"/>
    <col min="2564" max="2564" width="23" style="1148" customWidth="1"/>
    <col min="2565" max="2565" width="20.08203125" style="1148" customWidth="1"/>
    <col min="2566" max="2566" width="14" style="1148" customWidth="1"/>
    <col min="2567" max="2567" width="17.08203125" style="1148" customWidth="1"/>
    <col min="2568" max="2816" width="9.08203125" style="1148"/>
    <col min="2817" max="2817" width="5.08203125" style="1148" customWidth="1"/>
    <col min="2818" max="2818" width="64.4140625" style="1148" customWidth="1"/>
    <col min="2819" max="2819" width="14.6640625" style="1148" customWidth="1"/>
    <col min="2820" max="2820" width="23" style="1148" customWidth="1"/>
    <col min="2821" max="2821" width="20.08203125" style="1148" customWidth="1"/>
    <col min="2822" max="2822" width="14" style="1148" customWidth="1"/>
    <col min="2823" max="2823" width="17.08203125" style="1148" customWidth="1"/>
    <col min="2824" max="3072" width="9.08203125" style="1148"/>
    <col min="3073" max="3073" width="5.08203125" style="1148" customWidth="1"/>
    <col min="3074" max="3074" width="64.4140625" style="1148" customWidth="1"/>
    <col min="3075" max="3075" width="14.6640625" style="1148" customWidth="1"/>
    <col min="3076" max="3076" width="23" style="1148" customWidth="1"/>
    <col min="3077" max="3077" width="20.08203125" style="1148" customWidth="1"/>
    <col min="3078" max="3078" width="14" style="1148" customWidth="1"/>
    <col min="3079" max="3079" width="17.08203125" style="1148" customWidth="1"/>
    <col min="3080" max="3328" width="9.08203125" style="1148"/>
    <col min="3329" max="3329" width="5.08203125" style="1148" customWidth="1"/>
    <col min="3330" max="3330" width="64.4140625" style="1148" customWidth="1"/>
    <col min="3331" max="3331" width="14.6640625" style="1148" customWidth="1"/>
    <col min="3332" max="3332" width="23" style="1148" customWidth="1"/>
    <col min="3333" max="3333" width="20.08203125" style="1148" customWidth="1"/>
    <col min="3334" max="3334" width="14" style="1148" customWidth="1"/>
    <col min="3335" max="3335" width="17.08203125" style="1148" customWidth="1"/>
    <col min="3336" max="3584" width="9.08203125" style="1148"/>
    <col min="3585" max="3585" width="5.08203125" style="1148" customWidth="1"/>
    <col min="3586" max="3586" width="64.4140625" style="1148" customWidth="1"/>
    <col min="3587" max="3587" width="14.6640625" style="1148" customWidth="1"/>
    <col min="3588" max="3588" width="23" style="1148" customWidth="1"/>
    <col min="3589" max="3589" width="20.08203125" style="1148" customWidth="1"/>
    <col min="3590" max="3590" width="14" style="1148" customWidth="1"/>
    <col min="3591" max="3591" width="17.08203125" style="1148" customWidth="1"/>
    <col min="3592" max="3840" width="9.08203125" style="1148"/>
    <col min="3841" max="3841" width="5.08203125" style="1148" customWidth="1"/>
    <col min="3842" max="3842" width="64.4140625" style="1148" customWidth="1"/>
    <col min="3843" max="3843" width="14.6640625" style="1148" customWidth="1"/>
    <col min="3844" max="3844" width="23" style="1148" customWidth="1"/>
    <col min="3845" max="3845" width="20.08203125" style="1148" customWidth="1"/>
    <col min="3846" max="3846" width="14" style="1148" customWidth="1"/>
    <col min="3847" max="3847" width="17.08203125" style="1148" customWidth="1"/>
    <col min="3848" max="4096" width="9.08203125" style="1148"/>
    <col min="4097" max="4097" width="5.08203125" style="1148" customWidth="1"/>
    <col min="4098" max="4098" width="64.4140625" style="1148" customWidth="1"/>
    <col min="4099" max="4099" width="14.6640625" style="1148" customWidth="1"/>
    <col min="4100" max="4100" width="23" style="1148" customWidth="1"/>
    <col min="4101" max="4101" width="20.08203125" style="1148" customWidth="1"/>
    <col min="4102" max="4102" width="14" style="1148" customWidth="1"/>
    <col min="4103" max="4103" width="17.08203125" style="1148" customWidth="1"/>
    <col min="4104" max="4352" width="9.08203125" style="1148"/>
    <col min="4353" max="4353" width="5.08203125" style="1148" customWidth="1"/>
    <col min="4354" max="4354" width="64.4140625" style="1148" customWidth="1"/>
    <col min="4355" max="4355" width="14.6640625" style="1148" customWidth="1"/>
    <col min="4356" max="4356" width="23" style="1148" customWidth="1"/>
    <col min="4357" max="4357" width="20.08203125" style="1148" customWidth="1"/>
    <col min="4358" max="4358" width="14" style="1148" customWidth="1"/>
    <col min="4359" max="4359" width="17.08203125" style="1148" customWidth="1"/>
    <col min="4360" max="4608" width="9.08203125" style="1148"/>
    <col min="4609" max="4609" width="5.08203125" style="1148" customWidth="1"/>
    <col min="4610" max="4610" width="64.4140625" style="1148" customWidth="1"/>
    <col min="4611" max="4611" width="14.6640625" style="1148" customWidth="1"/>
    <col min="4612" max="4612" width="23" style="1148" customWidth="1"/>
    <col min="4613" max="4613" width="20.08203125" style="1148" customWidth="1"/>
    <col min="4614" max="4614" width="14" style="1148" customWidth="1"/>
    <col min="4615" max="4615" width="17.08203125" style="1148" customWidth="1"/>
    <col min="4616" max="4864" width="9.08203125" style="1148"/>
    <col min="4865" max="4865" width="5.08203125" style="1148" customWidth="1"/>
    <col min="4866" max="4866" width="64.4140625" style="1148" customWidth="1"/>
    <col min="4867" max="4867" width="14.6640625" style="1148" customWidth="1"/>
    <col min="4868" max="4868" width="23" style="1148" customWidth="1"/>
    <col min="4869" max="4869" width="20.08203125" style="1148" customWidth="1"/>
    <col min="4870" max="4870" width="14" style="1148" customWidth="1"/>
    <col min="4871" max="4871" width="17.08203125" style="1148" customWidth="1"/>
    <col min="4872" max="5120" width="9.08203125" style="1148"/>
    <col min="5121" max="5121" width="5.08203125" style="1148" customWidth="1"/>
    <col min="5122" max="5122" width="64.4140625" style="1148" customWidth="1"/>
    <col min="5123" max="5123" width="14.6640625" style="1148" customWidth="1"/>
    <col min="5124" max="5124" width="23" style="1148" customWidth="1"/>
    <col min="5125" max="5125" width="20.08203125" style="1148" customWidth="1"/>
    <col min="5126" max="5126" width="14" style="1148" customWidth="1"/>
    <col min="5127" max="5127" width="17.08203125" style="1148" customWidth="1"/>
    <col min="5128" max="5376" width="9.08203125" style="1148"/>
    <col min="5377" max="5377" width="5.08203125" style="1148" customWidth="1"/>
    <col min="5378" max="5378" width="64.4140625" style="1148" customWidth="1"/>
    <col min="5379" max="5379" width="14.6640625" style="1148" customWidth="1"/>
    <col min="5380" max="5380" width="23" style="1148" customWidth="1"/>
    <col min="5381" max="5381" width="20.08203125" style="1148" customWidth="1"/>
    <col min="5382" max="5382" width="14" style="1148" customWidth="1"/>
    <col min="5383" max="5383" width="17.08203125" style="1148" customWidth="1"/>
    <col min="5384" max="5632" width="9.08203125" style="1148"/>
    <col min="5633" max="5633" width="5.08203125" style="1148" customWidth="1"/>
    <col min="5634" max="5634" width="64.4140625" style="1148" customWidth="1"/>
    <col min="5635" max="5635" width="14.6640625" style="1148" customWidth="1"/>
    <col min="5636" max="5636" width="23" style="1148" customWidth="1"/>
    <col min="5637" max="5637" width="20.08203125" style="1148" customWidth="1"/>
    <col min="5638" max="5638" width="14" style="1148" customWidth="1"/>
    <col min="5639" max="5639" width="17.08203125" style="1148" customWidth="1"/>
    <col min="5640" max="5888" width="9.08203125" style="1148"/>
    <col min="5889" max="5889" width="5.08203125" style="1148" customWidth="1"/>
    <col min="5890" max="5890" width="64.4140625" style="1148" customWidth="1"/>
    <col min="5891" max="5891" width="14.6640625" style="1148" customWidth="1"/>
    <col min="5892" max="5892" width="23" style="1148" customWidth="1"/>
    <col min="5893" max="5893" width="20.08203125" style="1148" customWidth="1"/>
    <col min="5894" max="5894" width="14" style="1148" customWidth="1"/>
    <col min="5895" max="5895" width="17.08203125" style="1148" customWidth="1"/>
    <col min="5896" max="6144" width="9.08203125" style="1148"/>
    <col min="6145" max="6145" width="5.08203125" style="1148" customWidth="1"/>
    <col min="6146" max="6146" width="64.4140625" style="1148" customWidth="1"/>
    <col min="6147" max="6147" width="14.6640625" style="1148" customWidth="1"/>
    <col min="6148" max="6148" width="23" style="1148" customWidth="1"/>
    <col min="6149" max="6149" width="20.08203125" style="1148" customWidth="1"/>
    <col min="6150" max="6150" width="14" style="1148" customWidth="1"/>
    <col min="6151" max="6151" width="17.08203125" style="1148" customWidth="1"/>
    <col min="6152" max="6400" width="9.08203125" style="1148"/>
    <col min="6401" max="6401" width="5.08203125" style="1148" customWidth="1"/>
    <col min="6402" max="6402" width="64.4140625" style="1148" customWidth="1"/>
    <col min="6403" max="6403" width="14.6640625" style="1148" customWidth="1"/>
    <col min="6404" max="6404" width="23" style="1148" customWidth="1"/>
    <col min="6405" max="6405" width="20.08203125" style="1148" customWidth="1"/>
    <col min="6406" max="6406" width="14" style="1148" customWidth="1"/>
    <col min="6407" max="6407" width="17.08203125" style="1148" customWidth="1"/>
    <col min="6408" max="6656" width="9.08203125" style="1148"/>
    <col min="6657" max="6657" width="5.08203125" style="1148" customWidth="1"/>
    <col min="6658" max="6658" width="64.4140625" style="1148" customWidth="1"/>
    <col min="6659" max="6659" width="14.6640625" style="1148" customWidth="1"/>
    <col min="6660" max="6660" width="23" style="1148" customWidth="1"/>
    <col min="6661" max="6661" width="20.08203125" style="1148" customWidth="1"/>
    <col min="6662" max="6662" width="14" style="1148" customWidth="1"/>
    <col min="6663" max="6663" width="17.08203125" style="1148" customWidth="1"/>
    <col min="6664" max="6912" width="9.08203125" style="1148"/>
    <col min="6913" max="6913" width="5.08203125" style="1148" customWidth="1"/>
    <col min="6914" max="6914" width="64.4140625" style="1148" customWidth="1"/>
    <col min="6915" max="6915" width="14.6640625" style="1148" customWidth="1"/>
    <col min="6916" max="6916" width="23" style="1148" customWidth="1"/>
    <col min="6917" max="6917" width="20.08203125" style="1148" customWidth="1"/>
    <col min="6918" max="6918" width="14" style="1148" customWidth="1"/>
    <col min="6919" max="6919" width="17.08203125" style="1148" customWidth="1"/>
    <col min="6920" max="7168" width="9.08203125" style="1148"/>
    <col min="7169" max="7169" width="5.08203125" style="1148" customWidth="1"/>
    <col min="7170" max="7170" width="64.4140625" style="1148" customWidth="1"/>
    <col min="7171" max="7171" width="14.6640625" style="1148" customWidth="1"/>
    <col min="7172" max="7172" width="23" style="1148" customWidth="1"/>
    <col min="7173" max="7173" width="20.08203125" style="1148" customWidth="1"/>
    <col min="7174" max="7174" width="14" style="1148" customWidth="1"/>
    <col min="7175" max="7175" width="17.08203125" style="1148" customWidth="1"/>
    <col min="7176" max="7424" width="9.08203125" style="1148"/>
    <col min="7425" max="7425" width="5.08203125" style="1148" customWidth="1"/>
    <col min="7426" max="7426" width="64.4140625" style="1148" customWidth="1"/>
    <col min="7427" max="7427" width="14.6640625" style="1148" customWidth="1"/>
    <col min="7428" max="7428" width="23" style="1148" customWidth="1"/>
    <col min="7429" max="7429" width="20.08203125" style="1148" customWidth="1"/>
    <col min="7430" max="7430" width="14" style="1148" customWidth="1"/>
    <col min="7431" max="7431" width="17.08203125" style="1148" customWidth="1"/>
    <col min="7432" max="7680" width="9.08203125" style="1148"/>
    <col min="7681" max="7681" width="5.08203125" style="1148" customWidth="1"/>
    <col min="7682" max="7682" width="64.4140625" style="1148" customWidth="1"/>
    <col min="7683" max="7683" width="14.6640625" style="1148" customWidth="1"/>
    <col min="7684" max="7684" width="23" style="1148" customWidth="1"/>
    <col min="7685" max="7685" width="20.08203125" style="1148" customWidth="1"/>
    <col min="7686" max="7686" width="14" style="1148" customWidth="1"/>
    <col min="7687" max="7687" width="17.08203125" style="1148" customWidth="1"/>
    <col min="7688" max="7936" width="9.08203125" style="1148"/>
    <col min="7937" max="7937" width="5.08203125" style="1148" customWidth="1"/>
    <col min="7938" max="7938" width="64.4140625" style="1148" customWidth="1"/>
    <col min="7939" max="7939" width="14.6640625" style="1148" customWidth="1"/>
    <col min="7940" max="7940" width="23" style="1148" customWidth="1"/>
    <col min="7941" max="7941" width="20.08203125" style="1148" customWidth="1"/>
    <col min="7942" max="7942" width="14" style="1148" customWidth="1"/>
    <col min="7943" max="7943" width="17.08203125" style="1148" customWidth="1"/>
    <col min="7944" max="8192" width="9.08203125" style="1148"/>
    <col min="8193" max="8193" width="5.08203125" style="1148" customWidth="1"/>
    <col min="8194" max="8194" width="64.4140625" style="1148" customWidth="1"/>
    <col min="8195" max="8195" width="14.6640625" style="1148" customWidth="1"/>
    <col min="8196" max="8196" width="23" style="1148" customWidth="1"/>
    <col min="8197" max="8197" width="20.08203125" style="1148" customWidth="1"/>
    <col min="8198" max="8198" width="14" style="1148" customWidth="1"/>
    <col min="8199" max="8199" width="17.08203125" style="1148" customWidth="1"/>
    <col min="8200" max="8448" width="9.08203125" style="1148"/>
    <col min="8449" max="8449" width="5.08203125" style="1148" customWidth="1"/>
    <col min="8450" max="8450" width="64.4140625" style="1148" customWidth="1"/>
    <col min="8451" max="8451" width="14.6640625" style="1148" customWidth="1"/>
    <col min="8452" max="8452" width="23" style="1148" customWidth="1"/>
    <col min="8453" max="8453" width="20.08203125" style="1148" customWidth="1"/>
    <col min="8454" max="8454" width="14" style="1148" customWidth="1"/>
    <col min="8455" max="8455" width="17.08203125" style="1148" customWidth="1"/>
    <col min="8456" max="8704" width="9.08203125" style="1148"/>
    <col min="8705" max="8705" width="5.08203125" style="1148" customWidth="1"/>
    <col min="8706" max="8706" width="64.4140625" style="1148" customWidth="1"/>
    <col min="8707" max="8707" width="14.6640625" style="1148" customWidth="1"/>
    <col min="8708" max="8708" width="23" style="1148" customWidth="1"/>
    <col min="8709" max="8709" width="20.08203125" style="1148" customWidth="1"/>
    <col min="8710" max="8710" width="14" style="1148" customWidth="1"/>
    <col min="8711" max="8711" width="17.08203125" style="1148" customWidth="1"/>
    <col min="8712" max="8960" width="9.08203125" style="1148"/>
    <col min="8961" max="8961" width="5.08203125" style="1148" customWidth="1"/>
    <col min="8962" max="8962" width="64.4140625" style="1148" customWidth="1"/>
    <col min="8963" max="8963" width="14.6640625" style="1148" customWidth="1"/>
    <col min="8964" max="8964" width="23" style="1148" customWidth="1"/>
    <col min="8965" max="8965" width="20.08203125" style="1148" customWidth="1"/>
    <col min="8966" max="8966" width="14" style="1148" customWidth="1"/>
    <col min="8967" max="8967" width="17.08203125" style="1148" customWidth="1"/>
    <col min="8968" max="9216" width="9.08203125" style="1148"/>
    <col min="9217" max="9217" width="5.08203125" style="1148" customWidth="1"/>
    <col min="9218" max="9218" width="64.4140625" style="1148" customWidth="1"/>
    <col min="9219" max="9219" width="14.6640625" style="1148" customWidth="1"/>
    <col min="9220" max="9220" width="23" style="1148" customWidth="1"/>
    <col min="9221" max="9221" width="20.08203125" style="1148" customWidth="1"/>
    <col min="9222" max="9222" width="14" style="1148" customWidth="1"/>
    <col min="9223" max="9223" width="17.08203125" style="1148" customWidth="1"/>
    <col min="9224" max="9472" width="9.08203125" style="1148"/>
    <col min="9473" max="9473" width="5.08203125" style="1148" customWidth="1"/>
    <col min="9474" max="9474" width="64.4140625" style="1148" customWidth="1"/>
    <col min="9475" max="9475" width="14.6640625" style="1148" customWidth="1"/>
    <col min="9476" max="9476" width="23" style="1148" customWidth="1"/>
    <col min="9477" max="9477" width="20.08203125" style="1148" customWidth="1"/>
    <col min="9478" max="9478" width="14" style="1148" customWidth="1"/>
    <col min="9479" max="9479" width="17.08203125" style="1148" customWidth="1"/>
    <col min="9480" max="9728" width="9.08203125" style="1148"/>
    <col min="9729" max="9729" width="5.08203125" style="1148" customWidth="1"/>
    <col min="9730" max="9730" width="64.4140625" style="1148" customWidth="1"/>
    <col min="9731" max="9731" width="14.6640625" style="1148" customWidth="1"/>
    <col min="9732" max="9732" width="23" style="1148" customWidth="1"/>
    <col min="9733" max="9733" width="20.08203125" style="1148" customWidth="1"/>
    <col min="9734" max="9734" width="14" style="1148" customWidth="1"/>
    <col min="9735" max="9735" width="17.08203125" style="1148" customWidth="1"/>
    <col min="9736" max="9984" width="9.08203125" style="1148"/>
    <col min="9985" max="9985" width="5.08203125" style="1148" customWidth="1"/>
    <col min="9986" max="9986" width="64.4140625" style="1148" customWidth="1"/>
    <col min="9987" max="9987" width="14.6640625" style="1148" customWidth="1"/>
    <col min="9988" max="9988" width="23" style="1148" customWidth="1"/>
    <col min="9989" max="9989" width="20.08203125" style="1148" customWidth="1"/>
    <col min="9990" max="9990" width="14" style="1148" customWidth="1"/>
    <col min="9991" max="9991" width="17.08203125" style="1148" customWidth="1"/>
    <col min="9992" max="10240" width="9.08203125" style="1148"/>
    <col min="10241" max="10241" width="5.08203125" style="1148" customWidth="1"/>
    <col min="10242" max="10242" width="64.4140625" style="1148" customWidth="1"/>
    <col min="10243" max="10243" width="14.6640625" style="1148" customWidth="1"/>
    <col min="10244" max="10244" width="23" style="1148" customWidth="1"/>
    <col min="10245" max="10245" width="20.08203125" style="1148" customWidth="1"/>
    <col min="10246" max="10246" width="14" style="1148" customWidth="1"/>
    <col min="10247" max="10247" width="17.08203125" style="1148" customWidth="1"/>
    <col min="10248" max="10496" width="9.08203125" style="1148"/>
    <col min="10497" max="10497" width="5.08203125" style="1148" customWidth="1"/>
    <col min="10498" max="10498" width="64.4140625" style="1148" customWidth="1"/>
    <col min="10499" max="10499" width="14.6640625" style="1148" customWidth="1"/>
    <col min="10500" max="10500" width="23" style="1148" customWidth="1"/>
    <col min="10501" max="10501" width="20.08203125" style="1148" customWidth="1"/>
    <col min="10502" max="10502" width="14" style="1148" customWidth="1"/>
    <col min="10503" max="10503" width="17.08203125" style="1148" customWidth="1"/>
    <col min="10504" max="10752" width="9.08203125" style="1148"/>
    <col min="10753" max="10753" width="5.08203125" style="1148" customWidth="1"/>
    <col min="10754" max="10754" width="64.4140625" style="1148" customWidth="1"/>
    <col min="10755" max="10755" width="14.6640625" style="1148" customWidth="1"/>
    <col min="10756" max="10756" width="23" style="1148" customWidth="1"/>
    <col min="10757" max="10757" width="20.08203125" style="1148" customWidth="1"/>
    <col min="10758" max="10758" width="14" style="1148" customWidth="1"/>
    <col min="10759" max="10759" width="17.08203125" style="1148" customWidth="1"/>
    <col min="10760" max="11008" width="9.08203125" style="1148"/>
    <col min="11009" max="11009" width="5.08203125" style="1148" customWidth="1"/>
    <col min="11010" max="11010" width="64.4140625" style="1148" customWidth="1"/>
    <col min="11011" max="11011" width="14.6640625" style="1148" customWidth="1"/>
    <col min="11012" max="11012" width="23" style="1148" customWidth="1"/>
    <col min="11013" max="11013" width="20.08203125" style="1148" customWidth="1"/>
    <col min="11014" max="11014" width="14" style="1148" customWidth="1"/>
    <col min="11015" max="11015" width="17.08203125" style="1148" customWidth="1"/>
    <col min="11016" max="11264" width="9.08203125" style="1148"/>
    <col min="11265" max="11265" width="5.08203125" style="1148" customWidth="1"/>
    <col min="11266" max="11266" width="64.4140625" style="1148" customWidth="1"/>
    <col min="11267" max="11267" width="14.6640625" style="1148" customWidth="1"/>
    <col min="11268" max="11268" width="23" style="1148" customWidth="1"/>
    <col min="11269" max="11269" width="20.08203125" style="1148" customWidth="1"/>
    <col min="11270" max="11270" width="14" style="1148" customWidth="1"/>
    <col min="11271" max="11271" width="17.08203125" style="1148" customWidth="1"/>
    <col min="11272" max="11520" width="9.08203125" style="1148"/>
    <col min="11521" max="11521" width="5.08203125" style="1148" customWidth="1"/>
    <col min="11522" max="11522" width="64.4140625" style="1148" customWidth="1"/>
    <col min="11523" max="11523" width="14.6640625" style="1148" customWidth="1"/>
    <col min="11524" max="11524" width="23" style="1148" customWidth="1"/>
    <col min="11525" max="11525" width="20.08203125" style="1148" customWidth="1"/>
    <col min="11526" max="11526" width="14" style="1148" customWidth="1"/>
    <col min="11527" max="11527" width="17.08203125" style="1148" customWidth="1"/>
    <col min="11528" max="11776" width="9.08203125" style="1148"/>
    <col min="11777" max="11777" width="5.08203125" style="1148" customWidth="1"/>
    <col min="11778" max="11778" width="64.4140625" style="1148" customWidth="1"/>
    <col min="11779" max="11779" width="14.6640625" style="1148" customWidth="1"/>
    <col min="11780" max="11780" width="23" style="1148" customWidth="1"/>
    <col min="11781" max="11781" width="20.08203125" style="1148" customWidth="1"/>
    <col min="11782" max="11782" width="14" style="1148" customWidth="1"/>
    <col min="11783" max="11783" width="17.08203125" style="1148" customWidth="1"/>
    <col min="11784" max="12032" width="9.08203125" style="1148"/>
    <col min="12033" max="12033" width="5.08203125" style="1148" customWidth="1"/>
    <col min="12034" max="12034" width="64.4140625" style="1148" customWidth="1"/>
    <col min="12035" max="12035" width="14.6640625" style="1148" customWidth="1"/>
    <col min="12036" max="12036" width="23" style="1148" customWidth="1"/>
    <col min="12037" max="12037" width="20.08203125" style="1148" customWidth="1"/>
    <col min="12038" max="12038" width="14" style="1148" customWidth="1"/>
    <col min="12039" max="12039" width="17.08203125" style="1148" customWidth="1"/>
    <col min="12040" max="12288" width="9.08203125" style="1148"/>
    <col min="12289" max="12289" width="5.08203125" style="1148" customWidth="1"/>
    <col min="12290" max="12290" width="64.4140625" style="1148" customWidth="1"/>
    <col min="12291" max="12291" width="14.6640625" style="1148" customWidth="1"/>
    <col min="12292" max="12292" width="23" style="1148" customWidth="1"/>
    <col min="12293" max="12293" width="20.08203125" style="1148" customWidth="1"/>
    <col min="12294" max="12294" width="14" style="1148" customWidth="1"/>
    <col min="12295" max="12295" width="17.08203125" style="1148" customWidth="1"/>
    <col min="12296" max="12544" width="9.08203125" style="1148"/>
    <col min="12545" max="12545" width="5.08203125" style="1148" customWidth="1"/>
    <col min="12546" max="12546" width="64.4140625" style="1148" customWidth="1"/>
    <col min="12547" max="12547" width="14.6640625" style="1148" customWidth="1"/>
    <col min="12548" max="12548" width="23" style="1148" customWidth="1"/>
    <col min="12549" max="12549" width="20.08203125" style="1148" customWidth="1"/>
    <col min="12550" max="12550" width="14" style="1148" customWidth="1"/>
    <col min="12551" max="12551" width="17.08203125" style="1148" customWidth="1"/>
    <col min="12552" max="12800" width="9.08203125" style="1148"/>
    <col min="12801" max="12801" width="5.08203125" style="1148" customWidth="1"/>
    <col min="12802" max="12802" width="64.4140625" style="1148" customWidth="1"/>
    <col min="12803" max="12803" width="14.6640625" style="1148" customWidth="1"/>
    <col min="12804" max="12804" width="23" style="1148" customWidth="1"/>
    <col min="12805" max="12805" width="20.08203125" style="1148" customWidth="1"/>
    <col min="12806" max="12806" width="14" style="1148" customWidth="1"/>
    <col min="12807" max="12807" width="17.08203125" style="1148" customWidth="1"/>
    <col min="12808" max="13056" width="9.08203125" style="1148"/>
    <col min="13057" max="13057" width="5.08203125" style="1148" customWidth="1"/>
    <col min="13058" max="13058" width="64.4140625" style="1148" customWidth="1"/>
    <col min="13059" max="13059" width="14.6640625" style="1148" customWidth="1"/>
    <col min="13060" max="13060" width="23" style="1148" customWidth="1"/>
    <col min="13061" max="13061" width="20.08203125" style="1148" customWidth="1"/>
    <col min="13062" max="13062" width="14" style="1148" customWidth="1"/>
    <col min="13063" max="13063" width="17.08203125" style="1148" customWidth="1"/>
    <col min="13064" max="13312" width="9.08203125" style="1148"/>
    <col min="13313" max="13313" width="5.08203125" style="1148" customWidth="1"/>
    <col min="13314" max="13314" width="64.4140625" style="1148" customWidth="1"/>
    <col min="13315" max="13315" width="14.6640625" style="1148" customWidth="1"/>
    <col min="13316" max="13316" width="23" style="1148" customWidth="1"/>
    <col min="13317" max="13317" width="20.08203125" style="1148" customWidth="1"/>
    <col min="13318" max="13318" width="14" style="1148" customWidth="1"/>
    <col min="13319" max="13319" width="17.08203125" style="1148" customWidth="1"/>
    <col min="13320" max="13568" width="9.08203125" style="1148"/>
    <col min="13569" max="13569" width="5.08203125" style="1148" customWidth="1"/>
    <col min="13570" max="13570" width="64.4140625" style="1148" customWidth="1"/>
    <col min="13571" max="13571" width="14.6640625" style="1148" customWidth="1"/>
    <col min="13572" max="13572" width="23" style="1148" customWidth="1"/>
    <col min="13573" max="13573" width="20.08203125" style="1148" customWidth="1"/>
    <col min="13574" max="13574" width="14" style="1148" customWidth="1"/>
    <col min="13575" max="13575" width="17.08203125" style="1148" customWidth="1"/>
    <col min="13576" max="13824" width="9.08203125" style="1148"/>
    <col min="13825" max="13825" width="5.08203125" style="1148" customWidth="1"/>
    <col min="13826" max="13826" width="64.4140625" style="1148" customWidth="1"/>
    <col min="13827" max="13827" width="14.6640625" style="1148" customWidth="1"/>
    <col min="13828" max="13828" width="23" style="1148" customWidth="1"/>
    <col min="13829" max="13829" width="20.08203125" style="1148" customWidth="1"/>
    <col min="13830" max="13830" width="14" style="1148" customWidth="1"/>
    <col min="13831" max="13831" width="17.08203125" style="1148" customWidth="1"/>
    <col min="13832" max="14080" width="9.08203125" style="1148"/>
    <col min="14081" max="14081" width="5.08203125" style="1148" customWidth="1"/>
    <col min="14082" max="14082" width="64.4140625" style="1148" customWidth="1"/>
    <col min="14083" max="14083" width="14.6640625" style="1148" customWidth="1"/>
    <col min="14084" max="14084" width="23" style="1148" customWidth="1"/>
    <col min="14085" max="14085" width="20.08203125" style="1148" customWidth="1"/>
    <col min="14086" max="14086" width="14" style="1148" customWidth="1"/>
    <col min="14087" max="14087" width="17.08203125" style="1148" customWidth="1"/>
    <col min="14088" max="14336" width="9.08203125" style="1148"/>
    <col min="14337" max="14337" width="5.08203125" style="1148" customWidth="1"/>
    <col min="14338" max="14338" width="64.4140625" style="1148" customWidth="1"/>
    <col min="14339" max="14339" width="14.6640625" style="1148" customWidth="1"/>
    <col min="14340" max="14340" width="23" style="1148" customWidth="1"/>
    <col min="14341" max="14341" width="20.08203125" style="1148" customWidth="1"/>
    <col min="14342" max="14342" width="14" style="1148" customWidth="1"/>
    <col min="14343" max="14343" width="17.08203125" style="1148" customWidth="1"/>
    <col min="14344" max="14592" width="9.08203125" style="1148"/>
    <col min="14593" max="14593" width="5.08203125" style="1148" customWidth="1"/>
    <col min="14594" max="14594" width="64.4140625" style="1148" customWidth="1"/>
    <col min="14595" max="14595" width="14.6640625" style="1148" customWidth="1"/>
    <col min="14596" max="14596" width="23" style="1148" customWidth="1"/>
    <col min="14597" max="14597" width="20.08203125" style="1148" customWidth="1"/>
    <col min="14598" max="14598" width="14" style="1148" customWidth="1"/>
    <col min="14599" max="14599" width="17.08203125" style="1148" customWidth="1"/>
    <col min="14600" max="14848" width="9.08203125" style="1148"/>
    <col min="14849" max="14849" width="5.08203125" style="1148" customWidth="1"/>
    <col min="14850" max="14850" width="64.4140625" style="1148" customWidth="1"/>
    <col min="14851" max="14851" width="14.6640625" style="1148" customWidth="1"/>
    <col min="14852" max="14852" width="23" style="1148" customWidth="1"/>
    <col min="14853" max="14853" width="20.08203125" style="1148" customWidth="1"/>
    <col min="14854" max="14854" width="14" style="1148" customWidth="1"/>
    <col min="14855" max="14855" width="17.08203125" style="1148" customWidth="1"/>
    <col min="14856" max="15104" width="9.08203125" style="1148"/>
    <col min="15105" max="15105" width="5.08203125" style="1148" customWidth="1"/>
    <col min="15106" max="15106" width="64.4140625" style="1148" customWidth="1"/>
    <col min="15107" max="15107" width="14.6640625" style="1148" customWidth="1"/>
    <col min="15108" max="15108" width="23" style="1148" customWidth="1"/>
    <col min="15109" max="15109" width="20.08203125" style="1148" customWidth="1"/>
    <col min="15110" max="15110" width="14" style="1148" customWidth="1"/>
    <col min="15111" max="15111" width="17.08203125" style="1148" customWidth="1"/>
    <col min="15112" max="15360" width="9.08203125" style="1148"/>
    <col min="15361" max="15361" width="5.08203125" style="1148" customWidth="1"/>
    <col min="15362" max="15362" width="64.4140625" style="1148" customWidth="1"/>
    <col min="15363" max="15363" width="14.6640625" style="1148" customWidth="1"/>
    <col min="15364" max="15364" width="23" style="1148" customWidth="1"/>
    <col min="15365" max="15365" width="20.08203125" style="1148" customWidth="1"/>
    <col min="15366" max="15366" width="14" style="1148" customWidth="1"/>
    <col min="15367" max="15367" width="17.08203125" style="1148" customWidth="1"/>
    <col min="15368" max="15616" width="9.08203125" style="1148"/>
    <col min="15617" max="15617" width="5.08203125" style="1148" customWidth="1"/>
    <col min="15618" max="15618" width="64.4140625" style="1148" customWidth="1"/>
    <col min="15619" max="15619" width="14.6640625" style="1148" customWidth="1"/>
    <col min="15620" max="15620" width="23" style="1148" customWidth="1"/>
    <col min="15621" max="15621" width="20.08203125" style="1148" customWidth="1"/>
    <col min="15622" max="15622" width="14" style="1148" customWidth="1"/>
    <col min="15623" max="15623" width="17.08203125" style="1148" customWidth="1"/>
    <col min="15624" max="15872" width="9.08203125" style="1148"/>
    <col min="15873" max="15873" width="5.08203125" style="1148" customWidth="1"/>
    <col min="15874" max="15874" width="64.4140625" style="1148" customWidth="1"/>
    <col min="15875" max="15875" width="14.6640625" style="1148" customWidth="1"/>
    <col min="15876" max="15876" width="23" style="1148" customWidth="1"/>
    <col min="15877" max="15877" width="20.08203125" style="1148" customWidth="1"/>
    <col min="15878" max="15878" width="14" style="1148" customWidth="1"/>
    <col min="15879" max="15879" width="17.08203125" style="1148" customWidth="1"/>
    <col min="15880" max="16128" width="9.08203125" style="1148"/>
    <col min="16129" max="16129" width="5.08203125" style="1148" customWidth="1"/>
    <col min="16130" max="16130" width="64.4140625" style="1148" customWidth="1"/>
    <col min="16131" max="16131" width="14.6640625" style="1148" customWidth="1"/>
    <col min="16132" max="16132" width="23" style="1148" customWidth="1"/>
    <col min="16133" max="16133" width="20.08203125" style="1148" customWidth="1"/>
    <col min="16134" max="16134" width="14" style="1148" customWidth="1"/>
    <col min="16135" max="16135" width="17.08203125" style="1148" customWidth="1"/>
    <col min="16136" max="16384" width="9.08203125" style="1148"/>
  </cols>
  <sheetData>
    <row r="1" spans="1:8" ht="27.75" customHeight="1">
      <c r="A1" s="1674" t="s">
        <v>2906</v>
      </c>
      <c r="B1" s="1674"/>
      <c r="C1" s="1674"/>
      <c r="D1" s="1674"/>
      <c r="E1" s="1674"/>
      <c r="F1" s="1674"/>
    </row>
    <row r="2" spans="1:8" ht="21.75" customHeight="1">
      <c r="A2" s="1675" t="s">
        <v>2882</v>
      </c>
      <c r="B2" s="1675"/>
      <c r="C2" s="1675"/>
      <c r="D2" s="1675"/>
      <c r="E2" s="1675"/>
      <c r="F2" s="1675"/>
    </row>
    <row r="3" spans="1:8" s="1152" customFormat="1" ht="28.5" hidden="1" customHeight="1">
      <c r="A3" s="1677" t="str">
        <f>'[1]TH Chung (NQ)'!A3:G3</f>
        <v>(Kèm theo Nghị quyết số:               /NQ-HĐND ngày        tháng 6 năm 2022 của Hội đồng nhân dân tỉnh Lai Châu)</v>
      </c>
      <c r="B3" s="1677"/>
      <c r="C3" s="1677"/>
      <c r="D3" s="1677"/>
      <c r="E3" s="1677"/>
      <c r="F3" s="1677"/>
    </row>
    <row r="4" spans="1:8" s="1152" customFormat="1" ht="23.25" customHeight="1">
      <c r="A4" s="1677" t="e">
        <f>#REF!</f>
        <v>#REF!</v>
      </c>
      <c r="B4" s="1677"/>
      <c r="C4" s="1677"/>
      <c r="D4" s="1677"/>
      <c r="E4" s="1677"/>
      <c r="F4" s="1677"/>
    </row>
    <row r="5" spans="1:8" ht="27.75" customHeight="1">
      <c r="A5" s="1676"/>
      <c r="B5" s="1676"/>
      <c r="C5" s="1676"/>
      <c r="D5" s="1676"/>
      <c r="E5" s="1676"/>
      <c r="F5" s="1676"/>
    </row>
    <row r="6" spans="1:8" s="1149" customFormat="1" ht="33.75" customHeight="1">
      <c r="A6" s="1678" t="s">
        <v>894</v>
      </c>
      <c r="B6" s="1678" t="s">
        <v>2883</v>
      </c>
      <c r="C6" s="1678" t="s">
        <v>737</v>
      </c>
      <c r="D6" s="1678" t="s">
        <v>2884</v>
      </c>
      <c r="E6" s="1678" t="s">
        <v>2885</v>
      </c>
      <c r="F6" s="1678" t="s">
        <v>2886</v>
      </c>
    </row>
    <row r="7" spans="1:8" s="1149" customFormat="1" ht="93" customHeight="1">
      <c r="A7" s="1679"/>
      <c r="B7" s="1679"/>
      <c r="C7" s="1679"/>
      <c r="D7" s="1679"/>
      <c r="E7" s="1679"/>
      <c r="F7" s="1679"/>
    </row>
    <row r="8" spans="1:8" s="1149" customFormat="1" ht="30">
      <c r="A8" s="1212">
        <v>1</v>
      </c>
      <c r="B8" s="1164" t="s">
        <v>2907</v>
      </c>
      <c r="C8" s="1164"/>
      <c r="D8" s="1164"/>
      <c r="E8" s="1164"/>
      <c r="F8" s="1165"/>
    </row>
    <row r="9" spans="1:8" s="1149" customFormat="1" ht="31">
      <c r="A9" s="1156" t="s">
        <v>710</v>
      </c>
      <c r="B9" s="1157" t="s">
        <v>2960</v>
      </c>
      <c r="C9" s="1156" t="s">
        <v>2887</v>
      </c>
      <c r="D9" s="1156">
        <v>3</v>
      </c>
      <c r="E9" s="1156">
        <v>3</v>
      </c>
      <c r="F9" s="1155"/>
    </row>
    <row r="10" spans="1:8" s="1149" customFormat="1" ht="15.5">
      <c r="A10" s="1156" t="s">
        <v>711</v>
      </c>
      <c r="B10" s="1157" t="s">
        <v>2888</v>
      </c>
      <c r="C10" s="1156"/>
      <c r="D10" s="1156"/>
      <c r="E10" s="1156"/>
      <c r="F10" s="1158" t="s">
        <v>2141</v>
      </c>
    </row>
    <row r="11" spans="1:8" s="1149" customFormat="1" ht="15.5">
      <c r="A11" s="1156" t="s">
        <v>742</v>
      </c>
      <c r="B11" s="1157" t="s">
        <v>2889</v>
      </c>
      <c r="C11" s="1156" t="s">
        <v>2890</v>
      </c>
      <c r="D11" s="1156">
        <v>28</v>
      </c>
      <c r="E11" s="1156">
        <v>18</v>
      </c>
      <c r="F11" s="1158"/>
    </row>
    <row r="12" spans="1:8" s="1149" customFormat="1" ht="15.5">
      <c r="A12" s="1156" t="s">
        <v>742</v>
      </c>
      <c r="B12" s="1157" t="s">
        <v>2891</v>
      </c>
      <c r="C12" s="1156" t="s">
        <v>2887</v>
      </c>
      <c r="D12" s="1156">
        <v>48.3</v>
      </c>
      <c r="E12" s="1156">
        <v>31</v>
      </c>
      <c r="F12" s="1155"/>
    </row>
    <row r="13" spans="1:8" s="1149" customFormat="1" ht="15.5">
      <c r="A13" s="1156" t="s">
        <v>712</v>
      </c>
      <c r="B13" s="1157" t="s">
        <v>2892</v>
      </c>
      <c r="C13" s="1156"/>
      <c r="D13" s="1156"/>
      <c r="E13" s="1156"/>
      <c r="F13" s="1158"/>
    </row>
    <row r="14" spans="1:8" s="1149" customFormat="1" ht="15.5">
      <c r="A14" s="1156" t="s">
        <v>742</v>
      </c>
      <c r="B14" s="1157" t="s">
        <v>2893</v>
      </c>
      <c r="C14" s="1156" t="s">
        <v>2894</v>
      </c>
      <c r="D14" s="1156">
        <v>51</v>
      </c>
      <c r="E14" s="1156">
        <v>114</v>
      </c>
      <c r="F14" s="1155"/>
      <c r="H14" s="1400">
        <v>114</v>
      </c>
    </row>
    <row r="15" spans="1:8" s="1149" customFormat="1" ht="21.75" hidden="1" customHeight="1">
      <c r="A15" s="1156" t="s">
        <v>742</v>
      </c>
      <c r="B15" s="1157" t="s">
        <v>2895</v>
      </c>
      <c r="C15" s="1156" t="s">
        <v>2887</v>
      </c>
      <c r="D15" s="1156">
        <v>50.5</v>
      </c>
      <c r="E15" s="1156">
        <v>50.5</v>
      </c>
      <c r="F15" s="1155"/>
      <c r="H15" s="1401">
        <f>++H14/458*100</f>
        <v>24.890829694323145</v>
      </c>
    </row>
    <row r="16" spans="1:8" s="1211" customFormat="1" ht="36.75" customHeight="1">
      <c r="A16" s="1153">
        <v>2</v>
      </c>
      <c r="B16" s="1159" t="s">
        <v>2896</v>
      </c>
      <c r="C16" s="1153"/>
      <c r="D16" s="1153"/>
      <c r="E16" s="1153"/>
      <c r="F16" s="1160"/>
    </row>
    <row r="17" spans="1:12" s="1149" customFormat="1" ht="21.75" customHeight="1">
      <c r="A17" s="1156" t="s">
        <v>742</v>
      </c>
      <c r="B17" s="1157" t="s">
        <v>2897</v>
      </c>
      <c r="C17" s="1156" t="s">
        <v>2887</v>
      </c>
      <c r="D17" s="1156">
        <v>3.1</v>
      </c>
      <c r="E17" s="1156">
        <v>3</v>
      </c>
      <c r="F17" s="1155"/>
    </row>
    <row r="18" spans="1:12" s="1211" customFormat="1" ht="30">
      <c r="A18" s="1153">
        <v>3</v>
      </c>
      <c r="B18" s="1154" t="s">
        <v>2898</v>
      </c>
      <c r="C18" s="1154"/>
      <c r="D18" s="1154"/>
      <c r="E18" s="1154"/>
      <c r="F18" s="1160"/>
    </row>
    <row r="19" spans="1:12" s="1149" customFormat="1" ht="15.5">
      <c r="A19" s="1156" t="s">
        <v>2303</v>
      </c>
      <c r="B19" s="1157" t="s">
        <v>2899</v>
      </c>
      <c r="C19" s="1156"/>
      <c r="D19" s="1156"/>
      <c r="E19" s="1156"/>
      <c r="F19" s="1155"/>
    </row>
    <row r="20" spans="1:12" s="1149" customFormat="1" ht="31">
      <c r="A20" s="1156" t="s">
        <v>742</v>
      </c>
      <c r="B20" s="1157" t="s">
        <v>2900</v>
      </c>
      <c r="C20" s="1156" t="s">
        <v>1412</v>
      </c>
      <c r="D20" s="1156">
        <v>4</v>
      </c>
      <c r="E20" s="1156">
        <v>4</v>
      </c>
      <c r="F20" s="1155"/>
    </row>
    <row r="21" spans="1:12" s="1149" customFormat="1" ht="15.5">
      <c r="A21" s="1156" t="s">
        <v>2313</v>
      </c>
      <c r="B21" s="1157" t="s">
        <v>2901</v>
      </c>
      <c r="C21" s="1156"/>
      <c r="D21" s="1156"/>
      <c r="E21" s="1156"/>
      <c r="F21" s="1155"/>
    </row>
    <row r="22" spans="1:12" s="1149" customFormat="1" ht="15.5">
      <c r="A22" s="1156" t="s">
        <v>742</v>
      </c>
      <c r="B22" s="1157" t="s">
        <v>2902</v>
      </c>
      <c r="C22" s="1156" t="s">
        <v>2887</v>
      </c>
      <c r="D22" s="1156">
        <v>57.4</v>
      </c>
      <c r="E22" s="1156">
        <v>57.5</v>
      </c>
      <c r="F22" s="1155"/>
    </row>
    <row r="23" spans="1:12" s="1149" customFormat="1" ht="15.5">
      <c r="A23" s="1156" t="s">
        <v>742</v>
      </c>
      <c r="B23" s="1157" t="s">
        <v>2903</v>
      </c>
      <c r="C23" s="1156" t="s">
        <v>2887</v>
      </c>
      <c r="D23" s="1156">
        <v>3.7</v>
      </c>
      <c r="E23" s="1156">
        <v>7.4</v>
      </c>
      <c r="F23" s="1155"/>
    </row>
    <row r="24" spans="1:12" s="1149" customFormat="1" ht="15.5">
      <c r="A24" s="1161" t="s">
        <v>742</v>
      </c>
      <c r="B24" s="1162" t="s">
        <v>2904</v>
      </c>
      <c r="C24" s="1161" t="s">
        <v>2887</v>
      </c>
      <c r="D24" s="1161">
        <v>5.6</v>
      </c>
      <c r="E24" s="1161">
        <v>0</v>
      </c>
      <c r="F24" s="1163" t="s">
        <v>2143</v>
      </c>
    </row>
    <row r="25" spans="1:12" ht="32.25" customHeight="1">
      <c r="A25" s="1680" t="s">
        <v>2905</v>
      </c>
      <c r="B25" s="1680"/>
      <c r="C25" s="1680"/>
      <c r="D25" s="1680"/>
      <c r="E25" s="1680"/>
    </row>
    <row r="26" spans="1:12" ht="75" customHeight="1">
      <c r="A26" s="1673" t="s">
        <v>3736</v>
      </c>
      <c r="B26" s="1673"/>
      <c r="C26" s="1673"/>
      <c r="D26" s="1673"/>
      <c r="E26" s="1673"/>
      <c r="F26" s="1673"/>
      <c r="G26" s="1673">
        <f>18/58*100</f>
        <v>31.03448275862069</v>
      </c>
      <c r="H26" s="1673"/>
      <c r="I26" s="1673"/>
      <c r="J26" s="1673"/>
      <c r="K26" s="1673"/>
      <c r="L26" s="1673"/>
    </row>
    <row r="27" spans="1:12" ht="84" customHeight="1">
      <c r="A27" s="1673" t="s">
        <v>3005</v>
      </c>
      <c r="B27" s="1673"/>
      <c r="C27" s="1673"/>
      <c r="D27" s="1673"/>
      <c r="E27" s="1673"/>
      <c r="F27" s="1673"/>
    </row>
    <row r="31" spans="1:12" ht="66.75" customHeight="1">
      <c r="A31" s="1673" t="s">
        <v>2961</v>
      </c>
      <c r="B31" s="1673"/>
      <c r="C31" s="1673"/>
      <c r="D31" s="1673"/>
      <c r="E31" s="1673"/>
      <c r="F31" s="1673"/>
      <c r="G31" s="1150"/>
    </row>
  </sheetData>
  <mergeCells count="16">
    <mergeCell ref="A31:F31"/>
    <mergeCell ref="G26:L26"/>
    <mergeCell ref="A27:F27"/>
    <mergeCell ref="A1:F1"/>
    <mergeCell ref="A2:F2"/>
    <mergeCell ref="A5:F5"/>
    <mergeCell ref="A3:F3"/>
    <mergeCell ref="A4:F4"/>
    <mergeCell ref="F6:F7"/>
    <mergeCell ref="A25:E25"/>
    <mergeCell ref="A26:F26"/>
    <mergeCell ref="A6:A7"/>
    <mergeCell ref="B6:B7"/>
    <mergeCell ref="C6:C7"/>
    <mergeCell ref="D6:D7"/>
    <mergeCell ref="E6:E7"/>
  </mergeCells>
  <pageMargins left="0.5" right="0.27" top="0.5" bottom="0.5" header="0.47" footer="0.3"/>
  <pageSetup paperSize="9" scale="90" orientation="portrait" r:id="rId1"/>
  <headerFooter>
    <oddFooter>Page &amp;P</oddFooter>
  </headerFooter>
  <ignoredErrors>
    <ignoredError sqref="F10:F12 F14:F24"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0070C0"/>
  </sheetPr>
  <dimension ref="A1:I194"/>
  <sheetViews>
    <sheetView workbookViewId="0">
      <pane xSplit="2" ySplit="5" topLeftCell="C65" activePane="bottomRight" state="frozen"/>
      <selection activeCell="M14" sqref="M14"/>
      <selection pane="topRight" activeCell="M14" sqref="M14"/>
      <selection pane="bottomLeft" activeCell="M14" sqref="M14"/>
      <selection pane="bottomRight" activeCell="L39" sqref="L39"/>
    </sheetView>
  </sheetViews>
  <sheetFormatPr defaultColWidth="9.08203125" defaultRowHeight="13"/>
  <cols>
    <col min="1" max="1" width="4.9140625" style="75" customWidth="1"/>
    <col min="2" max="2" width="52.9140625" style="75" customWidth="1"/>
    <col min="3" max="3" width="7.4140625" style="75" customWidth="1"/>
    <col min="4" max="4" width="6.9140625" style="75" customWidth="1"/>
    <col min="5" max="5" width="7.4140625" style="75" customWidth="1"/>
    <col min="6" max="6" width="8.4140625" style="105" customWidth="1"/>
    <col min="7" max="7" width="8.9140625" style="105" customWidth="1"/>
    <col min="8" max="8" width="8.6640625" style="105" customWidth="1"/>
    <col min="9" max="9" width="6.4140625" style="75" customWidth="1"/>
    <col min="10" max="16384" width="9.08203125" style="75"/>
  </cols>
  <sheetData>
    <row r="1" spans="1:9" ht="18" customHeight="1">
      <c r="A1" s="1810"/>
      <c r="B1" s="1810"/>
      <c r="C1" s="90"/>
      <c r="D1" s="90"/>
      <c r="E1" s="90"/>
      <c r="F1" s="433"/>
      <c r="G1" s="433"/>
      <c r="H1" s="1823" t="s">
        <v>2075</v>
      </c>
      <c r="I1" s="1823"/>
    </row>
    <row r="2" spans="1:9" ht="18" customHeight="1">
      <c r="A2" s="1780" t="s">
        <v>835</v>
      </c>
      <c r="B2" s="1780"/>
      <c r="C2" s="1780"/>
      <c r="D2" s="1780"/>
      <c r="E2" s="1780"/>
      <c r="F2" s="1780"/>
      <c r="G2" s="1780"/>
      <c r="H2" s="1780"/>
      <c r="I2" s="1780"/>
    </row>
    <row r="3" spans="1:9" ht="18" customHeight="1">
      <c r="A3" s="1814" t="s">
        <v>3</v>
      </c>
      <c r="B3" s="1814"/>
      <c r="C3" s="1814"/>
      <c r="D3" s="1814"/>
      <c r="E3" s="1814"/>
      <c r="F3" s="1814"/>
      <c r="G3" s="1814"/>
      <c r="H3" s="1814"/>
      <c r="I3" s="1814"/>
    </row>
    <row r="4" spans="1:9" s="434" customFormat="1" ht="21" customHeight="1">
      <c r="A4" s="1721" t="s">
        <v>4</v>
      </c>
      <c r="B4" s="1721" t="s">
        <v>5</v>
      </c>
      <c r="C4" s="1721" t="s">
        <v>826</v>
      </c>
      <c r="D4" s="1721" t="s">
        <v>738</v>
      </c>
      <c r="E4" s="1721" t="s">
        <v>739</v>
      </c>
      <c r="F4" s="1825" t="s">
        <v>1600</v>
      </c>
      <c r="G4" s="1825" t="s">
        <v>1601</v>
      </c>
      <c r="H4" s="1825" t="s">
        <v>36</v>
      </c>
      <c r="I4" s="1721" t="s">
        <v>33</v>
      </c>
    </row>
    <row r="5" spans="1:9" s="434" customFormat="1" ht="21" customHeight="1">
      <c r="A5" s="1723"/>
      <c r="B5" s="1723"/>
      <c r="C5" s="1723"/>
      <c r="D5" s="1723"/>
      <c r="E5" s="1723"/>
      <c r="F5" s="1826"/>
      <c r="G5" s="1826"/>
      <c r="H5" s="1826"/>
      <c r="I5" s="1723"/>
    </row>
    <row r="6" spans="1:9" s="489" customFormat="1" ht="18" customHeight="1">
      <c r="A6" s="462">
        <v>1</v>
      </c>
      <c r="B6" s="462">
        <v>2</v>
      </c>
      <c r="C6" s="462">
        <v>3</v>
      </c>
      <c r="D6" s="462">
        <v>4</v>
      </c>
      <c r="E6" s="462">
        <v>5</v>
      </c>
      <c r="F6" s="462">
        <v>6</v>
      </c>
      <c r="G6" s="462">
        <v>7</v>
      </c>
      <c r="H6" s="462">
        <v>8</v>
      </c>
      <c r="I6" s="462">
        <v>9</v>
      </c>
    </row>
    <row r="7" spans="1:9" s="434" customFormat="1" ht="18" customHeight="1">
      <c r="A7" s="18"/>
      <c r="B7" s="40" t="s">
        <v>7</v>
      </c>
      <c r="C7" s="40"/>
      <c r="D7" s="40"/>
      <c r="E7" s="40"/>
      <c r="F7" s="21">
        <f>+F8+F39</f>
        <v>9297</v>
      </c>
      <c r="G7" s="21">
        <f>+G8+G39</f>
        <v>435</v>
      </c>
      <c r="H7" s="21">
        <f>+H8+H39</f>
        <v>9732</v>
      </c>
      <c r="I7" s="18"/>
    </row>
    <row r="8" spans="1:9" s="435" customFormat="1" ht="18" customHeight="1">
      <c r="A8" s="40" t="s">
        <v>37</v>
      </c>
      <c r="B8" s="54" t="s">
        <v>733</v>
      </c>
      <c r="C8" s="40"/>
      <c r="D8" s="36"/>
      <c r="E8" s="40"/>
      <c r="F8" s="21">
        <f>+F9</f>
        <v>791</v>
      </c>
      <c r="G8" s="21">
        <f t="shared" ref="G8:H8" si="0">+G9</f>
        <v>41</v>
      </c>
      <c r="H8" s="21">
        <f t="shared" si="0"/>
        <v>832</v>
      </c>
      <c r="I8" s="40"/>
    </row>
    <row r="9" spans="1:9" s="435" customFormat="1" ht="32.25" customHeight="1">
      <c r="A9" s="40" t="s">
        <v>8</v>
      </c>
      <c r="B9" s="54" t="s">
        <v>1891</v>
      </c>
      <c r="C9" s="40"/>
      <c r="D9" s="40"/>
      <c r="E9" s="40"/>
      <c r="F9" s="24">
        <f t="shared" ref="F9" si="1">F10+F19</f>
        <v>791</v>
      </c>
      <c r="G9" s="21">
        <f t="shared" ref="G9" si="2">G10+G19</f>
        <v>41</v>
      </c>
      <c r="H9" s="24">
        <f>H10+H19</f>
        <v>832</v>
      </c>
      <c r="I9" s="436"/>
    </row>
    <row r="10" spans="1:9" s="438" customFormat="1" ht="27.75" customHeight="1">
      <c r="A10" s="424" t="s">
        <v>10</v>
      </c>
      <c r="B10" s="425" t="s">
        <v>1892</v>
      </c>
      <c r="C10" s="426"/>
      <c r="D10" s="427"/>
      <c r="E10" s="428"/>
      <c r="F10" s="428">
        <v>197</v>
      </c>
      <c r="G10" s="392">
        <f t="shared" ref="G10" si="3">H10-F10</f>
        <v>10</v>
      </c>
      <c r="H10" s="428">
        <f>H11+H15</f>
        <v>207</v>
      </c>
      <c r="I10" s="437"/>
    </row>
    <row r="11" spans="1:9" s="439" customFormat="1" ht="18" hidden="1" customHeight="1">
      <c r="A11" s="18" t="s">
        <v>701</v>
      </c>
      <c r="B11" s="19" t="s">
        <v>839</v>
      </c>
      <c r="C11" s="74"/>
      <c r="D11" s="28"/>
      <c r="E11" s="429"/>
      <c r="F11" s="25">
        <v>20</v>
      </c>
      <c r="G11" s="20">
        <f>+H11-F11</f>
        <v>1</v>
      </c>
      <c r="H11" s="25">
        <f t="shared" ref="H11" si="4">H12+H13+H14</f>
        <v>21</v>
      </c>
      <c r="I11" s="95" t="s">
        <v>1774</v>
      </c>
    </row>
    <row r="12" spans="1:9" s="439" customFormat="1" ht="18" hidden="1" customHeight="1">
      <c r="A12" s="13"/>
      <c r="B12" s="19" t="s">
        <v>840</v>
      </c>
      <c r="C12" s="74" t="s">
        <v>841</v>
      </c>
      <c r="D12" s="166">
        <f>4*8</f>
        <v>32</v>
      </c>
      <c r="E12" s="430">
        <f>100000/1000000</f>
        <v>0.1</v>
      </c>
      <c r="F12" s="25">
        <v>3</v>
      </c>
      <c r="G12" s="20">
        <f t="shared" ref="G12:G38" si="5">+H12-F12</f>
        <v>0</v>
      </c>
      <c r="H12" s="25">
        <v>3</v>
      </c>
      <c r="I12" s="95" t="s">
        <v>1774</v>
      </c>
    </row>
    <row r="13" spans="1:9" s="439" customFormat="1" ht="18" hidden="1" customHeight="1">
      <c r="A13" s="13"/>
      <c r="B13" s="19" t="s">
        <v>842</v>
      </c>
      <c r="C13" s="74" t="s">
        <v>843</v>
      </c>
      <c r="D13" s="166">
        <f>8*4</f>
        <v>32</v>
      </c>
      <c r="E13" s="430">
        <f>250000/1000000</f>
        <v>0.25</v>
      </c>
      <c r="F13" s="25">
        <v>8</v>
      </c>
      <c r="G13" s="20">
        <f t="shared" si="5"/>
        <v>0</v>
      </c>
      <c r="H13" s="25">
        <v>8</v>
      </c>
      <c r="I13" s="95" t="s">
        <v>1774</v>
      </c>
    </row>
    <row r="14" spans="1:9" s="439" customFormat="1" ht="18" hidden="1" customHeight="1">
      <c r="A14" s="13"/>
      <c r="B14" s="19" t="s">
        <v>844</v>
      </c>
      <c r="C14" s="74" t="s">
        <v>845</v>
      </c>
      <c r="D14" s="166">
        <f>8*6</f>
        <v>48</v>
      </c>
      <c r="E14" s="430">
        <f>200000/1000000</f>
        <v>0.2</v>
      </c>
      <c r="F14" s="25">
        <v>10</v>
      </c>
      <c r="G14" s="20">
        <f t="shared" si="5"/>
        <v>0</v>
      </c>
      <c r="H14" s="25">
        <v>10</v>
      </c>
      <c r="I14" s="95" t="s">
        <v>1774</v>
      </c>
    </row>
    <row r="15" spans="1:9" s="439" customFormat="1" ht="26" hidden="1">
      <c r="A15" s="18" t="s">
        <v>701</v>
      </c>
      <c r="B15" s="19" t="s">
        <v>846</v>
      </c>
      <c r="C15" s="74"/>
      <c r="D15" s="166"/>
      <c r="E15" s="430"/>
      <c r="F15" s="25">
        <v>177</v>
      </c>
      <c r="G15" s="20">
        <f t="shared" si="5"/>
        <v>9</v>
      </c>
      <c r="H15" s="25">
        <f t="shared" ref="H15" si="6">H16+H17+H18</f>
        <v>186</v>
      </c>
      <c r="I15" s="95" t="s">
        <v>1774</v>
      </c>
    </row>
    <row r="16" spans="1:9" s="439" customFormat="1" ht="18" hidden="1" customHeight="1">
      <c r="A16" s="13"/>
      <c r="B16" s="19" t="s">
        <v>847</v>
      </c>
      <c r="C16" s="74" t="s">
        <v>848</v>
      </c>
      <c r="D16" s="166">
        <f>8*2000</f>
        <v>16000</v>
      </c>
      <c r="E16" s="431">
        <f>6380/1000000</f>
        <v>6.3800000000000003E-3</v>
      </c>
      <c r="F16" s="25">
        <v>97</v>
      </c>
      <c r="G16" s="20">
        <f t="shared" si="5"/>
        <v>5</v>
      </c>
      <c r="H16" s="25">
        <v>102</v>
      </c>
      <c r="I16" s="95" t="s">
        <v>1774</v>
      </c>
    </row>
    <row r="17" spans="1:9" s="439" customFormat="1" ht="18" hidden="1" customHeight="1">
      <c r="A17" s="13"/>
      <c r="B17" s="19" t="s">
        <v>849</v>
      </c>
      <c r="C17" s="74" t="s">
        <v>843</v>
      </c>
      <c r="D17" s="166">
        <v>112</v>
      </c>
      <c r="E17" s="430">
        <f>450000/1000000</f>
        <v>0.45</v>
      </c>
      <c r="F17" s="25">
        <v>48</v>
      </c>
      <c r="G17" s="20">
        <f t="shared" si="5"/>
        <v>2</v>
      </c>
      <c r="H17" s="25">
        <v>50</v>
      </c>
      <c r="I17" s="95" t="s">
        <v>1774</v>
      </c>
    </row>
    <row r="18" spans="1:9" s="439" customFormat="1" ht="18" hidden="1" customHeight="1">
      <c r="A18" s="13"/>
      <c r="B18" s="19" t="s">
        <v>850</v>
      </c>
      <c r="C18" s="74" t="s">
        <v>845</v>
      </c>
      <c r="D18" s="166">
        <v>168</v>
      </c>
      <c r="E18" s="430">
        <f>200000/1000000</f>
        <v>0.2</v>
      </c>
      <c r="F18" s="25">
        <v>32</v>
      </c>
      <c r="G18" s="20">
        <f t="shared" si="5"/>
        <v>2</v>
      </c>
      <c r="H18" s="25">
        <v>34</v>
      </c>
      <c r="I18" s="95" t="s">
        <v>1774</v>
      </c>
    </row>
    <row r="19" spans="1:9" s="438" customFormat="1" ht="27">
      <c r="A19" s="424" t="s">
        <v>12</v>
      </c>
      <c r="B19" s="425" t="s">
        <v>851</v>
      </c>
      <c r="C19" s="426"/>
      <c r="D19" s="432"/>
      <c r="E19" s="392"/>
      <c r="F19" s="428">
        <v>594</v>
      </c>
      <c r="G19" s="392">
        <f t="shared" si="5"/>
        <v>31</v>
      </c>
      <c r="H19" s="428">
        <f>+H20+H22+H27+H31+H35</f>
        <v>625</v>
      </c>
      <c r="I19" s="437"/>
    </row>
    <row r="20" spans="1:9" s="439" customFormat="1" ht="18" hidden="1" customHeight="1">
      <c r="A20" s="18"/>
      <c r="B20" s="19" t="s">
        <v>852</v>
      </c>
      <c r="C20" s="74"/>
      <c r="D20" s="166"/>
      <c r="E20" s="430"/>
      <c r="F20" s="25">
        <v>228</v>
      </c>
      <c r="G20" s="20">
        <f t="shared" si="5"/>
        <v>12</v>
      </c>
      <c r="H20" s="25">
        <f>+H21</f>
        <v>240</v>
      </c>
      <c r="I20" s="95" t="s">
        <v>1774</v>
      </c>
    </row>
    <row r="21" spans="1:9" s="439" customFormat="1" ht="26" hidden="1">
      <c r="A21" s="13"/>
      <c r="B21" s="19" t="s">
        <v>853</v>
      </c>
      <c r="C21" s="74" t="s">
        <v>854</v>
      </c>
      <c r="D21" s="166">
        <f>5*4</f>
        <v>20</v>
      </c>
      <c r="E21" s="430">
        <v>12</v>
      </c>
      <c r="F21" s="25">
        <v>228</v>
      </c>
      <c r="G21" s="20">
        <f t="shared" si="5"/>
        <v>12</v>
      </c>
      <c r="H21" s="25">
        <v>240</v>
      </c>
      <c r="I21" s="95" t="s">
        <v>1774</v>
      </c>
    </row>
    <row r="22" spans="1:9" s="439" customFormat="1" ht="18" hidden="1" customHeight="1">
      <c r="A22" s="13"/>
      <c r="B22" s="19" t="s">
        <v>855</v>
      </c>
      <c r="C22" s="74"/>
      <c r="D22" s="166"/>
      <c r="E22" s="430"/>
      <c r="F22" s="25">
        <v>147</v>
      </c>
      <c r="G22" s="20">
        <f t="shared" si="5"/>
        <v>8</v>
      </c>
      <c r="H22" s="25">
        <f>SUM(H23:H26)</f>
        <v>155</v>
      </c>
      <c r="I22" s="95" t="s">
        <v>1774</v>
      </c>
    </row>
    <row r="23" spans="1:9" s="439" customFormat="1" ht="26" hidden="1">
      <c r="A23" s="13"/>
      <c r="B23" s="19" t="s">
        <v>856</v>
      </c>
      <c r="C23" s="74" t="s">
        <v>857</v>
      </c>
      <c r="D23" s="166">
        <v>48.6</v>
      </c>
      <c r="E23" s="430">
        <v>0.6</v>
      </c>
      <c r="F23" s="25">
        <v>28</v>
      </c>
      <c r="G23" s="20">
        <f t="shared" si="5"/>
        <v>1</v>
      </c>
      <c r="H23" s="25">
        <v>29</v>
      </c>
      <c r="I23" s="95" t="s">
        <v>1774</v>
      </c>
    </row>
    <row r="24" spans="1:9" s="439" customFormat="1" ht="26" hidden="1">
      <c r="A24" s="13"/>
      <c r="B24" s="19" t="s">
        <v>858</v>
      </c>
      <c r="C24" s="74" t="s">
        <v>857</v>
      </c>
      <c r="D24" s="166">
        <f>4*3*15</f>
        <v>180</v>
      </c>
      <c r="E24" s="430">
        <v>0.6</v>
      </c>
      <c r="F24" s="25">
        <v>103</v>
      </c>
      <c r="G24" s="20">
        <f t="shared" si="5"/>
        <v>5</v>
      </c>
      <c r="H24" s="25">
        <v>108</v>
      </c>
      <c r="I24" s="95" t="s">
        <v>1774</v>
      </c>
    </row>
    <row r="25" spans="1:9" s="439" customFormat="1" ht="18" hidden="1" customHeight="1">
      <c r="A25" s="13"/>
      <c r="B25" s="19" t="s">
        <v>859</v>
      </c>
      <c r="C25" s="74" t="s">
        <v>857</v>
      </c>
      <c r="D25" s="166">
        <v>21</v>
      </c>
      <c r="E25" s="430">
        <v>0.6</v>
      </c>
      <c r="F25" s="25">
        <v>12</v>
      </c>
      <c r="G25" s="20">
        <f t="shared" si="5"/>
        <v>1</v>
      </c>
      <c r="H25" s="25">
        <v>13</v>
      </c>
      <c r="I25" s="95" t="s">
        <v>1774</v>
      </c>
    </row>
    <row r="26" spans="1:9" s="439" customFormat="1" ht="18" hidden="1" customHeight="1">
      <c r="A26" s="13"/>
      <c r="B26" s="19" t="s">
        <v>860</v>
      </c>
      <c r="C26" s="74" t="s">
        <v>861</v>
      </c>
      <c r="D26" s="166">
        <f>5*4</f>
        <v>20</v>
      </c>
      <c r="E26" s="430">
        <v>0.25</v>
      </c>
      <c r="F26" s="25">
        <v>5</v>
      </c>
      <c r="G26" s="20">
        <f t="shared" si="5"/>
        <v>0</v>
      </c>
      <c r="H26" s="25">
        <v>5</v>
      </c>
      <c r="I26" s="95" t="s">
        <v>1774</v>
      </c>
    </row>
    <row r="27" spans="1:9" s="439" customFormat="1" ht="18" hidden="1" customHeight="1">
      <c r="A27" s="13"/>
      <c r="B27" s="19" t="s">
        <v>862</v>
      </c>
      <c r="C27" s="74"/>
      <c r="D27" s="166"/>
      <c r="E27" s="430"/>
      <c r="F27" s="25">
        <v>50</v>
      </c>
      <c r="G27" s="20">
        <f t="shared" si="5"/>
        <v>3</v>
      </c>
      <c r="H27" s="25">
        <f>SUM(H28:H30)</f>
        <v>53</v>
      </c>
      <c r="I27" s="95" t="s">
        <v>1774</v>
      </c>
    </row>
    <row r="28" spans="1:9" s="439" customFormat="1" ht="26" hidden="1">
      <c r="A28" s="13"/>
      <c r="B28" s="19" t="s">
        <v>863</v>
      </c>
      <c r="C28" s="74" t="s">
        <v>861</v>
      </c>
      <c r="D28" s="166">
        <f>20*2</f>
        <v>40</v>
      </c>
      <c r="E28" s="430">
        <v>0.52500000000000002</v>
      </c>
      <c r="F28" s="25">
        <v>20</v>
      </c>
      <c r="G28" s="20">
        <f t="shared" si="5"/>
        <v>1</v>
      </c>
      <c r="H28" s="25">
        <v>21</v>
      </c>
      <c r="I28" s="95" t="s">
        <v>1774</v>
      </c>
    </row>
    <row r="29" spans="1:9" s="439" customFormat="1" ht="18" hidden="1" customHeight="1">
      <c r="A29" s="13"/>
      <c r="B29" s="19" t="s">
        <v>864</v>
      </c>
      <c r="C29" s="74" t="s">
        <v>861</v>
      </c>
      <c r="D29" s="166">
        <f>7*4</f>
        <v>28</v>
      </c>
      <c r="E29" s="430">
        <v>0.3</v>
      </c>
      <c r="F29" s="25">
        <v>8</v>
      </c>
      <c r="G29" s="20">
        <f t="shared" si="5"/>
        <v>0</v>
      </c>
      <c r="H29" s="25">
        <v>8</v>
      </c>
      <c r="I29" s="95" t="s">
        <v>1774</v>
      </c>
    </row>
    <row r="30" spans="1:9" s="439" customFormat="1" ht="26" hidden="1">
      <c r="A30" s="13"/>
      <c r="B30" s="19" t="s">
        <v>865</v>
      </c>
      <c r="C30" s="74" t="s">
        <v>845</v>
      </c>
      <c r="D30" s="166">
        <v>24</v>
      </c>
      <c r="E30" s="430">
        <v>1</v>
      </c>
      <c r="F30" s="25">
        <v>23</v>
      </c>
      <c r="G30" s="20">
        <f t="shared" si="5"/>
        <v>1</v>
      </c>
      <c r="H30" s="25">
        <v>24</v>
      </c>
      <c r="I30" s="95" t="s">
        <v>1774</v>
      </c>
    </row>
    <row r="31" spans="1:9" s="439" customFormat="1" ht="26" hidden="1">
      <c r="A31" s="13"/>
      <c r="B31" s="19" t="s">
        <v>866</v>
      </c>
      <c r="C31" s="74"/>
      <c r="D31" s="166"/>
      <c r="E31" s="430"/>
      <c r="F31" s="25">
        <v>71</v>
      </c>
      <c r="G31" s="20">
        <f t="shared" si="5"/>
        <v>4</v>
      </c>
      <c r="H31" s="25">
        <f>SUM(H32:H34)</f>
        <v>75</v>
      </c>
      <c r="I31" s="95" t="s">
        <v>1774</v>
      </c>
    </row>
    <row r="32" spans="1:9" s="439" customFormat="1" ht="18" hidden="1" customHeight="1">
      <c r="A32" s="13"/>
      <c r="B32" s="19" t="s">
        <v>867</v>
      </c>
      <c r="C32" s="74" t="s">
        <v>848</v>
      </c>
      <c r="D32" s="166">
        <f>4*2000</f>
        <v>8000</v>
      </c>
      <c r="E32" s="430">
        <v>6.3800000000000003E-3</v>
      </c>
      <c r="F32" s="25">
        <v>48</v>
      </c>
      <c r="G32" s="20">
        <f t="shared" si="5"/>
        <v>3</v>
      </c>
      <c r="H32" s="25">
        <v>51</v>
      </c>
      <c r="I32" s="95" t="s">
        <v>1774</v>
      </c>
    </row>
    <row r="33" spans="1:9" s="439" customFormat="1" ht="18" hidden="1" customHeight="1">
      <c r="A33" s="13"/>
      <c r="B33" s="19" t="s">
        <v>868</v>
      </c>
      <c r="C33" s="74" t="s">
        <v>843</v>
      </c>
      <c r="D33" s="166">
        <f>4*8</f>
        <v>32</v>
      </c>
      <c r="E33" s="430">
        <v>0.45</v>
      </c>
      <c r="F33" s="25">
        <v>13</v>
      </c>
      <c r="G33" s="20">
        <f t="shared" si="5"/>
        <v>1</v>
      </c>
      <c r="H33" s="25">
        <v>14</v>
      </c>
      <c r="I33" s="95" t="s">
        <v>1774</v>
      </c>
    </row>
    <row r="34" spans="1:9" s="439" customFormat="1" ht="18" hidden="1" customHeight="1">
      <c r="A34" s="13"/>
      <c r="B34" s="19" t="s">
        <v>869</v>
      </c>
      <c r="C34" s="74" t="s">
        <v>845</v>
      </c>
      <c r="D34" s="166">
        <f>4*3*4</f>
        <v>48</v>
      </c>
      <c r="E34" s="430">
        <v>0.2</v>
      </c>
      <c r="F34" s="25">
        <v>10</v>
      </c>
      <c r="G34" s="20">
        <f t="shared" si="5"/>
        <v>0</v>
      </c>
      <c r="H34" s="25">
        <v>10</v>
      </c>
      <c r="I34" s="95" t="s">
        <v>1774</v>
      </c>
    </row>
    <row r="35" spans="1:9" s="439" customFormat="1" ht="18" hidden="1" customHeight="1">
      <c r="A35" s="13"/>
      <c r="B35" s="19" t="s">
        <v>870</v>
      </c>
      <c r="C35" s="74"/>
      <c r="D35" s="166"/>
      <c r="E35" s="430"/>
      <c r="F35" s="25">
        <v>97</v>
      </c>
      <c r="G35" s="20">
        <f t="shared" si="5"/>
        <v>5</v>
      </c>
      <c r="H35" s="25">
        <f t="shared" ref="H35" si="7">SUM(H36:H38)</f>
        <v>102</v>
      </c>
      <c r="I35" s="95" t="s">
        <v>1774</v>
      </c>
    </row>
    <row r="36" spans="1:9" s="439" customFormat="1" ht="18" hidden="1" customHeight="1">
      <c r="A36" s="13"/>
      <c r="B36" s="19" t="s">
        <v>871</v>
      </c>
      <c r="C36" s="74" t="s">
        <v>841</v>
      </c>
      <c r="D36" s="166">
        <f>2*5*4</f>
        <v>40</v>
      </c>
      <c r="E36" s="430">
        <v>0.5</v>
      </c>
      <c r="F36" s="25">
        <v>19</v>
      </c>
      <c r="G36" s="20">
        <f t="shared" si="5"/>
        <v>1</v>
      </c>
      <c r="H36" s="25">
        <v>20</v>
      </c>
      <c r="I36" s="95" t="s">
        <v>1774</v>
      </c>
    </row>
    <row r="37" spans="1:9" s="439" customFormat="1" ht="18" hidden="1" customHeight="1">
      <c r="A37" s="13"/>
      <c r="B37" s="19" t="s">
        <v>872</v>
      </c>
      <c r="C37" s="74" t="s">
        <v>843</v>
      </c>
      <c r="D37" s="166">
        <f>4*6*5</f>
        <v>120</v>
      </c>
      <c r="E37" s="430">
        <v>0.45</v>
      </c>
      <c r="F37" s="25">
        <v>51</v>
      </c>
      <c r="G37" s="20">
        <f t="shared" si="5"/>
        <v>3</v>
      </c>
      <c r="H37" s="25">
        <v>54</v>
      </c>
      <c r="I37" s="95" t="s">
        <v>1774</v>
      </c>
    </row>
    <row r="38" spans="1:9" s="439" customFormat="1" ht="18" hidden="1" customHeight="1">
      <c r="A38" s="13"/>
      <c r="B38" s="19" t="s">
        <v>873</v>
      </c>
      <c r="C38" s="74" t="s">
        <v>845</v>
      </c>
      <c r="D38" s="166">
        <f>5*7*4</f>
        <v>140</v>
      </c>
      <c r="E38" s="430">
        <v>0.2</v>
      </c>
      <c r="F38" s="25">
        <v>27</v>
      </c>
      <c r="G38" s="20">
        <f t="shared" si="5"/>
        <v>1</v>
      </c>
      <c r="H38" s="25">
        <v>28</v>
      </c>
      <c r="I38" s="95" t="s">
        <v>1774</v>
      </c>
    </row>
    <row r="39" spans="1:9" s="439" customFormat="1" ht="18" customHeight="1">
      <c r="A39" s="26" t="s">
        <v>38</v>
      </c>
      <c r="B39" s="55" t="s">
        <v>901</v>
      </c>
      <c r="C39" s="26"/>
      <c r="D39" s="34"/>
      <c r="E39" s="440"/>
      <c r="F39" s="21">
        <f>+F40+F41+F47+F48+F52+F58+F59+F65</f>
        <v>8506</v>
      </c>
      <c r="G39" s="21">
        <f>+G40+G41+G47+G48+G52+G58+G59+G65</f>
        <v>394</v>
      </c>
      <c r="H39" s="21">
        <f>+H40+H41+H47+H48+H52+H58+H59+H65</f>
        <v>8900</v>
      </c>
      <c r="I39" s="34"/>
    </row>
    <row r="40" spans="1:9" s="439" customFormat="1" ht="18" customHeight="1">
      <c r="A40" s="26" t="s">
        <v>8</v>
      </c>
      <c r="B40" s="55" t="s">
        <v>25</v>
      </c>
      <c r="C40" s="26"/>
      <c r="D40" s="34"/>
      <c r="E40" s="440"/>
      <c r="F40" s="21"/>
      <c r="G40" s="21"/>
      <c r="H40" s="21"/>
      <c r="I40" s="34"/>
    </row>
    <row r="41" spans="1:9" s="439" customFormat="1" ht="18" customHeight="1">
      <c r="A41" s="26" t="s">
        <v>26</v>
      </c>
      <c r="B41" s="55" t="s">
        <v>23</v>
      </c>
      <c r="C41" s="441"/>
      <c r="D41" s="34"/>
      <c r="E41" s="93"/>
      <c r="F41" s="21">
        <f>+F42</f>
        <v>3991</v>
      </c>
      <c r="G41" s="21">
        <f t="shared" ref="G41:H41" si="8">+G42</f>
        <v>209</v>
      </c>
      <c r="H41" s="21">
        <f t="shared" si="8"/>
        <v>4200</v>
      </c>
      <c r="I41" s="34"/>
    </row>
    <row r="42" spans="1:9" s="444" customFormat="1" ht="26">
      <c r="A42" s="125" t="s">
        <v>742</v>
      </c>
      <c r="B42" s="394" t="s">
        <v>1893</v>
      </c>
      <c r="C42" s="394"/>
      <c r="D42" s="393"/>
      <c r="E42" s="442"/>
      <c r="F42" s="391">
        <f>SUM(F43:F46)</f>
        <v>3991</v>
      </c>
      <c r="G42" s="391">
        <f>SUM(G43:G46)</f>
        <v>209</v>
      </c>
      <c r="H42" s="391">
        <f>H43+H44+H45+H46</f>
        <v>4200</v>
      </c>
      <c r="I42" s="443"/>
    </row>
    <row r="43" spans="1:9" s="105" customFormat="1" ht="39" hidden="1">
      <c r="A43" s="13"/>
      <c r="B43" s="12" t="s">
        <v>1894</v>
      </c>
      <c r="C43" s="13" t="s">
        <v>1580</v>
      </c>
      <c r="D43" s="174">
        <v>5</v>
      </c>
      <c r="E43" s="28">
        <v>150</v>
      </c>
      <c r="F43" s="20">
        <v>713</v>
      </c>
      <c r="G43" s="20">
        <f>H43-F43</f>
        <v>37</v>
      </c>
      <c r="H43" s="20">
        <v>750</v>
      </c>
      <c r="I43" s="95" t="s">
        <v>1774</v>
      </c>
    </row>
    <row r="44" spans="1:9" s="105" customFormat="1" ht="52" hidden="1">
      <c r="A44" s="13"/>
      <c r="B44" s="12" t="s">
        <v>1895</v>
      </c>
      <c r="C44" s="13" t="s">
        <v>1580</v>
      </c>
      <c r="D44" s="174">
        <v>3</v>
      </c>
      <c r="E44" s="28">
        <v>150</v>
      </c>
      <c r="F44" s="20">
        <v>428</v>
      </c>
      <c r="G44" s="20">
        <f>H44-F44</f>
        <v>22</v>
      </c>
      <c r="H44" s="20">
        <v>450</v>
      </c>
      <c r="I44" s="95" t="s">
        <v>1774</v>
      </c>
    </row>
    <row r="45" spans="1:9" s="105" customFormat="1" ht="39" hidden="1">
      <c r="A45" s="13"/>
      <c r="B45" s="12" t="s">
        <v>1896</v>
      </c>
      <c r="C45" s="13" t="s">
        <v>1034</v>
      </c>
      <c r="D45" s="174">
        <v>4</v>
      </c>
      <c r="E45" s="28">
        <v>500</v>
      </c>
      <c r="F45" s="20">
        <v>1900</v>
      </c>
      <c r="G45" s="20">
        <f>H45-F45</f>
        <v>100</v>
      </c>
      <c r="H45" s="20">
        <v>2000</v>
      </c>
      <c r="I45" s="95" t="s">
        <v>1774</v>
      </c>
    </row>
    <row r="46" spans="1:9" s="105" customFormat="1" ht="18" hidden="1" customHeight="1">
      <c r="A46" s="13"/>
      <c r="B46" s="12" t="s">
        <v>1897</v>
      </c>
      <c r="C46" s="13" t="s">
        <v>903</v>
      </c>
      <c r="D46" s="174">
        <v>10</v>
      </c>
      <c r="E46" s="28">
        <v>100</v>
      </c>
      <c r="F46" s="20">
        <v>950</v>
      </c>
      <c r="G46" s="20">
        <f>H46-F46</f>
        <v>50</v>
      </c>
      <c r="H46" s="20">
        <v>1000</v>
      </c>
      <c r="I46" s="95" t="s">
        <v>1774</v>
      </c>
    </row>
    <row r="47" spans="1:9" s="439" customFormat="1" ht="18" customHeight="1">
      <c r="A47" s="26" t="s">
        <v>28</v>
      </c>
      <c r="B47" s="55" t="s">
        <v>21</v>
      </c>
      <c r="C47" s="441"/>
      <c r="D47" s="34"/>
      <c r="E47" s="93">
        <v>0</v>
      </c>
      <c r="F47" s="21"/>
      <c r="G47" s="21"/>
      <c r="H47" s="21"/>
      <c r="I47" s="34"/>
    </row>
    <row r="48" spans="1:9" s="106" customFormat="1" ht="18" customHeight="1">
      <c r="A48" s="26" t="s">
        <v>29</v>
      </c>
      <c r="B48" s="55" t="s">
        <v>19</v>
      </c>
      <c r="C48" s="441"/>
      <c r="D48" s="34"/>
      <c r="E48" s="93"/>
      <c r="F48" s="21">
        <f>+F49</f>
        <v>1140</v>
      </c>
      <c r="G48" s="21">
        <f t="shared" ref="G48:H48" si="9">+G49</f>
        <v>60</v>
      </c>
      <c r="H48" s="21">
        <f t="shared" si="9"/>
        <v>1200</v>
      </c>
      <c r="I48" s="445"/>
    </row>
    <row r="49" spans="1:9" s="444" customFormat="1" ht="26">
      <c r="A49" s="125" t="s">
        <v>742</v>
      </c>
      <c r="B49" s="394" t="s">
        <v>1898</v>
      </c>
      <c r="C49" s="394"/>
      <c r="D49" s="393"/>
      <c r="E49" s="442"/>
      <c r="F49" s="391">
        <f>SUM(F50:F51)</f>
        <v>1140</v>
      </c>
      <c r="G49" s="391">
        <f t="shared" ref="G49:H49" si="10">SUM(G50:G51)</f>
        <v>60</v>
      </c>
      <c r="H49" s="391">
        <f t="shared" si="10"/>
        <v>1200</v>
      </c>
      <c r="I49" s="443"/>
    </row>
    <row r="50" spans="1:9" s="105" customFormat="1" ht="39" hidden="1">
      <c r="A50" s="13"/>
      <c r="B50" s="12" t="s">
        <v>1894</v>
      </c>
      <c r="C50" s="13" t="s">
        <v>1580</v>
      </c>
      <c r="D50" s="174">
        <v>6</v>
      </c>
      <c r="E50" s="28">
        <v>50</v>
      </c>
      <c r="F50" s="20">
        <v>285</v>
      </c>
      <c r="G50" s="20">
        <f>H50-F50</f>
        <v>15</v>
      </c>
      <c r="H50" s="20">
        <v>300</v>
      </c>
      <c r="I50" s="95" t="s">
        <v>1774</v>
      </c>
    </row>
    <row r="51" spans="1:9" s="105" customFormat="1" ht="39" hidden="1">
      <c r="A51" s="13"/>
      <c r="B51" s="12" t="s">
        <v>1899</v>
      </c>
      <c r="C51" s="13" t="s">
        <v>1034</v>
      </c>
      <c r="D51" s="174">
        <v>3</v>
      </c>
      <c r="E51" s="28">
        <v>300</v>
      </c>
      <c r="F51" s="20">
        <v>855</v>
      </c>
      <c r="G51" s="20">
        <f>H51-F51</f>
        <v>45</v>
      </c>
      <c r="H51" s="20">
        <v>900</v>
      </c>
      <c r="I51" s="95" t="s">
        <v>1774</v>
      </c>
    </row>
    <row r="52" spans="1:9" s="106" customFormat="1" ht="18" customHeight="1">
      <c r="A52" s="26" t="s">
        <v>30</v>
      </c>
      <c r="B52" s="55" t="s">
        <v>17</v>
      </c>
      <c r="C52" s="441"/>
      <c r="D52" s="34"/>
      <c r="E52" s="93"/>
      <c r="F52" s="21">
        <f>+F53</f>
        <v>855</v>
      </c>
      <c r="G52" s="21">
        <f t="shared" ref="G52:H52" si="11">+G53</f>
        <v>45</v>
      </c>
      <c r="H52" s="21">
        <f t="shared" si="11"/>
        <v>900</v>
      </c>
      <c r="I52" s="445"/>
    </row>
    <row r="53" spans="1:9" s="444" customFormat="1" ht="26">
      <c r="A53" s="125" t="s">
        <v>742</v>
      </c>
      <c r="B53" s="394" t="s">
        <v>1898</v>
      </c>
      <c r="C53" s="394"/>
      <c r="D53" s="393"/>
      <c r="E53" s="442"/>
      <c r="F53" s="391">
        <f>SUM(F54:F57)</f>
        <v>855</v>
      </c>
      <c r="G53" s="391">
        <f>SUM(G54:G57)</f>
        <v>45</v>
      </c>
      <c r="H53" s="391">
        <f t="shared" ref="H53" si="12">SUM(H54:H57)</f>
        <v>900</v>
      </c>
      <c r="I53" s="443">
        <f>900-H52</f>
        <v>0</v>
      </c>
    </row>
    <row r="54" spans="1:9" s="105" customFormat="1" ht="39" hidden="1">
      <c r="A54" s="13"/>
      <c r="B54" s="12" t="s">
        <v>1900</v>
      </c>
      <c r="C54" s="13" t="s">
        <v>1580</v>
      </c>
      <c r="D54" s="174">
        <v>6</v>
      </c>
      <c r="E54" s="28">
        <v>50</v>
      </c>
      <c r="F54" s="20">
        <v>285</v>
      </c>
      <c r="G54" s="20">
        <f>H54-F54</f>
        <v>15</v>
      </c>
      <c r="H54" s="20">
        <v>300</v>
      </c>
      <c r="I54" s="95" t="s">
        <v>1774</v>
      </c>
    </row>
    <row r="55" spans="1:9" s="105" customFormat="1" ht="52" hidden="1">
      <c r="A55" s="13"/>
      <c r="B55" s="12" t="s">
        <v>1895</v>
      </c>
      <c r="C55" s="13" t="s">
        <v>1580</v>
      </c>
      <c r="D55" s="174"/>
      <c r="E55" s="28">
        <v>100</v>
      </c>
      <c r="F55" s="20">
        <v>0</v>
      </c>
      <c r="G55" s="20">
        <f>H55-F55</f>
        <v>0</v>
      </c>
      <c r="H55" s="20">
        <v>0</v>
      </c>
      <c r="I55" s="95" t="s">
        <v>1774</v>
      </c>
    </row>
    <row r="56" spans="1:9" s="105" customFormat="1" ht="39" hidden="1">
      <c r="A56" s="13"/>
      <c r="B56" s="12" t="s">
        <v>1896</v>
      </c>
      <c r="C56" s="13" t="s">
        <v>1034</v>
      </c>
      <c r="D56" s="174">
        <v>2</v>
      </c>
      <c r="E56" s="28">
        <v>300</v>
      </c>
      <c r="F56" s="20">
        <v>570</v>
      </c>
      <c r="G56" s="20">
        <f>H56-F56</f>
        <v>30</v>
      </c>
      <c r="H56" s="20">
        <v>600</v>
      </c>
      <c r="I56" s="95" t="s">
        <v>1774</v>
      </c>
    </row>
    <row r="57" spans="1:9" s="105" customFormat="1" ht="18" hidden="1" customHeight="1">
      <c r="A57" s="13"/>
      <c r="B57" s="12" t="s">
        <v>1897</v>
      </c>
      <c r="C57" s="13" t="s">
        <v>903</v>
      </c>
      <c r="D57" s="174"/>
      <c r="E57" s="28">
        <v>100</v>
      </c>
      <c r="F57" s="20">
        <v>0</v>
      </c>
      <c r="G57" s="20">
        <f>H57-F57</f>
        <v>0</v>
      </c>
      <c r="H57" s="20">
        <v>0</v>
      </c>
      <c r="I57" s="95" t="s">
        <v>1774</v>
      </c>
    </row>
    <row r="58" spans="1:9" s="106" customFormat="1" ht="18" customHeight="1">
      <c r="A58" s="26" t="s">
        <v>31</v>
      </c>
      <c r="B58" s="55" t="s">
        <v>15</v>
      </c>
      <c r="C58" s="441"/>
      <c r="D58" s="34"/>
      <c r="E58" s="93"/>
      <c r="F58" s="21"/>
      <c r="G58" s="21"/>
      <c r="H58" s="21"/>
      <c r="I58" s="445"/>
    </row>
    <row r="59" spans="1:9" s="106" customFormat="1" ht="18" customHeight="1">
      <c r="A59" s="26" t="s">
        <v>80</v>
      </c>
      <c r="B59" s="55" t="s">
        <v>13</v>
      </c>
      <c r="C59" s="441"/>
      <c r="D59" s="34"/>
      <c r="E59" s="93"/>
      <c r="F59" s="21">
        <f>+F60</f>
        <v>2520</v>
      </c>
      <c r="G59" s="21">
        <f t="shared" ref="G59:H59" si="13">+G60</f>
        <v>80</v>
      </c>
      <c r="H59" s="21">
        <f t="shared" si="13"/>
        <v>2600</v>
      </c>
      <c r="I59" s="445"/>
    </row>
    <row r="60" spans="1:9" s="444" customFormat="1" ht="26">
      <c r="A60" s="125" t="s">
        <v>742</v>
      </c>
      <c r="B60" s="394" t="s">
        <v>1898</v>
      </c>
      <c r="C60" s="394"/>
      <c r="D60" s="393"/>
      <c r="E60" s="442"/>
      <c r="F60" s="391">
        <f>SUM(F61:F64)</f>
        <v>2520</v>
      </c>
      <c r="G60" s="391">
        <f>SUM(G61:G64)</f>
        <v>80</v>
      </c>
      <c r="H60" s="391">
        <f t="shared" ref="H60" si="14">SUM(H61:H64)</f>
        <v>2600</v>
      </c>
      <c r="I60" s="443"/>
    </row>
    <row r="61" spans="1:9" s="105" customFormat="1" ht="39" hidden="1">
      <c r="A61" s="13"/>
      <c r="B61" s="12" t="s">
        <v>1900</v>
      </c>
      <c r="C61" s="13" t="s">
        <v>1580</v>
      </c>
      <c r="D61" s="174">
        <v>16</v>
      </c>
      <c r="E61" s="28">
        <v>50</v>
      </c>
      <c r="F61" s="20">
        <v>760</v>
      </c>
      <c r="G61" s="20">
        <f>H61-F61</f>
        <v>40</v>
      </c>
      <c r="H61" s="20">
        <v>800</v>
      </c>
      <c r="I61" s="95" t="s">
        <v>1774</v>
      </c>
    </row>
    <row r="62" spans="1:9" s="105" customFormat="1" ht="52" hidden="1">
      <c r="A62" s="13"/>
      <c r="B62" s="12" t="s">
        <v>1895</v>
      </c>
      <c r="C62" s="13" t="s">
        <v>1580</v>
      </c>
      <c r="D62" s="174">
        <v>4</v>
      </c>
      <c r="E62" s="28">
        <v>100</v>
      </c>
      <c r="F62" s="20">
        <v>380</v>
      </c>
      <c r="G62" s="20">
        <f>H62-F62</f>
        <v>20</v>
      </c>
      <c r="H62" s="20">
        <v>400</v>
      </c>
      <c r="I62" s="95" t="s">
        <v>1774</v>
      </c>
    </row>
    <row r="63" spans="1:9" s="105" customFormat="1" ht="39" hidden="1">
      <c r="A63" s="13"/>
      <c r="B63" s="12" t="s">
        <v>1896</v>
      </c>
      <c r="C63" s="13" t="s">
        <v>1034</v>
      </c>
      <c r="D63" s="174">
        <v>2</v>
      </c>
      <c r="E63" s="28">
        <v>500</v>
      </c>
      <c r="F63" s="20">
        <v>1000</v>
      </c>
      <c r="G63" s="20">
        <f>H63-F63</f>
        <v>0</v>
      </c>
      <c r="H63" s="20">
        <v>1000</v>
      </c>
      <c r="I63" s="95" t="s">
        <v>1774</v>
      </c>
    </row>
    <row r="64" spans="1:9" s="105" customFormat="1" ht="18" hidden="1" customHeight="1">
      <c r="A64" s="13"/>
      <c r="B64" s="12" t="s">
        <v>1897</v>
      </c>
      <c r="C64" s="13" t="s">
        <v>903</v>
      </c>
      <c r="D64" s="174">
        <v>4</v>
      </c>
      <c r="E64" s="28">
        <v>100</v>
      </c>
      <c r="F64" s="20">
        <v>380</v>
      </c>
      <c r="G64" s="20">
        <f>H64-F64</f>
        <v>20</v>
      </c>
      <c r="H64" s="20">
        <v>400</v>
      </c>
      <c r="I64" s="95" t="s">
        <v>1774</v>
      </c>
    </row>
    <row r="65" spans="1:9" s="106" customFormat="1" ht="18" customHeight="1">
      <c r="A65" s="26" t="s">
        <v>81</v>
      </c>
      <c r="B65" s="55" t="s">
        <v>11</v>
      </c>
      <c r="C65" s="441"/>
      <c r="D65" s="34"/>
      <c r="E65" s="436"/>
      <c r="F65" s="24"/>
      <c r="G65" s="24"/>
      <c r="H65" s="24"/>
      <c r="I65" s="445"/>
    </row>
    <row r="66" spans="1:9" s="106" customFormat="1" ht="18" customHeight="1">
      <c r="A66" s="446" t="s">
        <v>1946</v>
      </c>
      <c r="B66" s="447" t="s">
        <v>1912</v>
      </c>
      <c r="C66" s="448"/>
      <c r="D66" s="449"/>
      <c r="E66" s="450"/>
      <c r="F66" s="92"/>
      <c r="G66" s="92"/>
      <c r="H66" s="92"/>
      <c r="I66" s="451"/>
    </row>
    <row r="67" spans="1:9" s="434" customFormat="1" ht="14">
      <c r="F67" s="452"/>
      <c r="G67" s="452"/>
      <c r="H67" s="452"/>
    </row>
    <row r="68" spans="1:9" s="453" customFormat="1" ht="14">
      <c r="A68" s="1824" t="s">
        <v>2467</v>
      </c>
      <c r="B68" s="1824"/>
      <c r="C68" s="510"/>
      <c r="D68" s="510"/>
      <c r="E68" s="510"/>
      <c r="F68" s="510"/>
      <c r="G68" s="510"/>
      <c r="H68" s="509"/>
      <c r="I68" s="509"/>
    </row>
    <row r="69" spans="1:9" s="434" customFormat="1" ht="58.5" customHeight="1">
      <c r="A69" s="1801" t="s">
        <v>2076</v>
      </c>
      <c r="B69" s="1801"/>
      <c r="C69" s="1801"/>
      <c r="D69" s="1801"/>
      <c r="E69" s="1801"/>
      <c r="F69" s="1801"/>
      <c r="G69" s="1801"/>
      <c r="H69" s="1801"/>
      <c r="I69" s="1801"/>
    </row>
    <row r="81" s="75" customFormat="1"/>
    <row r="82" s="75" customFormat="1"/>
    <row r="83" s="75" customFormat="1"/>
    <row r="84" s="75" customFormat="1"/>
    <row r="85" s="75" customFormat="1"/>
    <row r="86" s="75" customFormat="1"/>
    <row r="87" s="75" customFormat="1"/>
    <row r="88" s="75" customFormat="1"/>
    <row r="89" s="75" customFormat="1"/>
    <row r="90" s="75" customFormat="1"/>
    <row r="91" s="75" customFormat="1"/>
    <row r="92" s="75" customFormat="1"/>
    <row r="93" s="75" customFormat="1"/>
    <row r="94" s="75" customFormat="1"/>
    <row r="95" s="75" customFormat="1"/>
    <row r="96" s="75" customFormat="1"/>
    <row r="97" s="75" customFormat="1"/>
    <row r="98" s="75" customFormat="1"/>
    <row r="99" s="75" customFormat="1"/>
    <row r="100" s="75" customFormat="1"/>
    <row r="101" s="75" customFormat="1"/>
    <row r="102" s="75" customFormat="1"/>
    <row r="103" s="75" customFormat="1"/>
    <row r="104" s="75" customFormat="1"/>
    <row r="105" s="75" customFormat="1"/>
    <row r="106" s="75" customFormat="1"/>
    <row r="107" s="75" customFormat="1"/>
    <row r="108" s="75" customFormat="1"/>
    <row r="109" s="75" customFormat="1"/>
    <row r="110" s="75" customFormat="1"/>
    <row r="111" s="75" customFormat="1"/>
    <row r="112" s="75" customFormat="1"/>
    <row r="113" s="75" customFormat="1"/>
    <row r="114" s="75" customFormat="1"/>
    <row r="115" s="75" customFormat="1"/>
    <row r="116" s="75" customFormat="1"/>
    <row r="117" s="75" customFormat="1"/>
    <row r="118" s="75" customFormat="1"/>
    <row r="119" s="75" customFormat="1"/>
    <row r="120" s="75" customFormat="1"/>
    <row r="121" s="75" customFormat="1"/>
    <row r="122" s="75" customFormat="1"/>
    <row r="123" s="75" customFormat="1"/>
    <row r="124" s="75" customFormat="1"/>
    <row r="125" s="75" customFormat="1"/>
    <row r="126" s="75" customFormat="1"/>
    <row r="127" s="75" customFormat="1"/>
    <row r="128" s="75" customFormat="1"/>
    <row r="129" s="75" customFormat="1"/>
    <row r="130" s="75" customFormat="1"/>
    <row r="131" s="75" customFormat="1"/>
    <row r="132" s="75" customFormat="1"/>
    <row r="133" s="75" customFormat="1"/>
    <row r="134" s="75" customFormat="1"/>
    <row r="135" s="75" customFormat="1"/>
    <row r="136" s="75" customFormat="1"/>
    <row r="137" s="75" customFormat="1"/>
    <row r="138" s="75" customFormat="1"/>
    <row r="139" s="75" customFormat="1"/>
    <row r="140" s="75" customFormat="1"/>
    <row r="141" s="75" customFormat="1"/>
    <row r="142" s="75" customFormat="1"/>
    <row r="143" s="75" customFormat="1"/>
    <row r="144" s="75" customFormat="1"/>
    <row r="145" s="75" customFormat="1"/>
    <row r="146" s="75" customFormat="1"/>
    <row r="147" s="75" customFormat="1"/>
    <row r="148" s="75" customFormat="1"/>
    <row r="149" s="75" customFormat="1"/>
    <row r="150" s="75" customFormat="1"/>
    <row r="151" s="75" customFormat="1"/>
    <row r="152" s="75" customFormat="1"/>
    <row r="153" s="75" customFormat="1"/>
    <row r="154" s="75" customFormat="1"/>
    <row r="155" s="75" customFormat="1"/>
    <row r="156" s="75" customFormat="1"/>
    <row r="157" s="75" customFormat="1"/>
    <row r="158" s="75" customFormat="1"/>
    <row r="159" s="75" customFormat="1"/>
    <row r="160" s="75" customFormat="1"/>
    <row r="161" s="75" customFormat="1"/>
    <row r="162" s="75" customFormat="1"/>
    <row r="163" s="75" customFormat="1"/>
    <row r="164" s="75" customFormat="1"/>
    <row r="165" s="75" customFormat="1"/>
    <row r="166" s="75" customFormat="1"/>
    <row r="167" s="75" customFormat="1"/>
    <row r="168" s="75" customFormat="1"/>
    <row r="169" s="75" customFormat="1"/>
    <row r="170" s="75" customFormat="1"/>
    <row r="171" s="75" customFormat="1"/>
    <row r="172" s="75" customFormat="1"/>
    <row r="173" s="75" customFormat="1"/>
    <row r="174" s="75" customFormat="1"/>
    <row r="175" s="75" customFormat="1"/>
    <row r="176" s="75" customFormat="1"/>
    <row r="177" s="75" customFormat="1"/>
    <row r="178" s="75" customFormat="1"/>
    <row r="179" s="75" customFormat="1"/>
    <row r="180" s="75" customFormat="1"/>
    <row r="181" s="75" customFormat="1"/>
    <row r="182" s="75" customFormat="1"/>
    <row r="183" s="75" customFormat="1"/>
    <row r="184" s="75" customFormat="1"/>
    <row r="185" s="75" customFormat="1"/>
    <row r="186" s="75" customFormat="1"/>
    <row r="187" s="75" customFormat="1"/>
    <row r="188" s="75" customFormat="1"/>
    <row r="189" s="75" customFormat="1"/>
    <row r="190" s="75" customFormat="1"/>
    <row r="191" s="75" customFormat="1"/>
    <row r="192" s="75" customFormat="1"/>
    <row r="193" s="75" customFormat="1"/>
    <row r="194" s="75" customFormat="1"/>
  </sheetData>
  <autoFilter ref="A6:K66">
    <filterColumn colId="8">
      <filters>
        <filter val="-"/>
      </filters>
    </filterColumn>
  </autoFilter>
  <mergeCells count="15">
    <mergeCell ref="A68:B68"/>
    <mergeCell ref="A69:I69"/>
    <mergeCell ref="F4:F5"/>
    <mergeCell ref="G4:G5"/>
    <mergeCell ref="H4:H5"/>
    <mergeCell ref="A4:A5"/>
    <mergeCell ref="B4:B5"/>
    <mergeCell ref="C4:C5"/>
    <mergeCell ref="D4:D5"/>
    <mergeCell ref="E4:E5"/>
    <mergeCell ref="A1:B1"/>
    <mergeCell ref="H1:I1"/>
    <mergeCell ref="A2:I2"/>
    <mergeCell ref="A3:I3"/>
    <mergeCell ref="I4:I5"/>
  </mergeCells>
  <pageMargins left="0.5" right="0.2" top="0.5" bottom="0.5" header="0.3" footer="0.3"/>
  <pageSetup paperSize="9" scale="8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190"/>
  <sheetViews>
    <sheetView topLeftCell="A10" workbookViewId="0">
      <selection activeCell="F6" sqref="F6:F10"/>
    </sheetView>
  </sheetViews>
  <sheetFormatPr defaultColWidth="9.08203125" defaultRowHeight="13"/>
  <cols>
    <col min="1" max="1" width="6.4140625" style="8" customWidth="1"/>
    <col min="2" max="2" width="4.9140625" style="8" hidden="1" customWidth="1"/>
    <col min="3" max="3" width="55.9140625" style="8" customWidth="1"/>
    <col min="4" max="4" width="10.4140625" style="8" hidden="1" customWidth="1"/>
    <col min="5" max="5" width="7.33203125" style="8" hidden="1" customWidth="1"/>
    <col min="6" max="6" width="8.9140625" style="8" hidden="1" customWidth="1"/>
    <col min="7" max="7" width="12.4140625" style="8" hidden="1" customWidth="1"/>
    <col min="8" max="8" width="8.6640625" style="8" hidden="1" customWidth="1"/>
    <col min="9" max="9" width="15.4140625" style="8" customWidth="1"/>
    <col min="10" max="10" width="7.6640625" style="8" hidden="1" customWidth="1"/>
    <col min="11" max="11" width="11.4140625" style="99" hidden="1" customWidth="1"/>
    <col min="12" max="12" width="18.08203125" style="8" customWidth="1"/>
    <col min="13" max="16384" width="9.08203125" style="8"/>
  </cols>
  <sheetData>
    <row r="1" spans="1:12" ht="21.75" customHeight="1">
      <c r="A1" s="1714" t="s">
        <v>2786</v>
      </c>
      <c r="B1" s="1714"/>
      <c r="C1" s="1714"/>
      <c r="D1" s="1714"/>
      <c r="E1" s="1714"/>
      <c r="F1" s="1714"/>
      <c r="G1" s="1714"/>
      <c r="H1" s="1714"/>
      <c r="I1" s="1714"/>
      <c r="J1" s="1714"/>
      <c r="K1" s="1714"/>
      <c r="L1" s="1714"/>
    </row>
    <row r="2" spans="1:12" s="164" customFormat="1" ht="18" hidden="1" customHeight="1">
      <c r="A2" s="1772"/>
      <c r="B2" s="1772"/>
      <c r="C2" s="1772"/>
      <c r="D2" s="1092"/>
      <c r="E2" s="1092"/>
      <c r="F2" s="1092"/>
      <c r="G2" s="1088"/>
      <c r="H2" s="1088"/>
      <c r="I2" s="1088"/>
      <c r="J2" s="1088"/>
      <c r="K2" s="1088"/>
      <c r="L2" s="1100" t="s">
        <v>41</v>
      </c>
    </row>
    <row r="3" spans="1:12" ht="18" customHeight="1">
      <c r="A3" s="1714" t="s">
        <v>42</v>
      </c>
      <c r="B3" s="1777"/>
      <c r="C3" s="1714"/>
      <c r="D3" s="1714"/>
      <c r="E3" s="1714"/>
      <c r="F3" s="1714"/>
      <c r="G3" s="1714"/>
      <c r="H3" s="1714"/>
      <c r="I3" s="1714"/>
      <c r="J3" s="1714"/>
      <c r="K3" s="1777"/>
      <c r="L3" s="1714"/>
    </row>
    <row r="4" spans="1:12" ht="28.5" customHeight="1">
      <c r="A4" s="1714" t="s">
        <v>612</v>
      </c>
      <c r="B4" s="1777"/>
      <c r="C4" s="1714"/>
      <c r="D4" s="1714"/>
      <c r="E4" s="1714"/>
      <c r="F4" s="1714"/>
      <c r="G4" s="1714"/>
      <c r="H4" s="1714"/>
      <c r="I4" s="1714"/>
      <c r="J4" s="1714"/>
      <c r="K4" s="1777"/>
      <c r="L4" s="1714"/>
    </row>
    <row r="5" spans="1:12" s="35" customFormat="1" ht="28.5" customHeight="1">
      <c r="A5" s="1716" t="e">
        <f>#REF!</f>
        <v>#REF!</v>
      </c>
      <c r="B5" s="1716"/>
      <c r="C5" s="1716"/>
      <c r="D5" s="1716"/>
      <c r="E5" s="1716"/>
      <c r="F5" s="1716"/>
      <c r="G5" s="1716"/>
      <c r="H5" s="1716"/>
      <c r="I5" s="1716"/>
      <c r="J5" s="1716"/>
      <c r="K5" s="1716"/>
      <c r="L5" s="1716"/>
    </row>
    <row r="6" spans="1:12" ht="18" customHeight="1">
      <c r="A6" s="1773" t="s">
        <v>3</v>
      </c>
      <c r="B6" s="1773"/>
      <c r="C6" s="1773"/>
      <c r="D6" s="1773"/>
      <c r="E6" s="1773"/>
      <c r="F6" s="1798"/>
      <c r="G6" s="1773"/>
      <c r="H6" s="1773"/>
      <c r="I6" s="1773"/>
      <c r="J6" s="1773"/>
      <c r="K6" s="1773"/>
      <c r="L6" s="1773"/>
    </row>
    <row r="7" spans="1:12" ht="18" customHeight="1">
      <c r="A7" s="1778" t="s">
        <v>4</v>
      </c>
      <c r="B7" s="65"/>
      <c r="C7" s="1778" t="s">
        <v>5</v>
      </c>
      <c r="D7" s="1778" t="s">
        <v>55</v>
      </c>
      <c r="E7" s="1778" t="s">
        <v>32</v>
      </c>
      <c r="F7" s="1778" t="s">
        <v>35</v>
      </c>
      <c r="G7" s="1778" t="s">
        <v>2538</v>
      </c>
      <c r="H7" s="657" t="s">
        <v>721</v>
      </c>
      <c r="I7" s="1728" t="s">
        <v>2537</v>
      </c>
      <c r="J7" s="1044"/>
      <c r="K7" s="103"/>
      <c r="L7" s="1778" t="s">
        <v>33</v>
      </c>
    </row>
    <row r="8" spans="1:12" ht="36" customHeight="1">
      <c r="A8" s="1778"/>
      <c r="B8" s="65"/>
      <c r="C8" s="1778"/>
      <c r="D8" s="1778"/>
      <c r="E8" s="1778"/>
      <c r="F8" s="1778"/>
      <c r="G8" s="1778"/>
      <c r="H8" s="65" t="s">
        <v>741</v>
      </c>
      <c r="I8" s="1779"/>
      <c r="J8" s="65" t="s">
        <v>720</v>
      </c>
      <c r="K8" s="104" t="s">
        <v>714</v>
      </c>
      <c r="L8" s="1778"/>
    </row>
    <row r="9" spans="1:12" s="485" customFormat="1" ht="18" hidden="1" customHeight="1">
      <c r="A9" s="484">
        <v>1</v>
      </c>
      <c r="B9" s="22"/>
      <c r="C9" s="484">
        <v>2</v>
      </c>
      <c r="D9" s="484">
        <v>3</v>
      </c>
      <c r="E9" s="484">
        <v>4</v>
      </c>
      <c r="F9" s="484">
        <v>5</v>
      </c>
      <c r="G9" s="484">
        <v>6</v>
      </c>
      <c r="H9" s="484" t="s">
        <v>22</v>
      </c>
      <c r="I9" s="484" t="s">
        <v>24</v>
      </c>
      <c r="J9" s="484" t="s">
        <v>700</v>
      </c>
      <c r="K9" s="97"/>
      <c r="L9" s="484" t="s">
        <v>728</v>
      </c>
    </row>
    <row r="10" spans="1:12" ht="18" customHeight="1">
      <c r="A10" s="29"/>
      <c r="B10" s="29"/>
      <c r="C10" s="29" t="s">
        <v>7</v>
      </c>
      <c r="D10" s="29"/>
      <c r="E10" s="29"/>
      <c r="F10" s="23"/>
      <c r="G10" s="23">
        <f>+G11</f>
        <v>1047868</v>
      </c>
      <c r="H10" s="23">
        <f>+H11</f>
        <v>1047868</v>
      </c>
      <c r="I10" s="23">
        <f>+I11</f>
        <v>967013</v>
      </c>
      <c r="J10" s="23">
        <f>+J11</f>
        <v>80855</v>
      </c>
      <c r="K10" s="98"/>
      <c r="L10" s="23"/>
    </row>
    <row r="11" spans="1:12" ht="42" customHeight="1">
      <c r="A11" s="87" t="s">
        <v>2055</v>
      </c>
      <c r="B11" s="87"/>
      <c r="C11" s="1133" t="s">
        <v>64</v>
      </c>
      <c r="D11" s="1133"/>
      <c r="E11" s="1133"/>
      <c r="F11" s="44"/>
      <c r="G11" s="44">
        <f t="shared" ref="G11:I11" si="0">+G12+G15</f>
        <v>1047868</v>
      </c>
      <c r="H11" s="44">
        <f t="shared" si="0"/>
        <v>1047868</v>
      </c>
      <c r="I11" s="44">
        <f t="shared" si="0"/>
        <v>967013</v>
      </c>
      <c r="J11" s="44">
        <f>+J12+J15</f>
        <v>80855</v>
      </c>
      <c r="K11" s="171"/>
      <c r="L11" s="1105" t="s">
        <v>1890</v>
      </c>
    </row>
    <row r="12" spans="1:12" ht="18" customHeight="1">
      <c r="A12" s="87" t="s">
        <v>37</v>
      </c>
      <c r="B12" s="87"/>
      <c r="C12" s="1133" t="s">
        <v>733</v>
      </c>
      <c r="D12" s="1133"/>
      <c r="E12" s="1133"/>
      <c r="F12" s="44"/>
      <c r="G12" s="44">
        <f>SUM(G13:G14)</f>
        <v>20000</v>
      </c>
      <c r="H12" s="44">
        <f>SUM(H13:H14)</f>
        <v>20000</v>
      </c>
      <c r="I12" s="44">
        <f>SUM(I13:I14)</f>
        <v>16000</v>
      </c>
      <c r="J12" s="44">
        <f>SUM(J13:J14)</f>
        <v>4000</v>
      </c>
      <c r="K12" s="171"/>
      <c r="L12" s="44"/>
    </row>
    <row r="13" spans="1:12">
      <c r="A13" s="87" t="s">
        <v>8</v>
      </c>
      <c r="B13" s="87" t="s">
        <v>135</v>
      </c>
      <c r="C13" s="1133" t="s">
        <v>1483</v>
      </c>
      <c r="D13" s="1133"/>
      <c r="E13" s="760">
        <f>COUNTIF('4.1-ĐT'!B11:B22,"YT")</f>
        <v>12</v>
      </c>
      <c r="F13" s="44"/>
      <c r="G13" s="44">
        <f>+H13</f>
        <v>16000</v>
      </c>
      <c r="H13" s="44">
        <f>SUM(I13:J13)</f>
        <v>16000</v>
      </c>
      <c r="I13" s="44">
        <f>+'4.1-ĐT'!H10</f>
        <v>16000</v>
      </c>
      <c r="J13" s="44"/>
      <c r="K13" s="171"/>
      <c r="L13" s="44"/>
    </row>
    <row r="14" spans="1:12" ht="18" customHeight="1">
      <c r="A14" s="87" t="s">
        <v>26</v>
      </c>
      <c r="B14" s="87"/>
      <c r="C14" s="1133" t="s">
        <v>697</v>
      </c>
      <c r="D14" s="1133"/>
      <c r="E14" s="1133"/>
      <c r="F14" s="44"/>
      <c r="G14" s="44">
        <f>+H14</f>
        <v>4000</v>
      </c>
      <c r="H14" s="44">
        <f>SUM(I14:J14)</f>
        <v>4000</v>
      </c>
      <c r="I14" s="44"/>
      <c r="J14" s="44">
        <f>+'4.1-SN'!H9</f>
        <v>4000</v>
      </c>
      <c r="K14" s="171"/>
      <c r="L14" s="44"/>
    </row>
    <row r="15" spans="1:12" ht="18" customHeight="1">
      <c r="A15" s="87" t="s">
        <v>38</v>
      </c>
      <c r="B15" s="87"/>
      <c r="C15" s="1133" t="s">
        <v>901</v>
      </c>
      <c r="D15" s="1133"/>
      <c r="E15" s="1133"/>
      <c r="F15" s="44"/>
      <c r="G15" s="44">
        <f>+G16+G17+G18+G19+G20+G21+G22+G23</f>
        <v>1027868</v>
      </c>
      <c r="H15" s="44">
        <f>+H16+H17+H18+H19+H20+H21+H22+H23</f>
        <v>1027868</v>
      </c>
      <c r="I15" s="44">
        <f>+I16+I17+I18+I19+I20+I21+I22+I23</f>
        <v>951013</v>
      </c>
      <c r="J15" s="44">
        <f>+J16+J17+J18+J19+J20+J21+J22+J23</f>
        <v>76855</v>
      </c>
      <c r="K15" s="171"/>
      <c r="L15" s="44"/>
    </row>
    <row r="16" spans="1:12" ht="18" customHeight="1">
      <c r="A16" s="13" t="s">
        <v>8</v>
      </c>
      <c r="B16" s="13"/>
      <c r="C16" s="19" t="s">
        <v>25</v>
      </c>
      <c r="D16" s="19"/>
      <c r="E16" s="19"/>
      <c r="F16" s="20"/>
      <c r="G16" s="20">
        <f>+H16</f>
        <v>6334</v>
      </c>
      <c r="H16" s="20">
        <f t="shared" ref="H16:H23" si="1">+I16+J16</f>
        <v>6334</v>
      </c>
      <c r="I16" s="20">
        <f>VLOOKUP(C16,'4.1-ĐT'!C9:H249,6,0)</f>
        <v>5524</v>
      </c>
      <c r="J16" s="20">
        <v>810</v>
      </c>
      <c r="K16" s="1134"/>
      <c r="L16" s="20"/>
    </row>
    <row r="17" spans="1:12" ht="18" customHeight="1">
      <c r="A17" s="13" t="s">
        <v>26</v>
      </c>
      <c r="B17" s="13"/>
      <c r="C17" s="19" t="s">
        <v>23</v>
      </c>
      <c r="D17" s="19"/>
      <c r="E17" s="19"/>
      <c r="F17" s="20"/>
      <c r="G17" s="20">
        <f t="shared" ref="G17:G23" si="2">+H17</f>
        <v>81607</v>
      </c>
      <c r="H17" s="20">
        <f t="shared" si="1"/>
        <v>81607</v>
      </c>
      <c r="I17" s="20">
        <f>VLOOKUP(C17,'4.1-ĐT'!C10:H250,6,0)</f>
        <v>74017</v>
      </c>
      <c r="J17" s="20">
        <v>7590</v>
      </c>
      <c r="K17" s="1134"/>
      <c r="L17" s="33"/>
    </row>
    <row r="18" spans="1:12" ht="18" customHeight="1">
      <c r="A18" s="13" t="s">
        <v>28</v>
      </c>
      <c r="B18" s="13"/>
      <c r="C18" s="19" t="s">
        <v>21</v>
      </c>
      <c r="D18" s="19"/>
      <c r="E18" s="19"/>
      <c r="F18" s="20"/>
      <c r="G18" s="20">
        <f t="shared" si="2"/>
        <v>23750</v>
      </c>
      <c r="H18" s="20">
        <f t="shared" si="1"/>
        <v>23750</v>
      </c>
      <c r="I18" s="20">
        <f>VLOOKUP(C18,'4.1-ĐT'!C11:H251,6,0)</f>
        <v>20714</v>
      </c>
      <c r="J18" s="20">
        <v>3036</v>
      </c>
      <c r="K18" s="1134"/>
      <c r="L18" s="33"/>
    </row>
    <row r="19" spans="1:12" ht="18" customHeight="1">
      <c r="A19" s="13" t="s">
        <v>29</v>
      </c>
      <c r="B19" s="13"/>
      <c r="C19" s="19" t="s">
        <v>19</v>
      </c>
      <c r="D19" s="19"/>
      <c r="E19" s="19"/>
      <c r="F19" s="20"/>
      <c r="G19" s="20">
        <f t="shared" si="2"/>
        <v>112431</v>
      </c>
      <c r="H19" s="20">
        <f t="shared" si="1"/>
        <v>112431</v>
      </c>
      <c r="I19" s="20">
        <f>VLOOKUP(C19,'4.1-ĐT'!C12:H252,6,0)</f>
        <v>101607</v>
      </c>
      <c r="J19" s="20">
        <v>10824</v>
      </c>
      <c r="K19" s="1134"/>
      <c r="L19" s="33"/>
    </row>
    <row r="20" spans="1:12" ht="18" customHeight="1">
      <c r="A20" s="13" t="s">
        <v>30</v>
      </c>
      <c r="B20" s="13"/>
      <c r="C20" s="19" t="s">
        <v>17</v>
      </c>
      <c r="D20" s="19"/>
      <c r="E20" s="19"/>
      <c r="F20" s="20"/>
      <c r="G20" s="20">
        <f t="shared" si="2"/>
        <v>207814</v>
      </c>
      <c r="H20" s="20">
        <f t="shared" si="1"/>
        <v>207814</v>
      </c>
      <c r="I20" s="20">
        <f>VLOOKUP(C20,'4.1-ĐT'!C13:H253,6,0)</f>
        <v>192620</v>
      </c>
      <c r="J20" s="20">
        <v>15194</v>
      </c>
      <c r="K20" s="1134"/>
      <c r="L20" s="33"/>
    </row>
    <row r="21" spans="1:12" ht="18" customHeight="1">
      <c r="A21" s="13" t="s">
        <v>31</v>
      </c>
      <c r="B21" s="13"/>
      <c r="C21" s="19" t="s">
        <v>15</v>
      </c>
      <c r="D21" s="19"/>
      <c r="E21" s="19"/>
      <c r="F21" s="20"/>
      <c r="G21" s="20">
        <f t="shared" si="2"/>
        <v>236268</v>
      </c>
      <c r="H21" s="20">
        <f t="shared" si="1"/>
        <v>236268</v>
      </c>
      <c r="I21" s="20">
        <f>VLOOKUP(C21,'4.1-ĐT'!C14:H254,6,0)</f>
        <v>217035</v>
      </c>
      <c r="J21" s="20">
        <v>19233</v>
      </c>
      <c r="K21" s="1134"/>
      <c r="L21" s="33"/>
    </row>
    <row r="22" spans="1:12" ht="18" customHeight="1">
      <c r="A22" s="1135" t="s">
        <v>80</v>
      </c>
      <c r="B22" s="1135"/>
      <c r="C22" s="1103" t="s">
        <v>13</v>
      </c>
      <c r="D22" s="1103"/>
      <c r="E22" s="1103"/>
      <c r="F22" s="1136"/>
      <c r="G22" s="1136">
        <f t="shared" si="2"/>
        <v>149006</v>
      </c>
      <c r="H22" s="1136">
        <f t="shared" si="1"/>
        <v>149006</v>
      </c>
      <c r="I22" s="1136">
        <f>VLOOKUP(C22,'4.1-ĐT'!C15:H255,6,0)</f>
        <v>141085</v>
      </c>
      <c r="J22" s="1136">
        <v>7921</v>
      </c>
      <c r="K22" s="1137"/>
      <c r="L22" s="1104"/>
    </row>
    <row r="23" spans="1:12" ht="18" customHeight="1">
      <c r="A23" s="1138" t="s">
        <v>81</v>
      </c>
      <c r="B23" s="1138"/>
      <c r="C23" s="1101" t="s">
        <v>11</v>
      </c>
      <c r="D23" s="1101"/>
      <c r="E23" s="1101"/>
      <c r="F23" s="1139"/>
      <c r="G23" s="1139">
        <f t="shared" si="2"/>
        <v>210658</v>
      </c>
      <c r="H23" s="1139">
        <f t="shared" si="1"/>
        <v>210658</v>
      </c>
      <c r="I23" s="1139">
        <f>VLOOKUP(C23,'4.1-ĐT'!C16:H256,6,0)</f>
        <v>198411</v>
      </c>
      <c r="J23" s="1139">
        <v>12247</v>
      </c>
      <c r="K23" s="1140"/>
      <c r="L23" s="1102"/>
    </row>
    <row r="24" spans="1:12" ht="18" customHeight="1"/>
    <row r="25" spans="1:12" ht="18" customHeight="1">
      <c r="A25" s="1827" t="s">
        <v>2468</v>
      </c>
      <c r="B25" s="1827"/>
      <c r="C25" s="1827"/>
      <c r="D25" s="1827"/>
      <c r="E25" s="1827"/>
      <c r="F25" s="1827"/>
      <c r="G25" s="1827"/>
      <c r="H25" s="1827"/>
      <c r="I25" s="1827"/>
      <c r="J25" s="1827"/>
      <c r="K25" s="1827"/>
      <c r="L25" s="1827"/>
    </row>
    <row r="26" spans="1:12" ht="18" customHeight="1">
      <c r="A26" s="1818" t="s">
        <v>2469</v>
      </c>
      <c r="B26" s="1817"/>
      <c r="C26" s="1817"/>
      <c r="D26" s="1817"/>
      <c r="E26" s="1817"/>
      <c r="F26" s="1817"/>
      <c r="G26" s="1817"/>
      <c r="H26" s="1817"/>
      <c r="I26" s="1817"/>
      <c r="J26" s="1817"/>
      <c r="K26" s="1817"/>
      <c r="L26" s="1817"/>
    </row>
    <row r="27" spans="1:12" ht="33" customHeight="1">
      <c r="A27" s="1818" t="s">
        <v>2470</v>
      </c>
      <c r="B27" s="1817"/>
      <c r="C27" s="1817"/>
      <c r="D27" s="1817"/>
      <c r="E27" s="1817"/>
      <c r="F27" s="1817"/>
      <c r="G27" s="1817"/>
      <c r="H27" s="1817"/>
      <c r="I27" s="1817"/>
      <c r="J27" s="1817"/>
      <c r="K27" s="1817"/>
      <c r="L27" s="1817"/>
    </row>
    <row r="28" spans="1:12" ht="33" customHeight="1">
      <c r="A28" s="1818" t="s">
        <v>2471</v>
      </c>
      <c r="B28" s="1817"/>
      <c r="C28" s="1817"/>
      <c r="D28" s="1817"/>
      <c r="E28" s="1817"/>
      <c r="F28" s="1817"/>
      <c r="G28" s="1817"/>
      <c r="H28" s="1817"/>
      <c r="I28" s="1817"/>
      <c r="J28" s="1817"/>
      <c r="K28" s="1817"/>
      <c r="L28" s="1817"/>
    </row>
    <row r="29" spans="1:12" ht="18" customHeight="1"/>
    <row r="30" spans="1:12" ht="18" customHeight="1"/>
    <row r="31" spans="1:12" ht="18" customHeight="1"/>
    <row r="32" spans="1:12" ht="18" customHeight="1"/>
    <row r="33" ht="18" customHeight="1"/>
    <row r="34" ht="18" customHeight="1"/>
    <row r="35" ht="18"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sheetData>
  <mergeCells count="18">
    <mergeCell ref="A1:L1"/>
    <mergeCell ref="A5:L5"/>
    <mergeCell ref="A25:L25"/>
    <mergeCell ref="A26:L26"/>
    <mergeCell ref="A27:L27"/>
    <mergeCell ref="A28:L28"/>
    <mergeCell ref="A2:C2"/>
    <mergeCell ref="A3:L3"/>
    <mergeCell ref="A4:L4"/>
    <mergeCell ref="A6:L6"/>
    <mergeCell ref="A7:A8"/>
    <mergeCell ref="C7:C8"/>
    <mergeCell ref="D7:D8"/>
    <mergeCell ref="E7:E8"/>
    <mergeCell ref="F7:F8"/>
    <mergeCell ref="G7:G8"/>
    <mergeCell ref="L7:L8"/>
    <mergeCell ref="I7:I8"/>
  </mergeCells>
  <pageMargins left="0.69" right="0.72" top="0.5" bottom="0.5" header="0.47" footer="0.3"/>
  <pageSetup paperSize="9" scale="90" orientation="portrait" r:id="rId1"/>
  <headerFooter>
    <oddFooter>Page &amp;P</oddFooter>
  </headerFooter>
  <ignoredErrors>
    <ignoredError sqref="G15" formula="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N262"/>
  <sheetViews>
    <sheetView topLeftCell="A7" zoomScale="130" zoomScaleNormal="130" zoomScaleSheetLayoutView="115" workbookViewId="0">
      <pane xSplit="3" ySplit="2" topLeftCell="D9" activePane="bottomRight" state="frozen"/>
      <selection activeCell="F6" sqref="F6:F10"/>
      <selection pane="topRight" activeCell="F6" sqref="F6:F10"/>
      <selection pane="bottomLeft" activeCell="F6" sqref="F6:F10"/>
      <selection pane="bottomRight" activeCell="F6" sqref="F6:F10"/>
    </sheetView>
  </sheetViews>
  <sheetFormatPr defaultColWidth="9.08203125" defaultRowHeight="13"/>
  <cols>
    <col min="1" max="1" width="4.9140625" style="8" customWidth="1"/>
    <col min="2" max="2" width="4.9140625" style="8" hidden="1" customWidth="1"/>
    <col min="3" max="3" width="33.33203125" style="8" customWidth="1"/>
    <col min="4" max="4" width="14.4140625" style="49" customWidth="1"/>
    <col min="5" max="5" width="8.08203125" style="8" customWidth="1"/>
    <col min="6" max="7" width="9.6640625" style="8" customWidth="1"/>
    <col min="8" max="8" width="10" style="8" customWidth="1"/>
    <col min="9" max="9" width="12.08203125" style="8" customWidth="1"/>
    <col min="10" max="13" width="9.08203125" style="8"/>
    <col min="14" max="14" width="10" style="8" bestFit="1" customWidth="1"/>
    <col min="15" max="16384" width="9.08203125" style="8"/>
  </cols>
  <sheetData>
    <row r="1" spans="1:11" ht="21" customHeight="1">
      <c r="A1" s="1714" t="s">
        <v>2787</v>
      </c>
      <c r="B1" s="1714"/>
      <c r="C1" s="1714"/>
      <c r="D1" s="1714"/>
      <c r="E1" s="1714"/>
      <c r="F1" s="1714"/>
      <c r="G1" s="1714"/>
      <c r="H1" s="1714"/>
      <c r="I1" s="1714"/>
    </row>
    <row r="2" spans="1:11" ht="18" hidden="1" customHeight="1">
      <c r="A2" s="1794"/>
      <c r="B2" s="1794"/>
      <c r="C2" s="1794"/>
      <c r="D2" s="48"/>
      <c r="E2" s="654"/>
      <c r="F2" s="654"/>
      <c r="G2" s="654"/>
      <c r="H2" s="654"/>
      <c r="I2" s="699" t="s">
        <v>70</v>
      </c>
    </row>
    <row r="3" spans="1:11" ht="18" customHeight="1">
      <c r="A3" s="1714" t="s">
        <v>2109</v>
      </c>
      <c r="B3" s="1714"/>
      <c r="C3" s="1714"/>
      <c r="D3" s="1714"/>
      <c r="E3" s="1714"/>
      <c r="F3" s="1714"/>
      <c r="G3" s="1714"/>
      <c r="H3" s="1714"/>
      <c r="I3" s="1714"/>
    </row>
    <row r="4" spans="1:11" ht="18" customHeight="1">
      <c r="A4" s="1714" t="s">
        <v>2077</v>
      </c>
      <c r="B4" s="1714"/>
      <c r="C4" s="1714"/>
      <c r="D4" s="1714"/>
      <c r="E4" s="1714"/>
      <c r="F4" s="1714"/>
      <c r="G4" s="1714"/>
      <c r="H4" s="1714"/>
      <c r="I4" s="1714"/>
    </row>
    <row r="5" spans="1:11" s="35" customFormat="1" ht="18" customHeight="1">
      <c r="A5" s="1716" t="e">
        <f>#REF!</f>
        <v>#REF!</v>
      </c>
      <c r="B5" s="1716"/>
      <c r="C5" s="1716"/>
      <c r="D5" s="1716"/>
      <c r="E5" s="1716"/>
      <c r="F5" s="1716"/>
      <c r="G5" s="1716"/>
      <c r="H5" s="1716"/>
      <c r="I5" s="1716"/>
    </row>
    <row r="6" spans="1:11" ht="18" customHeight="1">
      <c r="A6" s="1773" t="s">
        <v>3</v>
      </c>
      <c r="B6" s="1773"/>
      <c r="C6" s="1773"/>
      <c r="D6" s="1773"/>
      <c r="E6" s="1773"/>
      <c r="F6" s="1773"/>
      <c r="G6" s="1773"/>
      <c r="H6" s="1773"/>
      <c r="I6" s="1773"/>
    </row>
    <row r="7" spans="1:11" ht="39">
      <c r="A7" s="66" t="s">
        <v>4</v>
      </c>
      <c r="B7" s="66" t="s">
        <v>134</v>
      </c>
      <c r="C7" s="66" t="s">
        <v>5</v>
      </c>
      <c r="D7" s="66" t="s">
        <v>55</v>
      </c>
      <c r="E7" s="66" t="s">
        <v>32</v>
      </c>
      <c r="F7" s="66" t="s">
        <v>35</v>
      </c>
      <c r="G7" s="66" t="s">
        <v>2538</v>
      </c>
      <c r="H7" s="66" t="s">
        <v>2537</v>
      </c>
      <c r="I7" s="66" t="s">
        <v>33</v>
      </c>
      <c r="J7" s="8" t="s">
        <v>2925</v>
      </c>
      <c r="K7" s="8" t="s">
        <v>2926</v>
      </c>
    </row>
    <row r="8" spans="1:11" s="35" customFormat="1" ht="18" customHeight="1">
      <c r="A8" s="482" t="s">
        <v>10</v>
      </c>
      <c r="B8" s="482"/>
      <c r="C8" s="482" t="s">
        <v>12</v>
      </c>
      <c r="D8" s="482" t="s">
        <v>14</v>
      </c>
      <c r="E8" s="482" t="s">
        <v>16</v>
      </c>
      <c r="F8" s="482" t="s">
        <v>18</v>
      </c>
      <c r="G8" s="482" t="s">
        <v>20</v>
      </c>
      <c r="H8" s="482" t="s">
        <v>22</v>
      </c>
      <c r="I8" s="482" t="s">
        <v>24</v>
      </c>
    </row>
    <row r="9" spans="1:11" s="30" customFormat="1" ht="18" customHeight="1">
      <c r="A9" s="40"/>
      <c r="B9" s="40"/>
      <c r="C9" s="40" t="s">
        <v>1473</v>
      </c>
      <c r="D9" s="40"/>
      <c r="E9" s="40"/>
      <c r="F9" s="40"/>
      <c r="G9" s="23">
        <f>+G10+G23</f>
        <v>989158</v>
      </c>
      <c r="H9" s="23">
        <f>+H10+H23</f>
        <v>967013</v>
      </c>
      <c r="I9" s="23"/>
      <c r="J9" s="30">
        <f>COUNTIF(J10:J249,"1")</f>
        <v>7</v>
      </c>
      <c r="K9" s="30">
        <f>COUNTIF(K10:K249,"1")</f>
        <v>19</v>
      </c>
    </row>
    <row r="10" spans="1:11" s="30" customFormat="1" ht="39">
      <c r="A10" s="40" t="s">
        <v>37</v>
      </c>
      <c r="B10" s="40"/>
      <c r="C10" s="54" t="s">
        <v>2460</v>
      </c>
      <c r="D10" s="40"/>
      <c r="E10" s="40"/>
      <c r="F10" s="40"/>
      <c r="G10" s="23">
        <f>SUBTOTAL(9,G11:G22)</f>
        <v>16000</v>
      </c>
      <c r="H10" s="23">
        <f>SUBTOTAL(9,H11:H22)</f>
        <v>16000</v>
      </c>
      <c r="I10" s="36"/>
    </row>
    <row r="11" spans="1:11" s="30" customFormat="1" ht="18" customHeight="1">
      <c r="A11" s="32">
        <f>IF(H11&gt;0,SUBTOTAL(3,$H$11:H11),"")</f>
        <v>1</v>
      </c>
      <c r="B11" s="32" t="s">
        <v>135</v>
      </c>
      <c r="C11" s="19" t="s">
        <v>1409</v>
      </c>
      <c r="D11" s="74" t="s">
        <v>368</v>
      </c>
      <c r="E11" s="760">
        <v>1</v>
      </c>
      <c r="F11" s="760" t="s">
        <v>118</v>
      </c>
      <c r="G11" s="44">
        <v>800</v>
      </c>
      <c r="H11" s="44">
        <v>800</v>
      </c>
      <c r="I11" s="56"/>
      <c r="J11" s="1177"/>
      <c r="K11" s="1177" t="str">
        <f>IF(H11&gt;10000,"1","0")</f>
        <v>0</v>
      </c>
    </row>
    <row r="12" spans="1:11" s="30" customFormat="1" ht="18" customHeight="1">
      <c r="A12" s="32">
        <f>IF(H12&gt;0,SUBTOTAL(3,$H$11:H12),"")</f>
        <v>2</v>
      </c>
      <c r="B12" s="32" t="s">
        <v>135</v>
      </c>
      <c r="C12" s="19" t="s">
        <v>698</v>
      </c>
      <c r="D12" s="74" t="s">
        <v>215</v>
      </c>
      <c r="E12" s="174">
        <v>1</v>
      </c>
      <c r="F12" s="56" t="s">
        <v>118</v>
      </c>
      <c r="G12" s="44">
        <v>800</v>
      </c>
      <c r="H12" s="44">
        <v>800</v>
      </c>
      <c r="I12" s="56"/>
      <c r="J12" s="1177"/>
      <c r="K12" s="1177" t="str">
        <f t="shared" ref="K12:K22" si="0">IF(H12&gt;10000,"1","0")</f>
        <v>0</v>
      </c>
    </row>
    <row r="13" spans="1:11" s="30" customFormat="1" ht="18" customHeight="1">
      <c r="A13" s="32">
        <f>IF(H13&gt;0,SUBTOTAL(3,$H$11:H13),"")</f>
        <v>3</v>
      </c>
      <c r="B13" s="32" t="s">
        <v>135</v>
      </c>
      <c r="C13" s="19" t="s">
        <v>267</v>
      </c>
      <c r="D13" s="74" t="s">
        <v>210</v>
      </c>
      <c r="E13" s="174">
        <v>1</v>
      </c>
      <c r="F13" s="56" t="s">
        <v>118</v>
      </c>
      <c r="G13" s="44">
        <v>800</v>
      </c>
      <c r="H13" s="44">
        <v>800</v>
      </c>
      <c r="I13" s="56"/>
      <c r="J13" s="1177"/>
      <c r="K13" s="1177" t="str">
        <f t="shared" si="0"/>
        <v>0</v>
      </c>
    </row>
    <row r="14" spans="1:11" s="30" customFormat="1" ht="18" customHeight="1">
      <c r="A14" s="32">
        <f>IF(H14&gt;0,SUBTOTAL(3,$H$11:H14),"")</f>
        <v>4</v>
      </c>
      <c r="B14" s="32" t="s">
        <v>135</v>
      </c>
      <c r="C14" s="19" t="s">
        <v>1410</v>
      </c>
      <c r="D14" s="37" t="s">
        <v>225</v>
      </c>
      <c r="E14" s="174">
        <v>1</v>
      </c>
      <c r="F14" s="56" t="s">
        <v>118</v>
      </c>
      <c r="G14" s="44">
        <v>800</v>
      </c>
      <c r="H14" s="44">
        <v>800</v>
      </c>
      <c r="I14" s="56"/>
      <c r="J14" s="1177"/>
      <c r="K14" s="1177" t="str">
        <f t="shared" si="0"/>
        <v>0</v>
      </c>
    </row>
    <row r="15" spans="1:11" s="30" customFormat="1" ht="18" customHeight="1">
      <c r="A15" s="32">
        <f>IF(H15&gt;0,SUBTOTAL(3,$H$11:H15),"")</f>
        <v>5</v>
      </c>
      <c r="B15" s="32" t="s">
        <v>135</v>
      </c>
      <c r="C15" s="19" t="s">
        <v>268</v>
      </c>
      <c r="D15" s="74" t="s">
        <v>213</v>
      </c>
      <c r="E15" s="174">
        <v>1</v>
      </c>
      <c r="F15" s="56" t="s">
        <v>118</v>
      </c>
      <c r="G15" s="44">
        <v>800</v>
      </c>
      <c r="H15" s="44">
        <v>800</v>
      </c>
      <c r="I15" s="56"/>
      <c r="J15" s="1177"/>
      <c r="K15" s="1177" t="str">
        <f t="shared" si="0"/>
        <v>0</v>
      </c>
    </row>
    <row r="16" spans="1:11" s="30" customFormat="1" ht="18" customHeight="1">
      <c r="A16" s="32">
        <f>IF(H16&gt;0,SUBTOTAL(3,$H$11:H16),"")</f>
        <v>6</v>
      </c>
      <c r="B16" s="32" t="s">
        <v>135</v>
      </c>
      <c r="C16" s="761" t="s">
        <v>1407</v>
      </c>
      <c r="D16" s="56" t="s">
        <v>122</v>
      </c>
      <c r="E16" s="28">
        <v>1</v>
      </c>
      <c r="F16" s="74" t="s">
        <v>118</v>
      </c>
      <c r="G16" s="16">
        <v>800</v>
      </c>
      <c r="H16" s="44">
        <v>800</v>
      </c>
      <c r="I16" s="1828"/>
      <c r="J16" s="1177"/>
      <c r="K16" s="1177" t="str">
        <f t="shared" si="0"/>
        <v>0</v>
      </c>
    </row>
    <row r="17" spans="1:11" s="30" customFormat="1" ht="18" customHeight="1">
      <c r="A17" s="32">
        <f>IF(H17&gt;0,SUBTOTAL(3,$H$11:H17),"")</f>
        <v>7</v>
      </c>
      <c r="B17" s="32" t="s">
        <v>135</v>
      </c>
      <c r="C17" s="761" t="s">
        <v>1406</v>
      </c>
      <c r="D17" s="56" t="s">
        <v>123</v>
      </c>
      <c r="E17" s="28">
        <v>1</v>
      </c>
      <c r="F17" s="74" t="s">
        <v>118</v>
      </c>
      <c r="G17" s="16">
        <v>800</v>
      </c>
      <c r="H17" s="44">
        <v>800</v>
      </c>
      <c r="I17" s="1828"/>
      <c r="J17" s="1177"/>
      <c r="K17" s="1177" t="str">
        <f t="shared" si="0"/>
        <v>0</v>
      </c>
    </row>
    <row r="18" spans="1:11" s="30" customFormat="1" ht="18" customHeight="1">
      <c r="A18" s="32">
        <f>IF(H18&gt;0,SUBTOTAL(3,$H$11:H18),"")</f>
        <v>8</v>
      </c>
      <c r="B18" s="32" t="s">
        <v>135</v>
      </c>
      <c r="C18" s="761" t="s">
        <v>1405</v>
      </c>
      <c r="D18" s="56" t="s">
        <v>110</v>
      </c>
      <c r="E18" s="28">
        <v>1</v>
      </c>
      <c r="F18" s="74" t="s">
        <v>118</v>
      </c>
      <c r="G18" s="16">
        <v>800</v>
      </c>
      <c r="H18" s="44">
        <v>800</v>
      </c>
      <c r="I18" s="1828"/>
      <c r="J18" s="1177"/>
      <c r="K18" s="1177" t="str">
        <f t="shared" si="0"/>
        <v>0</v>
      </c>
    </row>
    <row r="19" spans="1:11" s="30" customFormat="1" ht="18" customHeight="1">
      <c r="A19" s="32">
        <f>IF(H19&gt;0,SUBTOTAL(3,$H$11:H19),"")</f>
        <v>9</v>
      </c>
      <c r="B19" s="32" t="s">
        <v>135</v>
      </c>
      <c r="C19" s="762" t="s">
        <v>1411</v>
      </c>
      <c r="D19" s="758" t="s">
        <v>693</v>
      </c>
      <c r="E19" s="758">
        <v>1</v>
      </c>
      <c r="F19" s="763" t="s">
        <v>118</v>
      </c>
      <c r="G19" s="764">
        <v>800</v>
      </c>
      <c r="H19" s="764">
        <v>800</v>
      </c>
      <c r="I19" s="758"/>
      <c r="J19" s="1177"/>
      <c r="K19" s="1177" t="str">
        <f t="shared" si="0"/>
        <v>0</v>
      </c>
    </row>
    <row r="20" spans="1:11" s="30" customFormat="1" ht="18" customHeight="1">
      <c r="A20" s="32">
        <f>IF(H20&gt;0,SUBTOTAL(3,$H$11:H20),"")</f>
        <v>10</v>
      </c>
      <c r="B20" s="32" t="s">
        <v>135</v>
      </c>
      <c r="C20" s="31" t="s">
        <v>1404</v>
      </c>
      <c r="D20" s="56" t="s">
        <v>627</v>
      </c>
      <c r="E20" s="56">
        <v>1</v>
      </c>
      <c r="F20" s="74" t="s">
        <v>118</v>
      </c>
      <c r="G20" s="44">
        <v>800</v>
      </c>
      <c r="H20" s="44">
        <v>800</v>
      </c>
      <c r="I20" s="765"/>
      <c r="J20" s="1177"/>
      <c r="K20" s="1177" t="str">
        <f t="shared" si="0"/>
        <v>0</v>
      </c>
    </row>
    <row r="21" spans="1:11" s="30" customFormat="1" ht="18" customHeight="1">
      <c r="A21" s="32">
        <f>IF(H21&gt;0,SUBTOTAL(3,$H$11:H21),"")</f>
        <v>11</v>
      </c>
      <c r="B21" s="32" t="s">
        <v>135</v>
      </c>
      <c r="C21" s="31" t="s">
        <v>1408</v>
      </c>
      <c r="D21" s="32" t="s">
        <v>284</v>
      </c>
      <c r="E21" s="28">
        <v>1</v>
      </c>
      <c r="F21" s="56" t="s">
        <v>118</v>
      </c>
      <c r="G21" s="44">
        <v>4000</v>
      </c>
      <c r="H21" s="44">
        <v>4000</v>
      </c>
      <c r="I21" s="56"/>
      <c r="J21" s="1177"/>
      <c r="K21" s="1177" t="str">
        <f t="shared" si="0"/>
        <v>0</v>
      </c>
    </row>
    <row r="22" spans="1:11" s="30" customFormat="1" ht="18" customHeight="1">
      <c r="A22" s="32">
        <f>IF(H22&gt;0,SUBTOTAL(3,$H$11:H22),"")</f>
        <v>12</v>
      </c>
      <c r="B22" s="32" t="s">
        <v>135</v>
      </c>
      <c r="C22" s="761" t="s">
        <v>133</v>
      </c>
      <c r="D22" s="56" t="s">
        <v>113</v>
      </c>
      <c r="E22" s="28">
        <v>1</v>
      </c>
      <c r="F22" s="74" t="s">
        <v>118</v>
      </c>
      <c r="G22" s="16">
        <v>4000</v>
      </c>
      <c r="H22" s="44">
        <v>4000</v>
      </c>
      <c r="I22" s="56"/>
      <c r="J22" s="1177"/>
      <c r="K22" s="1177" t="str">
        <f t="shared" si="0"/>
        <v>0</v>
      </c>
    </row>
    <row r="23" spans="1:11" s="30" customFormat="1" ht="18" customHeight="1">
      <c r="A23" s="40" t="s">
        <v>38</v>
      </c>
      <c r="B23" s="40"/>
      <c r="C23" s="54" t="s">
        <v>901</v>
      </c>
      <c r="D23" s="40"/>
      <c r="E23" s="40"/>
      <c r="F23" s="40"/>
      <c r="G23" s="23">
        <f>G24+G28+G81+G114+G136+G168+G198+G213</f>
        <v>973158</v>
      </c>
      <c r="H23" s="23">
        <f>H24+H28+H81+H114+H136+H168+H198+H213</f>
        <v>951013</v>
      </c>
      <c r="I23" s="23"/>
    </row>
    <row r="24" spans="1:11" ht="18" customHeight="1">
      <c r="A24" s="14" t="s">
        <v>8</v>
      </c>
      <c r="B24" s="14"/>
      <c r="C24" s="46" t="s">
        <v>25</v>
      </c>
      <c r="D24" s="36"/>
      <c r="E24" s="36"/>
      <c r="F24" s="23"/>
      <c r="G24" s="23">
        <f>SUM(G25:G27)</f>
        <v>5524</v>
      </c>
      <c r="H24" s="23">
        <f>SUM(H25:H27)</f>
        <v>5524</v>
      </c>
      <c r="I24" s="36"/>
    </row>
    <row r="25" spans="1:11" ht="26">
      <c r="A25" s="32">
        <f>IF(H25&gt;0,SUBTOTAL(3,$H$25:H25),"")</f>
        <v>1</v>
      </c>
      <c r="B25" s="32" t="s">
        <v>140</v>
      </c>
      <c r="C25" s="31" t="s">
        <v>2362</v>
      </c>
      <c r="D25" s="17" t="s">
        <v>601</v>
      </c>
      <c r="E25" s="739">
        <v>1</v>
      </c>
      <c r="F25" s="74" t="s">
        <v>118</v>
      </c>
      <c r="G25" s="20">
        <v>1500</v>
      </c>
      <c r="H25" s="20">
        <v>1500</v>
      </c>
      <c r="I25" s="172"/>
      <c r="J25" s="1177"/>
      <c r="K25" s="1177" t="str">
        <f t="shared" ref="K25:K27" si="1">IF(H25&gt;10000,"1","0")</f>
        <v>0</v>
      </c>
    </row>
    <row r="26" spans="1:11" ht="26">
      <c r="A26" s="32">
        <f>IF(H26&gt;0,SUBTOTAL(3,$H$25:H26),"")</f>
        <v>2</v>
      </c>
      <c r="B26" s="32" t="s">
        <v>140</v>
      </c>
      <c r="C26" s="31" t="s">
        <v>2363</v>
      </c>
      <c r="D26" s="17" t="s">
        <v>601</v>
      </c>
      <c r="E26" s="739">
        <v>1.1000000000000001</v>
      </c>
      <c r="F26" s="74" t="s">
        <v>118</v>
      </c>
      <c r="G26" s="20">
        <f>+H26</f>
        <v>884</v>
      </c>
      <c r="H26" s="20">
        <f>608+258+18</f>
        <v>884</v>
      </c>
      <c r="I26" s="172"/>
      <c r="J26" s="1177"/>
      <c r="K26" s="1177" t="str">
        <f t="shared" si="1"/>
        <v>0</v>
      </c>
    </row>
    <row r="27" spans="1:11" ht="26">
      <c r="A27" s="32">
        <f>IF(H27&gt;0,SUBTOTAL(3,$H$25:H27),"")</f>
        <v>3</v>
      </c>
      <c r="B27" s="32" t="s">
        <v>140</v>
      </c>
      <c r="C27" s="31" t="s">
        <v>2364</v>
      </c>
      <c r="D27" s="17" t="s">
        <v>601</v>
      </c>
      <c r="E27" s="739">
        <v>1.8</v>
      </c>
      <c r="F27" s="74" t="s">
        <v>118</v>
      </c>
      <c r="G27" s="20">
        <f>+H27</f>
        <v>3140</v>
      </c>
      <c r="H27" s="20">
        <f>3140</f>
        <v>3140</v>
      </c>
      <c r="I27" s="172"/>
      <c r="J27" s="1177"/>
      <c r="K27" s="1177" t="str">
        <f t="shared" si="1"/>
        <v>0</v>
      </c>
    </row>
    <row r="28" spans="1:11" ht="18" customHeight="1">
      <c r="A28" s="14" t="s">
        <v>26</v>
      </c>
      <c r="B28" s="14"/>
      <c r="C28" s="46" t="s">
        <v>23</v>
      </c>
      <c r="D28" s="36"/>
      <c r="E28" s="36"/>
      <c r="F28" s="23"/>
      <c r="G28" s="23">
        <f>SUM(G29:G80)</f>
        <v>74017</v>
      </c>
      <c r="H28" s="23">
        <f>SUM(H29:H80)</f>
        <v>74017</v>
      </c>
      <c r="I28" s="36"/>
      <c r="J28" s="8">
        <v>74017</v>
      </c>
    </row>
    <row r="29" spans="1:11" ht="26">
      <c r="A29" s="1179">
        <f>IF(H29&gt;0,SUBTOTAL(3,$H$29:H29),"")</f>
        <v>1</v>
      </c>
      <c r="B29" s="1179" t="s">
        <v>140</v>
      </c>
      <c r="C29" s="1103" t="s">
        <v>330</v>
      </c>
      <c r="D29" s="1175" t="s">
        <v>329</v>
      </c>
      <c r="E29" s="1237">
        <v>2</v>
      </c>
      <c r="F29" s="1183" t="s">
        <v>2749</v>
      </c>
      <c r="G29" s="1181">
        <v>1325</v>
      </c>
      <c r="H29" s="1181">
        <v>1325</v>
      </c>
      <c r="I29" s="56"/>
      <c r="J29" s="1177"/>
      <c r="K29" s="1177" t="str">
        <f t="shared" ref="K29:K80" si="2">IF(H29&gt;10000,"1","0")</f>
        <v>0</v>
      </c>
    </row>
    <row r="30" spans="1:11" ht="26">
      <c r="A30" s="1179">
        <f>IF(H30&gt;0,SUBTOTAL(3,$H$29:H30),"")</f>
        <v>2</v>
      </c>
      <c r="B30" s="1179" t="s">
        <v>140</v>
      </c>
      <c r="C30" s="1103" t="s">
        <v>331</v>
      </c>
      <c r="D30" s="1175" t="s">
        <v>329</v>
      </c>
      <c r="E30" s="1237">
        <v>1</v>
      </c>
      <c r="F30" s="1183" t="s">
        <v>2749</v>
      </c>
      <c r="G30" s="1181">
        <v>850</v>
      </c>
      <c r="H30" s="1181">
        <v>850</v>
      </c>
      <c r="I30" s="56"/>
      <c r="J30" s="1177"/>
      <c r="K30" s="1177" t="str">
        <f t="shared" si="2"/>
        <v>0</v>
      </c>
    </row>
    <row r="31" spans="1:11" ht="26">
      <c r="A31" s="1179">
        <f>IF(H31&gt;0,SUBTOTAL(3,$H$29:H31),"")</f>
        <v>3</v>
      </c>
      <c r="B31" s="1179" t="s">
        <v>138</v>
      </c>
      <c r="C31" s="1103" t="s">
        <v>332</v>
      </c>
      <c r="D31" s="1175" t="s">
        <v>329</v>
      </c>
      <c r="E31" s="1237">
        <v>2</v>
      </c>
      <c r="F31" s="1183" t="s">
        <v>2749</v>
      </c>
      <c r="G31" s="1181">
        <v>470</v>
      </c>
      <c r="H31" s="1181">
        <v>470</v>
      </c>
      <c r="I31" s="56"/>
      <c r="J31" s="1177"/>
      <c r="K31" s="1177" t="str">
        <f t="shared" si="2"/>
        <v>0</v>
      </c>
    </row>
    <row r="32" spans="1:11" ht="26">
      <c r="A32" s="1179">
        <f>IF(H32&gt;0,SUBTOTAL(3,$H$29:H32),"")</f>
        <v>4</v>
      </c>
      <c r="B32" s="1179" t="s">
        <v>308</v>
      </c>
      <c r="C32" s="1103" t="s">
        <v>333</v>
      </c>
      <c r="D32" s="1175" t="s">
        <v>329</v>
      </c>
      <c r="E32" s="1237">
        <v>2</v>
      </c>
      <c r="F32" s="1183" t="s">
        <v>2749</v>
      </c>
      <c r="G32" s="1181">
        <f>1325+70</f>
        <v>1395</v>
      </c>
      <c r="H32" s="1181">
        <f>1325+70</f>
        <v>1395</v>
      </c>
      <c r="I32" s="56"/>
      <c r="J32" s="1177"/>
      <c r="K32" s="1177" t="str">
        <f t="shared" si="2"/>
        <v>0</v>
      </c>
    </row>
    <row r="33" spans="1:11" ht="26">
      <c r="A33" s="1179">
        <f>IF(H33&gt;0,SUBTOTAL(3,$H$29:H33),"")</f>
        <v>5</v>
      </c>
      <c r="B33" s="1179" t="s">
        <v>140</v>
      </c>
      <c r="C33" s="1103" t="s">
        <v>335</v>
      </c>
      <c r="D33" s="1175" t="s">
        <v>334</v>
      </c>
      <c r="E33" s="1237">
        <v>1.2</v>
      </c>
      <c r="F33" s="1183" t="s">
        <v>2749</v>
      </c>
      <c r="G33" s="1181">
        <v>1800</v>
      </c>
      <c r="H33" s="1181">
        <v>1800</v>
      </c>
      <c r="I33" s="56"/>
      <c r="J33" s="1177"/>
      <c r="K33" s="1177" t="str">
        <f t="shared" si="2"/>
        <v>0</v>
      </c>
    </row>
    <row r="34" spans="1:11" ht="18" customHeight="1">
      <c r="A34" s="1179">
        <f>IF(H34&gt;0,SUBTOTAL(3,$H$29:H34),"")</f>
        <v>6</v>
      </c>
      <c r="B34" s="1179" t="s">
        <v>140</v>
      </c>
      <c r="C34" s="1103" t="s">
        <v>336</v>
      </c>
      <c r="D34" s="1175" t="s">
        <v>334</v>
      </c>
      <c r="E34" s="1237">
        <v>1.8</v>
      </c>
      <c r="F34" s="1183" t="s">
        <v>2749</v>
      </c>
      <c r="G34" s="1181">
        <v>1900</v>
      </c>
      <c r="H34" s="1181">
        <v>1900</v>
      </c>
      <c r="I34" s="56"/>
      <c r="J34" s="1177"/>
      <c r="K34" s="1177" t="str">
        <f t="shared" si="2"/>
        <v>0</v>
      </c>
    </row>
    <row r="35" spans="1:11" ht="26">
      <c r="A35" s="1179">
        <f>IF(H35&gt;0,SUBTOTAL(3,$H$29:H35),"")</f>
        <v>7</v>
      </c>
      <c r="B35" s="1179" t="s">
        <v>140</v>
      </c>
      <c r="C35" s="1103" t="s">
        <v>337</v>
      </c>
      <c r="D35" s="1175" t="s">
        <v>334</v>
      </c>
      <c r="E35" s="1237">
        <v>1.2</v>
      </c>
      <c r="F35" s="1183" t="s">
        <v>2749</v>
      </c>
      <c r="G35" s="1181">
        <v>1800</v>
      </c>
      <c r="H35" s="1181">
        <v>1800</v>
      </c>
      <c r="I35" s="56"/>
      <c r="J35" s="1177"/>
      <c r="K35" s="1177" t="str">
        <f t="shared" si="2"/>
        <v>0</v>
      </c>
    </row>
    <row r="36" spans="1:11" ht="26">
      <c r="A36" s="1179">
        <f>IF(H36&gt;0,SUBTOTAL(3,$H$29:H36),"")</f>
        <v>8</v>
      </c>
      <c r="B36" s="1179" t="s">
        <v>140</v>
      </c>
      <c r="C36" s="1103" t="s">
        <v>338</v>
      </c>
      <c r="D36" s="1175" t="s">
        <v>334</v>
      </c>
      <c r="E36" s="1237">
        <v>0.5</v>
      </c>
      <c r="F36" s="1183">
        <v>2022</v>
      </c>
      <c r="G36" s="1181">
        <v>750</v>
      </c>
      <c r="H36" s="1181">
        <v>750</v>
      </c>
      <c r="I36" s="56"/>
      <c r="J36" s="1177"/>
      <c r="K36" s="1177" t="str">
        <f t="shared" si="2"/>
        <v>0</v>
      </c>
    </row>
    <row r="37" spans="1:11" ht="18" customHeight="1">
      <c r="A37" s="1179">
        <f>IF(H37&gt;0,SUBTOTAL(3,$H$29:H37),"")</f>
        <v>9</v>
      </c>
      <c r="B37" s="1179" t="s">
        <v>138</v>
      </c>
      <c r="C37" s="1103" t="s">
        <v>339</v>
      </c>
      <c r="D37" s="1175" t="s">
        <v>334</v>
      </c>
      <c r="E37" s="1237">
        <v>20</v>
      </c>
      <c r="F37" s="1183" t="s">
        <v>2749</v>
      </c>
      <c r="G37" s="1181">
        <v>1800</v>
      </c>
      <c r="H37" s="1181">
        <v>1800</v>
      </c>
      <c r="I37" s="56"/>
      <c r="J37" s="1177"/>
      <c r="K37" s="1177" t="str">
        <f t="shared" si="2"/>
        <v>0</v>
      </c>
    </row>
    <row r="38" spans="1:11" ht="26">
      <c r="A38" s="1179">
        <f>IF(H38&gt;0,SUBTOTAL(3,$H$29:H38),"")</f>
        <v>10</v>
      </c>
      <c r="B38" s="1179" t="s">
        <v>140</v>
      </c>
      <c r="C38" s="1103" t="s">
        <v>341</v>
      </c>
      <c r="D38" s="1180" t="s">
        <v>340</v>
      </c>
      <c r="E38" s="1237">
        <v>1.2</v>
      </c>
      <c r="F38" s="1183" t="s">
        <v>2749</v>
      </c>
      <c r="G38" s="1181">
        <v>1500</v>
      </c>
      <c r="H38" s="1181">
        <v>1500</v>
      </c>
      <c r="I38" s="56"/>
      <c r="J38" s="1177"/>
      <c r="K38" s="1177" t="str">
        <f t="shared" si="2"/>
        <v>0</v>
      </c>
    </row>
    <row r="39" spans="1:11">
      <c r="A39" s="1179">
        <f>IF(H39&gt;0,SUBTOTAL(3,$H$29:H39),"")</f>
        <v>11</v>
      </c>
      <c r="B39" s="1179" t="s">
        <v>140</v>
      </c>
      <c r="C39" s="1103" t="s">
        <v>342</v>
      </c>
      <c r="D39" s="1180" t="s">
        <v>340</v>
      </c>
      <c r="E39" s="1237">
        <v>1.1000000000000001</v>
      </c>
      <c r="F39" s="1183" t="s">
        <v>2749</v>
      </c>
      <c r="G39" s="1181">
        <v>1200</v>
      </c>
      <c r="H39" s="1181">
        <v>1200</v>
      </c>
      <c r="I39" s="56"/>
      <c r="J39" s="1177"/>
      <c r="K39" s="1177" t="str">
        <f t="shared" si="2"/>
        <v>0</v>
      </c>
    </row>
    <row r="40" spans="1:11">
      <c r="A40" s="1179">
        <f>IF(H40&gt;0,SUBTOTAL(3,$H$29:H40),"")</f>
        <v>12</v>
      </c>
      <c r="B40" s="1179" t="s">
        <v>140</v>
      </c>
      <c r="C40" s="1103" t="s">
        <v>343</v>
      </c>
      <c r="D40" s="1180" t="s">
        <v>340</v>
      </c>
      <c r="E40" s="1237">
        <v>1.1000000000000001</v>
      </c>
      <c r="F40" s="1183" t="s">
        <v>2716</v>
      </c>
      <c r="G40" s="1181">
        <v>1500</v>
      </c>
      <c r="H40" s="1181">
        <v>1500</v>
      </c>
      <c r="I40" s="56"/>
      <c r="J40" s="1177"/>
      <c r="K40" s="1177" t="str">
        <f t="shared" si="2"/>
        <v>0</v>
      </c>
    </row>
    <row r="41" spans="1:11" ht="26">
      <c r="A41" s="1179">
        <f>IF(H41&gt;0,SUBTOTAL(3,$H$29:H41),"")</f>
        <v>13</v>
      </c>
      <c r="B41" s="1179" t="s">
        <v>308</v>
      </c>
      <c r="C41" s="1103" t="s">
        <v>344</v>
      </c>
      <c r="D41" s="1180" t="s">
        <v>340</v>
      </c>
      <c r="E41" s="1237">
        <v>2</v>
      </c>
      <c r="F41" s="1183" t="s">
        <v>2749</v>
      </c>
      <c r="G41" s="1181">
        <v>1500</v>
      </c>
      <c r="H41" s="1181">
        <v>1500</v>
      </c>
      <c r="I41" s="56"/>
      <c r="J41" s="1177"/>
      <c r="K41" s="1177" t="str">
        <f t="shared" si="2"/>
        <v>0</v>
      </c>
    </row>
    <row r="42" spans="1:11" ht="26">
      <c r="A42" s="1179">
        <f>IF(H42&gt;0,SUBTOTAL(3,$H$29:H42),"")</f>
        <v>14</v>
      </c>
      <c r="B42" s="1179" t="s">
        <v>140</v>
      </c>
      <c r="C42" s="1103" t="s">
        <v>2942</v>
      </c>
      <c r="D42" s="1180" t="s">
        <v>345</v>
      </c>
      <c r="E42" s="1237">
        <v>1.5</v>
      </c>
      <c r="F42" s="1183" t="s">
        <v>2749</v>
      </c>
      <c r="G42" s="1181">
        <v>960</v>
      </c>
      <c r="H42" s="1181">
        <v>960</v>
      </c>
      <c r="I42" s="56"/>
      <c r="J42" s="1177"/>
      <c r="K42" s="1177" t="str">
        <f t="shared" si="2"/>
        <v>0</v>
      </c>
    </row>
    <row r="43" spans="1:11" ht="26">
      <c r="A43" s="1179">
        <f>IF(H43&gt;0,SUBTOTAL(3,$H$29:H43),"")</f>
        <v>15</v>
      </c>
      <c r="B43" s="1179" t="s">
        <v>140</v>
      </c>
      <c r="C43" s="1103" t="s">
        <v>346</v>
      </c>
      <c r="D43" s="1180" t="s">
        <v>345</v>
      </c>
      <c r="E43" s="1237">
        <v>1.6</v>
      </c>
      <c r="F43" s="1183" t="s">
        <v>2716</v>
      </c>
      <c r="G43" s="1181">
        <v>1200</v>
      </c>
      <c r="H43" s="1181">
        <v>1200</v>
      </c>
      <c r="I43" s="56"/>
      <c r="J43" s="1177"/>
      <c r="K43" s="1177" t="str">
        <f t="shared" si="2"/>
        <v>0</v>
      </c>
    </row>
    <row r="44" spans="1:11" ht="26">
      <c r="A44" s="1179">
        <f>IF(H44&gt;0,SUBTOTAL(3,$H$29:H44),"")</f>
        <v>16</v>
      </c>
      <c r="B44" s="1179" t="s">
        <v>140</v>
      </c>
      <c r="C44" s="1103" t="s">
        <v>347</v>
      </c>
      <c r="D44" s="1180" t="s">
        <v>345</v>
      </c>
      <c r="E44" s="1237">
        <v>2.5</v>
      </c>
      <c r="F44" s="1183" t="s">
        <v>2716</v>
      </c>
      <c r="G44" s="1181">
        <v>2000</v>
      </c>
      <c r="H44" s="1181">
        <v>2000</v>
      </c>
      <c r="I44" s="56"/>
      <c r="J44" s="1177"/>
      <c r="K44" s="1177" t="str">
        <f t="shared" si="2"/>
        <v>0</v>
      </c>
    </row>
    <row r="45" spans="1:11" ht="26">
      <c r="A45" s="1179">
        <f>IF(H45&gt;0,SUBTOTAL(3,$H$29:H45),"")</f>
        <v>17</v>
      </c>
      <c r="B45" s="1179" t="s">
        <v>138</v>
      </c>
      <c r="C45" s="1103" t="s">
        <v>348</v>
      </c>
      <c r="D45" s="1180" t="s">
        <v>345</v>
      </c>
      <c r="E45" s="1237">
        <v>7</v>
      </c>
      <c r="F45" s="1183" t="s">
        <v>2749</v>
      </c>
      <c r="G45" s="1181">
        <v>400</v>
      </c>
      <c r="H45" s="1181">
        <v>400</v>
      </c>
      <c r="I45" s="56"/>
      <c r="J45" s="1177"/>
      <c r="K45" s="1177" t="str">
        <f t="shared" si="2"/>
        <v>0</v>
      </c>
    </row>
    <row r="46" spans="1:11" ht="18" customHeight="1">
      <c r="A46" s="1179">
        <f>IF(H46&gt;0,SUBTOTAL(3,$H$29:H46),"")</f>
        <v>18</v>
      </c>
      <c r="B46" s="1179" t="s">
        <v>308</v>
      </c>
      <c r="C46" s="1103" t="s">
        <v>349</v>
      </c>
      <c r="D46" s="1180" t="s">
        <v>345</v>
      </c>
      <c r="E46" s="1237" t="s">
        <v>382</v>
      </c>
      <c r="F46" s="1183" t="s">
        <v>2749</v>
      </c>
      <c r="G46" s="1181">
        <v>600</v>
      </c>
      <c r="H46" s="1181">
        <v>600</v>
      </c>
      <c r="I46" s="56"/>
      <c r="J46" s="1177"/>
      <c r="K46" s="1177" t="str">
        <f t="shared" si="2"/>
        <v>0</v>
      </c>
    </row>
    <row r="47" spans="1:11" ht="26">
      <c r="A47" s="1179">
        <f>IF(H47&gt;0,SUBTOTAL(3,$H$29:H47),"")</f>
        <v>19</v>
      </c>
      <c r="B47" s="1179" t="s">
        <v>140</v>
      </c>
      <c r="C47" s="1103" t="s">
        <v>350</v>
      </c>
      <c r="D47" s="1180" t="s">
        <v>345</v>
      </c>
      <c r="E47" s="1237">
        <v>0.5</v>
      </c>
      <c r="F47" s="1183" t="s">
        <v>2749</v>
      </c>
      <c r="G47" s="1181">
        <v>500</v>
      </c>
      <c r="H47" s="1181">
        <v>500</v>
      </c>
      <c r="I47" s="56"/>
      <c r="J47" s="1177"/>
      <c r="K47" s="1177" t="str">
        <f t="shared" si="2"/>
        <v>0</v>
      </c>
    </row>
    <row r="48" spans="1:11" ht="26">
      <c r="A48" s="1179">
        <f>IF(H48&gt;0,SUBTOTAL(3,$H$29:H48),"")</f>
        <v>20</v>
      </c>
      <c r="B48" s="1179" t="s">
        <v>140</v>
      </c>
      <c r="C48" s="1103" t="s">
        <v>351</v>
      </c>
      <c r="D48" s="1180" t="s">
        <v>345</v>
      </c>
      <c r="E48" s="1237">
        <v>1.8</v>
      </c>
      <c r="F48" s="1183" t="s">
        <v>2749</v>
      </c>
      <c r="G48" s="1181">
        <v>1500</v>
      </c>
      <c r="H48" s="1181">
        <v>1500</v>
      </c>
      <c r="I48" s="56"/>
      <c r="J48" s="1177"/>
      <c r="K48" s="1177" t="str">
        <f t="shared" si="2"/>
        <v>0</v>
      </c>
    </row>
    <row r="49" spans="1:11" ht="26">
      <c r="A49" s="1179">
        <f>IF(H49&gt;0,SUBTOTAL(3,$H$29:H49),"")</f>
        <v>21</v>
      </c>
      <c r="B49" s="1179" t="s">
        <v>140</v>
      </c>
      <c r="C49" s="1103" t="s">
        <v>352</v>
      </c>
      <c r="D49" s="1180" t="s">
        <v>345</v>
      </c>
      <c r="E49" s="1237">
        <v>1</v>
      </c>
      <c r="F49" s="1183" t="s">
        <v>2749</v>
      </c>
      <c r="G49" s="1181">
        <v>1000</v>
      </c>
      <c r="H49" s="1181">
        <v>1000</v>
      </c>
      <c r="I49" s="56"/>
      <c r="J49" s="1177"/>
      <c r="K49" s="1177" t="str">
        <f t="shared" si="2"/>
        <v>0</v>
      </c>
    </row>
    <row r="50" spans="1:11" ht="26">
      <c r="A50" s="1179">
        <f>IF(H50&gt;0,SUBTOTAL(3,$H$29:H50),"")</f>
        <v>22</v>
      </c>
      <c r="B50" s="1179" t="s">
        <v>140</v>
      </c>
      <c r="C50" s="1103" t="s">
        <v>353</v>
      </c>
      <c r="D50" s="1180" t="s">
        <v>345</v>
      </c>
      <c r="E50" s="1237">
        <v>0.6</v>
      </c>
      <c r="F50" s="1183" t="s">
        <v>2749</v>
      </c>
      <c r="G50" s="1181">
        <v>400</v>
      </c>
      <c r="H50" s="1181">
        <v>400</v>
      </c>
      <c r="I50" s="56"/>
      <c r="J50" s="1177"/>
      <c r="K50" s="1177" t="str">
        <f t="shared" si="2"/>
        <v>0</v>
      </c>
    </row>
    <row r="51" spans="1:11" ht="18" customHeight="1">
      <c r="A51" s="1179">
        <f>IF(H51&gt;0,SUBTOTAL(3,$H$29:H51),"")</f>
        <v>23</v>
      </c>
      <c r="B51" s="1179" t="s">
        <v>140</v>
      </c>
      <c r="C51" s="1103" t="s">
        <v>354</v>
      </c>
      <c r="D51" s="1180" t="s">
        <v>345</v>
      </c>
      <c r="E51" s="1237">
        <v>0.5</v>
      </c>
      <c r="F51" s="1183">
        <v>2022</v>
      </c>
      <c r="G51" s="1181">
        <v>400</v>
      </c>
      <c r="H51" s="1181">
        <v>400</v>
      </c>
      <c r="I51" s="56"/>
      <c r="J51" s="1177"/>
      <c r="K51" s="1177" t="str">
        <f t="shared" si="2"/>
        <v>0</v>
      </c>
    </row>
    <row r="52" spans="1:11" ht="26">
      <c r="A52" s="1179">
        <f>IF(H52&gt;0,SUBTOTAL(3,$H$29:H52),"")</f>
        <v>24</v>
      </c>
      <c r="B52" s="1179" t="s">
        <v>140</v>
      </c>
      <c r="C52" s="1103" t="s">
        <v>2943</v>
      </c>
      <c r="D52" s="1180" t="s">
        <v>345</v>
      </c>
      <c r="E52" s="1237">
        <v>1</v>
      </c>
      <c r="F52" s="1183" t="s">
        <v>2749</v>
      </c>
      <c r="G52" s="1181">
        <v>1000</v>
      </c>
      <c r="H52" s="1181">
        <v>1000</v>
      </c>
      <c r="I52" s="56"/>
      <c r="J52" s="1177"/>
      <c r="K52" s="1177" t="str">
        <f t="shared" si="2"/>
        <v>0</v>
      </c>
    </row>
    <row r="53" spans="1:11" ht="26">
      <c r="A53" s="1179">
        <f>IF(H53&gt;0,SUBTOTAL(3,$H$29:H53),"")</f>
        <v>25</v>
      </c>
      <c r="B53" s="1179" t="s">
        <v>140</v>
      </c>
      <c r="C53" s="1103" t="s">
        <v>2944</v>
      </c>
      <c r="D53" s="1180" t="s">
        <v>355</v>
      </c>
      <c r="E53" s="1237">
        <v>2</v>
      </c>
      <c r="F53" s="1183" t="s">
        <v>2716</v>
      </c>
      <c r="G53" s="1181">
        <f>2500-273</f>
        <v>2227</v>
      </c>
      <c r="H53" s="1181">
        <f>2500-273</f>
        <v>2227</v>
      </c>
      <c r="I53" s="56"/>
      <c r="J53" s="1177"/>
      <c r="K53" s="1177" t="str">
        <f t="shared" si="2"/>
        <v>0</v>
      </c>
    </row>
    <row r="54" spans="1:11" ht="18" customHeight="1">
      <c r="A54" s="1179">
        <f>IF(H54&gt;0,SUBTOTAL(3,$H$29:H54),"")</f>
        <v>26</v>
      </c>
      <c r="B54" s="1179" t="s">
        <v>140</v>
      </c>
      <c r="C54" s="1103" t="s">
        <v>2945</v>
      </c>
      <c r="D54" s="1180" t="s">
        <v>356</v>
      </c>
      <c r="E54" s="1237">
        <v>1.5</v>
      </c>
      <c r="F54" s="1183" t="s">
        <v>2749</v>
      </c>
      <c r="G54" s="1181">
        <v>3000</v>
      </c>
      <c r="H54" s="1181">
        <v>3000</v>
      </c>
      <c r="I54" s="56"/>
      <c r="J54" s="1177"/>
      <c r="K54" s="1177" t="str">
        <f t="shared" si="2"/>
        <v>0</v>
      </c>
    </row>
    <row r="55" spans="1:11" ht="18" customHeight="1">
      <c r="A55" s="1179">
        <f>IF(H55&gt;0,SUBTOTAL(3,$H$29:H55),"")</f>
        <v>27</v>
      </c>
      <c r="B55" s="1179" t="s">
        <v>140</v>
      </c>
      <c r="C55" s="1103" t="s">
        <v>357</v>
      </c>
      <c r="D55" s="1180" t="s">
        <v>356</v>
      </c>
      <c r="E55" s="1237">
        <v>1.3</v>
      </c>
      <c r="F55" s="1183" t="s">
        <v>2749</v>
      </c>
      <c r="G55" s="1181">
        <v>1150</v>
      </c>
      <c r="H55" s="1181">
        <v>1150</v>
      </c>
      <c r="I55" s="56"/>
      <c r="J55" s="1177"/>
      <c r="K55" s="1177" t="str">
        <f t="shared" si="2"/>
        <v>0</v>
      </c>
    </row>
    <row r="56" spans="1:11" ht="26">
      <c r="A56" s="1179">
        <f>IF(H56&gt;0,SUBTOTAL(3,$H$29:H56),"")</f>
        <v>28</v>
      </c>
      <c r="B56" s="1179" t="s">
        <v>140</v>
      </c>
      <c r="C56" s="1103" t="s">
        <v>2946</v>
      </c>
      <c r="D56" s="1180" t="s">
        <v>356</v>
      </c>
      <c r="E56" s="1237">
        <v>1.8</v>
      </c>
      <c r="F56" s="1183" t="s">
        <v>2716</v>
      </c>
      <c r="G56" s="1181">
        <v>1510</v>
      </c>
      <c r="H56" s="1181">
        <v>1510</v>
      </c>
      <c r="I56" s="56"/>
      <c r="J56" s="1177"/>
      <c r="K56" s="1177" t="str">
        <f t="shared" si="2"/>
        <v>0</v>
      </c>
    </row>
    <row r="57" spans="1:11" ht="26">
      <c r="A57" s="1179">
        <f>IF(H57&gt;0,SUBTOTAL(3,$H$29:H57),"")</f>
        <v>29</v>
      </c>
      <c r="B57" s="1179" t="s">
        <v>140</v>
      </c>
      <c r="C57" s="1103" t="s">
        <v>358</v>
      </c>
      <c r="D57" s="1180" t="s">
        <v>356</v>
      </c>
      <c r="E57" s="1237">
        <v>4</v>
      </c>
      <c r="F57" s="1183" t="s">
        <v>2749</v>
      </c>
      <c r="G57" s="1181">
        <v>1000</v>
      </c>
      <c r="H57" s="1181">
        <v>1000</v>
      </c>
      <c r="I57" s="56"/>
      <c r="J57" s="1177"/>
      <c r="K57" s="1177" t="str">
        <f t="shared" si="2"/>
        <v>0</v>
      </c>
    </row>
    <row r="58" spans="1:11" ht="26">
      <c r="A58" s="1179">
        <f>IF(H58&gt;0,SUBTOTAL(3,$H$29:H58),"")</f>
        <v>30</v>
      </c>
      <c r="B58" s="1179" t="s">
        <v>139</v>
      </c>
      <c r="C58" s="1103" t="s">
        <v>359</v>
      </c>
      <c r="D58" s="1180" t="s">
        <v>356</v>
      </c>
      <c r="E58" s="1237">
        <v>1</v>
      </c>
      <c r="F58" s="1183">
        <v>2022</v>
      </c>
      <c r="G58" s="1181">
        <v>525</v>
      </c>
      <c r="H58" s="1181">
        <v>525</v>
      </c>
      <c r="I58" s="56"/>
      <c r="J58" s="1177"/>
      <c r="K58" s="1177" t="str">
        <f t="shared" si="2"/>
        <v>0</v>
      </c>
    </row>
    <row r="59" spans="1:11" ht="26">
      <c r="A59" s="1179">
        <f>IF(H59&gt;0,SUBTOTAL(3,$H$29:H59),"")</f>
        <v>31</v>
      </c>
      <c r="B59" s="1179" t="s">
        <v>139</v>
      </c>
      <c r="C59" s="1103" t="s">
        <v>360</v>
      </c>
      <c r="D59" s="1180" t="s">
        <v>356</v>
      </c>
      <c r="E59" s="1237">
        <v>1</v>
      </c>
      <c r="F59" s="1183">
        <v>2022</v>
      </c>
      <c r="G59" s="1181">
        <v>525</v>
      </c>
      <c r="H59" s="1181">
        <v>525</v>
      </c>
      <c r="I59" s="56"/>
      <c r="J59" s="1177"/>
      <c r="K59" s="1177" t="str">
        <f t="shared" si="2"/>
        <v>0</v>
      </c>
    </row>
    <row r="60" spans="1:11" ht="26">
      <c r="A60" s="1179">
        <f>IF(H60&gt;0,SUBTOTAL(3,$H$29:H60),"")</f>
        <v>32</v>
      </c>
      <c r="B60" s="1179" t="s">
        <v>140</v>
      </c>
      <c r="C60" s="1103" t="s">
        <v>362</v>
      </c>
      <c r="D60" s="1180" t="s">
        <v>361</v>
      </c>
      <c r="E60" s="1237">
        <v>1</v>
      </c>
      <c r="F60" s="1183" t="s">
        <v>2749</v>
      </c>
      <c r="G60" s="1181">
        <v>1325</v>
      </c>
      <c r="H60" s="1181">
        <v>1325</v>
      </c>
      <c r="I60" s="56"/>
      <c r="J60" s="1177"/>
      <c r="K60" s="1177" t="str">
        <f t="shared" si="2"/>
        <v>0</v>
      </c>
    </row>
    <row r="61" spans="1:11" ht="26">
      <c r="A61" s="1179">
        <f>IF(H61&gt;0,SUBTOTAL(3,$H$29:H61),"")</f>
        <v>33</v>
      </c>
      <c r="B61" s="1179" t="s">
        <v>140</v>
      </c>
      <c r="C61" s="1103" t="s">
        <v>363</v>
      </c>
      <c r="D61" s="1180" t="s">
        <v>361</v>
      </c>
      <c r="E61" s="1237"/>
      <c r="F61" s="1183" t="s">
        <v>2749</v>
      </c>
      <c r="G61" s="1181">
        <v>1325</v>
      </c>
      <c r="H61" s="1181">
        <v>1325</v>
      </c>
      <c r="I61" s="56"/>
      <c r="J61" s="1177"/>
      <c r="K61" s="1177" t="str">
        <f t="shared" si="2"/>
        <v>0</v>
      </c>
    </row>
    <row r="62" spans="1:11">
      <c r="A62" s="1179">
        <f>IF(H62&gt;0,SUBTOTAL(3,$H$29:H62),"")</f>
        <v>34</v>
      </c>
      <c r="B62" s="1179" t="s">
        <v>140</v>
      </c>
      <c r="C62" s="1103" t="s">
        <v>365</v>
      </c>
      <c r="D62" s="1180" t="s">
        <v>364</v>
      </c>
      <c r="E62" s="1237">
        <v>0.5</v>
      </c>
      <c r="F62" s="1183">
        <v>2022</v>
      </c>
      <c r="G62" s="1181">
        <v>420</v>
      </c>
      <c r="H62" s="1181">
        <v>420</v>
      </c>
      <c r="I62" s="56"/>
      <c r="J62" s="1177"/>
      <c r="K62" s="1177" t="str">
        <f t="shared" si="2"/>
        <v>0</v>
      </c>
    </row>
    <row r="63" spans="1:11" ht="18" customHeight="1">
      <c r="A63" s="1179">
        <f>IF(H63&gt;0,SUBTOTAL(3,$H$29:H63),"")</f>
        <v>35</v>
      </c>
      <c r="B63" s="1179" t="s">
        <v>138</v>
      </c>
      <c r="C63" s="1103" t="s">
        <v>366</v>
      </c>
      <c r="D63" s="1180" t="s">
        <v>364</v>
      </c>
      <c r="E63" s="1237">
        <v>50</v>
      </c>
      <c r="F63" s="1183" t="s">
        <v>2749</v>
      </c>
      <c r="G63" s="1181">
        <v>100</v>
      </c>
      <c r="H63" s="1181">
        <v>100</v>
      </c>
      <c r="I63" s="56"/>
      <c r="J63" s="1177"/>
      <c r="K63" s="1177" t="str">
        <f t="shared" si="2"/>
        <v>0</v>
      </c>
    </row>
    <row r="64" spans="1:11">
      <c r="A64" s="1179">
        <f>IF(H64&gt;0,SUBTOTAL(3,$H$29:H64),"")</f>
        <v>36</v>
      </c>
      <c r="B64" s="1179" t="s">
        <v>140</v>
      </c>
      <c r="C64" s="1103" t="s">
        <v>367</v>
      </c>
      <c r="D64" s="1180" t="s">
        <v>364</v>
      </c>
      <c r="E64" s="1237">
        <v>0.5</v>
      </c>
      <c r="F64" s="1183" t="s">
        <v>2749</v>
      </c>
      <c r="G64" s="1181">
        <v>875</v>
      </c>
      <c r="H64" s="1181">
        <v>875</v>
      </c>
      <c r="I64" s="32"/>
      <c r="J64" s="1177"/>
      <c r="K64" s="1177" t="str">
        <f t="shared" si="2"/>
        <v>0</v>
      </c>
    </row>
    <row r="65" spans="1:11" ht="26">
      <c r="A65" s="1179">
        <f>IF(H65&gt;0,SUBTOTAL(3,$H$29:H65),"")</f>
        <v>37</v>
      </c>
      <c r="B65" s="1179" t="s">
        <v>140</v>
      </c>
      <c r="C65" s="1103" t="s">
        <v>369</v>
      </c>
      <c r="D65" s="1180" t="s">
        <v>368</v>
      </c>
      <c r="E65" s="1237">
        <v>4</v>
      </c>
      <c r="F65" s="1183" t="s">
        <v>2749</v>
      </c>
      <c r="G65" s="1181">
        <v>3000</v>
      </c>
      <c r="H65" s="1181">
        <v>3000</v>
      </c>
      <c r="I65" s="56"/>
      <c r="J65" s="1177"/>
      <c r="K65" s="1177" t="str">
        <f t="shared" si="2"/>
        <v>0</v>
      </c>
    </row>
    <row r="66" spans="1:11" ht="18" customHeight="1">
      <c r="A66" s="1179">
        <f>IF(H66&gt;0,SUBTOTAL(3,$H$29:H66),"")</f>
        <v>38</v>
      </c>
      <c r="B66" s="1179" t="s">
        <v>140</v>
      </c>
      <c r="C66" s="1103" t="s">
        <v>370</v>
      </c>
      <c r="D66" s="1180" t="s">
        <v>368</v>
      </c>
      <c r="E66" s="1237">
        <v>2</v>
      </c>
      <c r="F66" s="1183">
        <v>2022</v>
      </c>
      <c r="G66" s="1181">
        <v>630</v>
      </c>
      <c r="H66" s="1181">
        <v>630</v>
      </c>
      <c r="I66" s="56"/>
      <c r="J66" s="1177"/>
      <c r="K66" s="1177" t="str">
        <f t="shared" si="2"/>
        <v>0</v>
      </c>
    </row>
    <row r="67" spans="1:11" ht="26">
      <c r="A67" s="1179">
        <f>IF(H67&gt;0,SUBTOTAL(3,$H$29:H67),"")</f>
        <v>39</v>
      </c>
      <c r="B67" s="1179" t="s">
        <v>140</v>
      </c>
      <c r="C67" s="1103" t="s">
        <v>371</v>
      </c>
      <c r="D67" s="1180" t="s">
        <v>368</v>
      </c>
      <c r="E67" s="1237">
        <v>3</v>
      </c>
      <c r="F67" s="1183" t="s">
        <v>2749</v>
      </c>
      <c r="G67" s="1181">
        <v>1300</v>
      </c>
      <c r="H67" s="1181">
        <v>1300</v>
      </c>
      <c r="I67" s="56"/>
      <c r="J67" s="1177"/>
      <c r="K67" s="1177" t="str">
        <f t="shared" si="2"/>
        <v>0</v>
      </c>
    </row>
    <row r="68" spans="1:11">
      <c r="A68" s="1179">
        <f>IF(H68&gt;0,SUBTOTAL(3,$H$29:H68),"")</f>
        <v>40</v>
      </c>
      <c r="B68" s="1179" t="s">
        <v>140</v>
      </c>
      <c r="C68" s="1103" t="s">
        <v>372</v>
      </c>
      <c r="D68" s="1180" t="s">
        <v>368</v>
      </c>
      <c r="E68" s="1237">
        <v>2</v>
      </c>
      <c r="F68" s="1183" t="s">
        <v>2749</v>
      </c>
      <c r="G68" s="1181">
        <v>800</v>
      </c>
      <c r="H68" s="1181">
        <v>800</v>
      </c>
      <c r="I68" s="56"/>
      <c r="J68" s="1177"/>
      <c r="K68" s="1177" t="str">
        <f t="shared" si="2"/>
        <v>0</v>
      </c>
    </row>
    <row r="69" spans="1:11" ht="18" customHeight="1">
      <c r="A69" s="1179">
        <f>IF(H69&gt;0,SUBTOTAL(3,$H$29:H69),"")</f>
        <v>41</v>
      </c>
      <c r="B69" s="1179" t="s">
        <v>140</v>
      </c>
      <c r="C69" s="1103" t="s">
        <v>373</v>
      </c>
      <c r="D69" s="1180" t="s">
        <v>368</v>
      </c>
      <c r="E69" s="1237">
        <v>2.5</v>
      </c>
      <c r="F69" s="1183" t="s">
        <v>2749</v>
      </c>
      <c r="G69" s="1181">
        <v>1000</v>
      </c>
      <c r="H69" s="1181">
        <v>1000</v>
      </c>
      <c r="I69" s="56"/>
      <c r="J69" s="1177"/>
      <c r="K69" s="1177" t="str">
        <f t="shared" si="2"/>
        <v>0</v>
      </c>
    </row>
    <row r="70" spans="1:11" ht="26">
      <c r="A70" s="1179">
        <f>IF(H70&gt;0,SUBTOTAL(3,$H$29:H70),"")</f>
        <v>42</v>
      </c>
      <c r="B70" s="1179" t="s">
        <v>140</v>
      </c>
      <c r="C70" s="1103" t="s">
        <v>374</v>
      </c>
      <c r="D70" s="1180" t="s">
        <v>368</v>
      </c>
      <c r="E70" s="1237">
        <v>3</v>
      </c>
      <c r="F70" s="1183" t="s">
        <v>2749</v>
      </c>
      <c r="G70" s="1181">
        <v>2000</v>
      </c>
      <c r="H70" s="1181">
        <v>2000</v>
      </c>
      <c r="I70" s="56"/>
      <c r="J70" s="1177"/>
      <c r="K70" s="1177" t="str">
        <f t="shared" si="2"/>
        <v>0</v>
      </c>
    </row>
    <row r="71" spans="1:11">
      <c r="A71" s="1179">
        <f>IF(H71&gt;0,SUBTOTAL(3,$H$29:H71),"")</f>
        <v>43</v>
      </c>
      <c r="B71" s="1179" t="s">
        <v>140</v>
      </c>
      <c r="C71" s="1103" t="s">
        <v>376</v>
      </c>
      <c r="D71" s="1180" t="s">
        <v>375</v>
      </c>
      <c r="E71" s="1237">
        <v>2</v>
      </c>
      <c r="F71" s="1183" t="s">
        <v>2749</v>
      </c>
      <c r="G71" s="1181">
        <v>950</v>
      </c>
      <c r="H71" s="1181">
        <v>950</v>
      </c>
      <c r="I71" s="56"/>
      <c r="J71" s="1177"/>
      <c r="K71" s="1177" t="str">
        <f t="shared" si="2"/>
        <v>0</v>
      </c>
    </row>
    <row r="72" spans="1:11" ht="18" customHeight="1">
      <c r="A72" s="1179">
        <f>IF(H72&gt;0,SUBTOTAL(3,$H$29:H72),"")</f>
        <v>44</v>
      </c>
      <c r="B72" s="1179" t="s">
        <v>140</v>
      </c>
      <c r="C72" s="1103" t="s">
        <v>377</v>
      </c>
      <c r="D72" s="1180" t="s">
        <v>375</v>
      </c>
      <c r="E72" s="1237">
        <v>1.3</v>
      </c>
      <c r="F72" s="1183" t="s">
        <v>2716</v>
      </c>
      <c r="G72" s="1181">
        <v>1000</v>
      </c>
      <c r="H72" s="1181">
        <v>1000</v>
      </c>
      <c r="I72" s="56"/>
      <c r="J72" s="1177"/>
      <c r="K72" s="1177" t="str">
        <f t="shared" si="2"/>
        <v>0</v>
      </c>
    </row>
    <row r="73" spans="1:11" ht="18" customHeight="1">
      <c r="A73" s="1179">
        <f>IF(H73&gt;0,SUBTOTAL(3,$H$29:H73),"")</f>
        <v>45</v>
      </c>
      <c r="B73" s="1179" t="s">
        <v>140</v>
      </c>
      <c r="C73" s="1103" t="s">
        <v>378</v>
      </c>
      <c r="D73" s="1180" t="s">
        <v>375</v>
      </c>
      <c r="E73" s="1237">
        <v>0.6</v>
      </c>
      <c r="F73" s="1183">
        <v>2022</v>
      </c>
      <c r="G73" s="1181">
        <v>500</v>
      </c>
      <c r="H73" s="1181">
        <v>500</v>
      </c>
      <c r="I73" s="56"/>
      <c r="J73" s="1177"/>
      <c r="K73" s="1177" t="str">
        <f t="shared" si="2"/>
        <v>0</v>
      </c>
    </row>
    <row r="74" spans="1:11" ht="18" customHeight="1">
      <c r="A74" s="1179">
        <f>IF(H74&gt;0,SUBTOTAL(3,$H$29:H74),"")</f>
        <v>46</v>
      </c>
      <c r="B74" s="1179" t="s">
        <v>140</v>
      </c>
      <c r="C74" s="1103" t="s">
        <v>379</v>
      </c>
      <c r="D74" s="1180" t="s">
        <v>375</v>
      </c>
      <c r="E74" s="1237">
        <v>1.4</v>
      </c>
      <c r="F74" s="1183" t="s">
        <v>2716</v>
      </c>
      <c r="G74" s="1181">
        <v>1100</v>
      </c>
      <c r="H74" s="1181">
        <v>1100</v>
      </c>
      <c r="I74" s="56"/>
      <c r="J74" s="1177"/>
      <c r="K74" s="1177" t="str">
        <f t="shared" si="2"/>
        <v>0</v>
      </c>
    </row>
    <row r="75" spans="1:11" ht="18" customHeight="1">
      <c r="A75" s="1179">
        <f>IF(H75&gt;0,SUBTOTAL(3,$H$29:H75),"")</f>
        <v>47</v>
      </c>
      <c r="B75" s="1179" t="s">
        <v>140</v>
      </c>
      <c r="C75" s="1103" t="s">
        <v>380</v>
      </c>
      <c r="D75" s="1180" t="s">
        <v>375</v>
      </c>
      <c r="E75" s="1237">
        <v>1.4</v>
      </c>
      <c r="F75" s="1183" t="s">
        <v>2716</v>
      </c>
      <c r="G75" s="1181">
        <v>1100</v>
      </c>
      <c r="H75" s="1181">
        <v>1100</v>
      </c>
      <c r="I75" s="56"/>
      <c r="J75" s="1177"/>
      <c r="K75" s="1177" t="str">
        <f t="shared" si="2"/>
        <v>0</v>
      </c>
    </row>
    <row r="76" spans="1:11" ht="26">
      <c r="A76" s="1179">
        <f>IF(H76&gt;0,SUBTOTAL(3,$H$29:H76),"")</f>
        <v>48</v>
      </c>
      <c r="B76" s="1179" t="s">
        <v>308</v>
      </c>
      <c r="C76" s="1103" t="s">
        <v>381</v>
      </c>
      <c r="D76" s="1180" t="s">
        <v>375</v>
      </c>
      <c r="E76" s="1175">
        <v>2.5</v>
      </c>
      <c r="F76" s="1183" t="s">
        <v>2749</v>
      </c>
      <c r="G76" s="1181">
        <v>505</v>
      </c>
      <c r="H76" s="1181">
        <v>505</v>
      </c>
      <c r="I76" s="56"/>
      <c r="J76" s="1177"/>
      <c r="K76" s="1177" t="str">
        <f t="shared" si="2"/>
        <v>0</v>
      </c>
    </row>
    <row r="77" spans="1:11" ht="26">
      <c r="A77" s="1179">
        <f>IF(H77&gt;0,SUBTOTAL(3,$H$29:H77),"")</f>
        <v>49</v>
      </c>
      <c r="B77" s="1179" t="s">
        <v>138</v>
      </c>
      <c r="C77" s="1103" t="s">
        <v>2947</v>
      </c>
      <c r="D77" s="1180" t="s">
        <v>375</v>
      </c>
      <c r="E77" s="1175">
        <v>25</v>
      </c>
      <c r="F77" s="1183" t="s">
        <v>2749</v>
      </c>
      <c r="G77" s="1181">
        <v>800</v>
      </c>
      <c r="H77" s="1181">
        <v>800</v>
      </c>
      <c r="I77" s="56"/>
      <c r="J77" s="1177"/>
      <c r="K77" s="1177" t="str">
        <f t="shared" si="2"/>
        <v>0</v>
      </c>
    </row>
    <row r="78" spans="1:11" ht="26">
      <c r="A78" s="1179">
        <f>IF(H78&gt;0,SUBTOTAL(3,$H$29:H78),"")</f>
        <v>50</v>
      </c>
      <c r="B78" s="1179" t="s">
        <v>139</v>
      </c>
      <c r="C78" s="1103" t="s">
        <v>2948</v>
      </c>
      <c r="D78" s="1180" t="s">
        <v>345</v>
      </c>
      <c r="E78" s="1237" t="s">
        <v>2949</v>
      </c>
      <c r="F78" s="1183" t="s">
        <v>2749</v>
      </c>
      <c r="G78" s="1181">
        <v>3000</v>
      </c>
      <c r="H78" s="1181">
        <v>3000</v>
      </c>
      <c r="I78" s="56"/>
      <c r="J78" s="1177"/>
      <c r="K78" s="1177" t="str">
        <f t="shared" si="2"/>
        <v>0</v>
      </c>
    </row>
    <row r="79" spans="1:11" ht="18" customHeight="1">
      <c r="A79" s="1179">
        <f>IF(H79&gt;0,SUBTOTAL(3,$H$29:H79),"")</f>
        <v>51</v>
      </c>
      <c r="B79" s="1179" t="s">
        <v>160</v>
      </c>
      <c r="C79" s="1103" t="s">
        <v>1470</v>
      </c>
      <c r="D79" s="1180" t="s">
        <v>334</v>
      </c>
      <c r="E79" s="1175">
        <v>1</v>
      </c>
      <c r="F79" s="1173" t="s">
        <v>2950</v>
      </c>
      <c r="G79" s="1181">
        <f t="shared" ref="G79:G80" si="3">+H79</f>
        <v>5000</v>
      </c>
      <c r="H79" s="1181">
        <v>5000</v>
      </c>
      <c r="I79" s="56"/>
      <c r="J79" s="1177"/>
      <c r="K79" s="1177" t="str">
        <f t="shared" si="2"/>
        <v>0</v>
      </c>
    </row>
    <row r="80" spans="1:11">
      <c r="A80" s="1179">
        <f>IF(H80&gt;0,SUBTOTAL(3,$H$29:H80),"")</f>
        <v>52</v>
      </c>
      <c r="B80" s="1179" t="s">
        <v>1471</v>
      </c>
      <c r="C80" s="1103" t="s">
        <v>2477</v>
      </c>
      <c r="D80" s="1180" t="s">
        <v>356</v>
      </c>
      <c r="E80" s="1182">
        <v>6</v>
      </c>
      <c r="F80" s="1183" t="s">
        <v>118</v>
      </c>
      <c r="G80" s="1181">
        <f t="shared" si="3"/>
        <v>9600</v>
      </c>
      <c r="H80" s="1181">
        <v>9600</v>
      </c>
      <c r="I80" s="56"/>
      <c r="J80" s="1177"/>
      <c r="K80" s="1177" t="str">
        <f t="shared" si="2"/>
        <v>0</v>
      </c>
    </row>
    <row r="81" spans="1:11" ht="18" customHeight="1">
      <c r="A81" s="14" t="s">
        <v>28</v>
      </c>
      <c r="B81" s="14"/>
      <c r="C81" s="46" t="s">
        <v>21</v>
      </c>
      <c r="D81" s="36"/>
      <c r="E81" s="36"/>
      <c r="F81" s="23"/>
      <c r="G81" s="23">
        <f>SUM(G82:G113)</f>
        <v>20714</v>
      </c>
      <c r="H81" s="23">
        <f>SUM(H82:H113)</f>
        <v>20714</v>
      </c>
      <c r="I81" s="36"/>
    </row>
    <row r="82" spans="1:11" ht="18" customHeight="1">
      <c r="A82" s="32">
        <f>IF(H82&gt;0,SUBTOTAL(3,$H$82:H82),"")</f>
        <v>1</v>
      </c>
      <c r="B82" s="32" t="s">
        <v>140</v>
      </c>
      <c r="C82" s="31" t="s">
        <v>178</v>
      </c>
      <c r="D82" s="32" t="s">
        <v>176</v>
      </c>
      <c r="E82" s="53">
        <v>0.6</v>
      </c>
      <c r="F82" s="56" t="s">
        <v>118</v>
      </c>
      <c r="G82" s="44">
        <v>288</v>
      </c>
      <c r="H82" s="44">
        <v>288</v>
      </c>
      <c r="I82" s="56"/>
      <c r="J82" s="1177"/>
      <c r="K82" s="1177" t="str">
        <f t="shared" ref="K82:K113" si="4">IF(H82&gt;10000,"1","0")</f>
        <v>0</v>
      </c>
    </row>
    <row r="83" spans="1:11" ht="18" customHeight="1">
      <c r="A83" s="32">
        <f>IF(H83&gt;0,SUBTOTAL(3,$H$82:H83),"")</f>
        <v>2</v>
      </c>
      <c r="B83" s="32" t="s">
        <v>140</v>
      </c>
      <c r="C83" s="31" t="s">
        <v>179</v>
      </c>
      <c r="D83" s="32" t="s">
        <v>176</v>
      </c>
      <c r="E83" s="53">
        <v>1.1000000000000001</v>
      </c>
      <c r="F83" s="56" t="s">
        <v>118</v>
      </c>
      <c r="G83" s="44">
        <v>575</v>
      </c>
      <c r="H83" s="44">
        <v>575</v>
      </c>
      <c r="I83" s="56"/>
      <c r="J83" s="1177"/>
      <c r="K83" s="1177" t="str">
        <f t="shared" si="4"/>
        <v>0</v>
      </c>
    </row>
    <row r="84" spans="1:11" ht="18" customHeight="1">
      <c r="A84" s="32">
        <f>IF(H84&gt;0,SUBTOTAL(3,$H$82:H84),"")</f>
        <v>3</v>
      </c>
      <c r="B84" s="32" t="s">
        <v>140</v>
      </c>
      <c r="C84" s="31" t="s">
        <v>180</v>
      </c>
      <c r="D84" s="32" t="s">
        <v>176</v>
      </c>
      <c r="E84" s="53">
        <v>0.7</v>
      </c>
      <c r="F84" s="56" t="s">
        <v>118</v>
      </c>
      <c r="G84" s="44">
        <v>460</v>
      </c>
      <c r="H84" s="44">
        <v>460</v>
      </c>
      <c r="I84" s="56"/>
      <c r="J84" s="1177"/>
      <c r="K84" s="1177" t="str">
        <f t="shared" si="4"/>
        <v>0</v>
      </c>
    </row>
    <row r="85" spans="1:11" ht="18" customHeight="1">
      <c r="A85" s="32">
        <f>IF(H85&gt;0,SUBTOTAL(3,$H$82:H85),"")</f>
        <v>4</v>
      </c>
      <c r="B85" s="32" t="s">
        <v>140</v>
      </c>
      <c r="C85" s="31" t="s">
        <v>181</v>
      </c>
      <c r="D85" s="32" t="s">
        <v>176</v>
      </c>
      <c r="E85" s="53">
        <v>0.8</v>
      </c>
      <c r="F85" s="56" t="s">
        <v>118</v>
      </c>
      <c r="G85" s="44">
        <v>460</v>
      </c>
      <c r="H85" s="44">
        <v>460</v>
      </c>
      <c r="I85" s="56"/>
      <c r="J85" s="1177"/>
      <c r="K85" s="1177" t="str">
        <f t="shared" si="4"/>
        <v>0</v>
      </c>
    </row>
    <row r="86" spans="1:11" ht="18" customHeight="1">
      <c r="A86" s="32">
        <f>IF(H86&gt;0,SUBTOTAL(3,$H$82:H86),"")</f>
        <v>5</v>
      </c>
      <c r="B86" s="32" t="s">
        <v>140</v>
      </c>
      <c r="C86" s="31" t="s">
        <v>182</v>
      </c>
      <c r="D86" s="32" t="s">
        <v>176</v>
      </c>
      <c r="E86" s="53">
        <v>0.7</v>
      </c>
      <c r="F86" s="56" t="s">
        <v>118</v>
      </c>
      <c r="G86" s="44">
        <v>403</v>
      </c>
      <c r="H86" s="44">
        <v>403</v>
      </c>
      <c r="I86" s="56"/>
      <c r="J86" s="1177"/>
      <c r="K86" s="1177" t="str">
        <f t="shared" si="4"/>
        <v>0</v>
      </c>
    </row>
    <row r="87" spans="1:11" ht="18" customHeight="1">
      <c r="A87" s="32">
        <f>IF(H87&gt;0,SUBTOTAL(3,$H$82:H87),"")</f>
        <v>6</v>
      </c>
      <c r="B87" s="32" t="s">
        <v>140</v>
      </c>
      <c r="C87" s="31" t="s">
        <v>184</v>
      </c>
      <c r="D87" s="32" t="s">
        <v>183</v>
      </c>
      <c r="E87" s="53">
        <v>0.8</v>
      </c>
      <c r="F87" s="56" t="s">
        <v>118</v>
      </c>
      <c r="G87" s="44">
        <v>393</v>
      </c>
      <c r="H87" s="44">
        <v>393</v>
      </c>
      <c r="I87" s="56"/>
      <c r="J87" s="1177"/>
      <c r="K87" s="1177" t="str">
        <f t="shared" si="4"/>
        <v>0</v>
      </c>
    </row>
    <row r="88" spans="1:11" ht="18" customHeight="1">
      <c r="A88" s="32">
        <f>IF(H88&gt;0,SUBTOTAL(3,$H$82:H88),"")</f>
        <v>7</v>
      </c>
      <c r="B88" s="32" t="s">
        <v>140</v>
      </c>
      <c r="C88" s="31" t="s">
        <v>185</v>
      </c>
      <c r="D88" s="32" t="s">
        <v>183</v>
      </c>
      <c r="E88" s="53">
        <v>0.7</v>
      </c>
      <c r="F88" s="56" t="s">
        <v>118</v>
      </c>
      <c r="G88" s="44">
        <v>393</v>
      </c>
      <c r="H88" s="44">
        <v>393</v>
      </c>
      <c r="I88" s="56"/>
      <c r="J88" s="1177"/>
      <c r="K88" s="1177" t="str">
        <f t="shared" si="4"/>
        <v>0</v>
      </c>
    </row>
    <row r="89" spans="1:11" ht="18" customHeight="1">
      <c r="A89" s="32">
        <f>IF(H89&gt;0,SUBTOTAL(3,$H$82:H89),"")</f>
        <v>8</v>
      </c>
      <c r="B89" s="32" t="s">
        <v>140</v>
      </c>
      <c r="C89" s="31" t="s">
        <v>187</v>
      </c>
      <c r="D89" s="32" t="s">
        <v>186</v>
      </c>
      <c r="E89" s="53">
        <v>1.1000000000000001</v>
      </c>
      <c r="F89" s="56" t="s">
        <v>118</v>
      </c>
      <c r="G89" s="44">
        <v>655</v>
      </c>
      <c r="H89" s="44">
        <v>655</v>
      </c>
      <c r="I89" s="56"/>
      <c r="J89" s="1177"/>
      <c r="K89" s="1177" t="str">
        <f t="shared" si="4"/>
        <v>0</v>
      </c>
    </row>
    <row r="90" spans="1:11" ht="18" customHeight="1">
      <c r="A90" s="32">
        <f>IF(H90&gt;0,SUBTOTAL(3,$H$82:H90),"")</f>
        <v>9</v>
      </c>
      <c r="B90" s="32" t="s">
        <v>140</v>
      </c>
      <c r="C90" s="31" t="s">
        <v>188</v>
      </c>
      <c r="D90" s="32" t="s">
        <v>186</v>
      </c>
      <c r="E90" s="53">
        <v>1</v>
      </c>
      <c r="F90" s="56" t="s">
        <v>118</v>
      </c>
      <c r="G90" s="44">
        <v>655</v>
      </c>
      <c r="H90" s="44">
        <v>655</v>
      </c>
      <c r="I90" s="56"/>
      <c r="J90" s="1177"/>
      <c r="K90" s="1177" t="str">
        <f t="shared" si="4"/>
        <v>0</v>
      </c>
    </row>
    <row r="91" spans="1:11" ht="18" customHeight="1">
      <c r="A91" s="32">
        <f>IF(H91&gt;0,SUBTOTAL(3,$H$82:H91),"")</f>
        <v>10</v>
      </c>
      <c r="B91" s="32" t="s">
        <v>140</v>
      </c>
      <c r="C91" s="31" t="s">
        <v>189</v>
      </c>
      <c r="D91" s="32" t="s">
        <v>175</v>
      </c>
      <c r="E91" s="53">
        <v>1.5</v>
      </c>
      <c r="F91" s="56" t="s">
        <v>118</v>
      </c>
      <c r="G91" s="44">
        <f>+H91</f>
        <v>1654</v>
      </c>
      <c r="H91" s="44">
        <f>1309+22+323</f>
        <v>1654</v>
      </c>
      <c r="I91" s="56"/>
      <c r="J91" s="1177"/>
      <c r="K91" s="1177" t="str">
        <f t="shared" si="4"/>
        <v>0</v>
      </c>
    </row>
    <row r="92" spans="1:11" ht="18" customHeight="1">
      <c r="A92" s="32">
        <f>IF(H92&gt;0,SUBTOTAL(3,$H$82:H92),"")</f>
        <v>11</v>
      </c>
      <c r="B92" s="32" t="s">
        <v>140</v>
      </c>
      <c r="C92" s="31" t="s">
        <v>190</v>
      </c>
      <c r="D92" s="32" t="s">
        <v>177</v>
      </c>
      <c r="E92" s="53">
        <v>1.2</v>
      </c>
      <c r="F92" s="56" t="s">
        <v>118</v>
      </c>
      <c r="G92" s="44">
        <f>+H92</f>
        <v>1720</v>
      </c>
      <c r="H92" s="44">
        <f>1309+22+323+66</f>
        <v>1720</v>
      </c>
      <c r="I92" s="56"/>
      <c r="J92" s="1177"/>
      <c r="K92" s="1177" t="str">
        <f t="shared" si="4"/>
        <v>0</v>
      </c>
    </row>
    <row r="93" spans="1:11" ht="18" customHeight="1">
      <c r="A93" s="32">
        <f>IF(H93&gt;0,SUBTOTAL(3,$H$82:H93),"")</f>
        <v>12</v>
      </c>
      <c r="B93" s="32" t="s">
        <v>140</v>
      </c>
      <c r="C93" s="31" t="s">
        <v>191</v>
      </c>
      <c r="D93" s="32" t="s">
        <v>177</v>
      </c>
      <c r="E93" s="53">
        <v>1.6</v>
      </c>
      <c r="F93" s="56" t="s">
        <v>118</v>
      </c>
      <c r="G93" s="44">
        <f>+H93</f>
        <v>1632</v>
      </c>
      <c r="H93" s="44">
        <f>1309+323</f>
        <v>1632</v>
      </c>
      <c r="I93" s="56"/>
      <c r="J93" s="1177"/>
      <c r="K93" s="1177" t="str">
        <f t="shared" si="4"/>
        <v>0</v>
      </c>
    </row>
    <row r="94" spans="1:11" ht="18" customHeight="1">
      <c r="A94" s="32">
        <f>IF(H94&gt;0,SUBTOTAL(3,$H$82:H94),"")</f>
        <v>13</v>
      </c>
      <c r="B94" s="32" t="s">
        <v>140</v>
      </c>
      <c r="C94" s="31" t="s">
        <v>193</v>
      </c>
      <c r="D94" s="32" t="s">
        <v>192</v>
      </c>
      <c r="E94" s="53">
        <v>1.2</v>
      </c>
      <c r="F94" s="56" t="s">
        <v>118</v>
      </c>
      <c r="G94" s="44">
        <v>666</v>
      </c>
      <c r="H94" s="44">
        <v>666</v>
      </c>
      <c r="I94" s="56"/>
      <c r="J94" s="1177"/>
      <c r="K94" s="1177" t="str">
        <f t="shared" si="4"/>
        <v>0</v>
      </c>
    </row>
    <row r="95" spans="1:11" ht="18" customHeight="1">
      <c r="A95" s="32">
        <f>IF(H95&gt;0,SUBTOTAL(3,$H$82:H95),"")</f>
        <v>14</v>
      </c>
      <c r="B95" s="32" t="s">
        <v>140</v>
      </c>
      <c r="C95" s="31" t="s">
        <v>194</v>
      </c>
      <c r="D95" s="32" t="s">
        <v>192</v>
      </c>
      <c r="E95" s="53">
        <v>0.6</v>
      </c>
      <c r="F95" s="56" t="s">
        <v>118</v>
      </c>
      <c r="G95" s="44">
        <v>476</v>
      </c>
      <c r="H95" s="44">
        <v>476</v>
      </c>
      <c r="I95" s="56"/>
      <c r="J95" s="1177"/>
      <c r="K95" s="1177" t="str">
        <f t="shared" si="4"/>
        <v>0</v>
      </c>
    </row>
    <row r="96" spans="1:11" ht="18" customHeight="1">
      <c r="A96" s="32">
        <f>IF(H96&gt;0,SUBTOTAL(3,$H$82:H96),"")</f>
        <v>15</v>
      </c>
      <c r="B96" s="32" t="s">
        <v>140</v>
      </c>
      <c r="C96" s="31" t="s">
        <v>195</v>
      </c>
      <c r="D96" s="32" t="s">
        <v>192</v>
      </c>
      <c r="E96" s="53">
        <v>1.2</v>
      </c>
      <c r="F96" s="56" t="s">
        <v>118</v>
      </c>
      <c r="G96" s="44">
        <v>952</v>
      </c>
      <c r="H96" s="44">
        <v>952</v>
      </c>
      <c r="I96" s="56"/>
      <c r="J96" s="1177"/>
      <c r="K96" s="1177" t="str">
        <f t="shared" si="4"/>
        <v>0</v>
      </c>
    </row>
    <row r="97" spans="1:11" ht="18" customHeight="1">
      <c r="A97" s="32">
        <f>IF(H97&gt;0,SUBTOTAL(3,$H$82:H97),"")</f>
        <v>16</v>
      </c>
      <c r="B97" s="32" t="s">
        <v>140</v>
      </c>
      <c r="C97" s="31" t="s">
        <v>196</v>
      </c>
      <c r="D97" s="32" t="s">
        <v>192</v>
      </c>
      <c r="E97" s="53">
        <v>0.5</v>
      </c>
      <c r="F97" s="56" t="s">
        <v>118</v>
      </c>
      <c r="G97" s="44">
        <v>952</v>
      </c>
      <c r="H97" s="44">
        <v>952</v>
      </c>
      <c r="I97" s="56"/>
      <c r="J97" s="1177"/>
      <c r="K97" s="1177" t="str">
        <f t="shared" si="4"/>
        <v>0</v>
      </c>
    </row>
    <row r="98" spans="1:11" ht="18" customHeight="1">
      <c r="A98" s="32">
        <f>IF(H98&gt;0,SUBTOTAL(3,$H$82:H98),"")</f>
        <v>17</v>
      </c>
      <c r="B98" s="32" t="s">
        <v>140</v>
      </c>
      <c r="C98" s="31" t="s">
        <v>1456</v>
      </c>
      <c r="D98" s="32" t="s">
        <v>207</v>
      </c>
      <c r="E98" s="53"/>
      <c r="F98" s="56" t="s">
        <v>118</v>
      </c>
      <c r="G98" s="44">
        <v>1412</v>
      </c>
      <c r="H98" s="44">
        <v>1412</v>
      </c>
      <c r="I98" s="56"/>
      <c r="J98" s="1177"/>
      <c r="K98" s="1177" t="str">
        <f t="shared" si="4"/>
        <v>0</v>
      </c>
    </row>
    <row r="99" spans="1:11" ht="18" customHeight="1">
      <c r="A99" s="32">
        <f>IF(H99&gt;0,SUBTOTAL(3,$H$82:H99),"")</f>
        <v>18</v>
      </c>
      <c r="B99" s="32" t="s">
        <v>140</v>
      </c>
      <c r="C99" s="31" t="s">
        <v>1454</v>
      </c>
      <c r="D99" s="32" t="s">
        <v>176</v>
      </c>
      <c r="E99" s="53"/>
      <c r="F99" s="56" t="s">
        <v>118</v>
      </c>
      <c r="G99" s="44">
        <v>460</v>
      </c>
      <c r="H99" s="44">
        <v>460</v>
      </c>
      <c r="I99" s="56"/>
      <c r="J99" s="1177"/>
      <c r="K99" s="1177" t="str">
        <f t="shared" si="4"/>
        <v>0</v>
      </c>
    </row>
    <row r="100" spans="1:11" ht="26">
      <c r="A100" s="32">
        <f>IF(H100&gt;0,SUBTOTAL(3,$H$82:H100),"")</f>
        <v>19</v>
      </c>
      <c r="B100" s="32" t="s">
        <v>158</v>
      </c>
      <c r="C100" s="31" t="s">
        <v>197</v>
      </c>
      <c r="D100" s="32" t="s">
        <v>176</v>
      </c>
      <c r="E100" s="56">
        <v>1</v>
      </c>
      <c r="F100" s="56" t="s">
        <v>118</v>
      </c>
      <c r="G100" s="44">
        <v>518</v>
      </c>
      <c r="H100" s="44">
        <v>518</v>
      </c>
      <c r="I100" s="56"/>
      <c r="J100" s="1177"/>
      <c r="K100" s="1177" t="str">
        <f t="shared" si="4"/>
        <v>0</v>
      </c>
    </row>
    <row r="101" spans="1:11" ht="18" customHeight="1">
      <c r="A101" s="32">
        <f>IF(H101&gt;0,SUBTOTAL(3,$H$82:H101),"")</f>
        <v>20</v>
      </c>
      <c r="B101" s="32" t="s">
        <v>138</v>
      </c>
      <c r="C101" s="31" t="s">
        <v>198</v>
      </c>
      <c r="D101" s="32" t="s">
        <v>192</v>
      </c>
      <c r="E101" s="56">
        <v>35.700000000000003</v>
      </c>
      <c r="F101" s="56" t="s">
        <v>118</v>
      </c>
      <c r="G101" s="44">
        <v>286</v>
      </c>
      <c r="H101" s="44">
        <v>286</v>
      </c>
      <c r="I101" s="56"/>
      <c r="J101" s="1177"/>
      <c r="K101" s="1177" t="str">
        <f t="shared" si="4"/>
        <v>0</v>
      </c>
    </row>
    <row r="102" spans="1:11" ht="18" customHeight="1">
      <c r="A102" s="32">
        <f>IF(H102&gt;0,SUBTOTAL(3,$H$82:H102),"")</f>
        <v>21</v>
      </c>
      <c r="B102" s="32" t="s">
        <v>138</v>
      </c>
      <c r="C102" s="31" t="s">
        <v>199</v>
      </c>
      <c r="D102" s="32" t="s">
        <v>192</v>
      </c>
      <c r="E102" s="56">
        <v>42.1</v>
      </c>
      <c r="F102" s="56" t="s">
        <v>118</v>
      </c>
      <c r="G102" s="44">
        <v>476</v>
      </c>
      <c r="H102" s="44">
        <v>476</v>
      </c>
      <c r="I102" s="56"/>
      <c r="J102" s="1177"/>
      <c r="K102" s="1177" t="str">
        <f t="shared" si="4"/>
        <v>0</v>
      </c>
    </row>
    <row r="103" spans="1:11" ht="18" customHeight="1">
      <c r="A103" s="32">
        <f>IF(H103&gt;0,SUBTOTAL(3,$H$82:H103),"")</f>
        <v>22</v>
      </c>
      <c r="B103" s="32" t="s">
        <v>138</v>
      </c>
      <c r="C103" s="31" t="s">
        <v>200</v>
      </c>
      <c r="D103" s="32" t="s">
        <v>192</v>
      </c>
      <c r="E103" s="56">
        <v>83.5</v>
      </c>
      <c r="F103" s="56" t="s">
        <v>118</v>
      </c>
      <c r="G103" s="44">
        <v>476</v>
      </c>
      <c r="H103" s="44">
        <v>476</v>
      </c>
      <c r="I103" s="56"/>
      <c r="J103" s="1177"/>
      <c r="K103" s="1177" t="str">
        <f t="shared" si="4"/>
        <v>0</v>
      </c>
    </row>
    <row r="104" spans="1:11" ht="18" customHeight="1">
      <c r="A104" s="32">
        <f>IF(H104&gt;0,SUBTOTAL(3,$H$82:H104),"")</f>
        <v>23</v>
      </c>
      <c r="B104" s="32" t="s">
        <v>138</v>
      </c>
      <c r="C104" s="31" t="s">
        <v>201</v>
      </c>
      <c r="D104" s="32" t="s">
        <v>192</v>
      </c>
      <c r="E104" s="56">
        <v>38.9</v>
      </c>
      <c r="F104" s="56" t="s">
        <v>118</v>
      </c>
      <c r="G104" s="44">
        <v>476</v>
      </c>
      <c r="H104" s="44">
        <v>476</v>
      </c>
      <c r="I104" s="56"/>
      <c r="J104" s="1177"/>
      <c r="K104" s="1177" t="str">
        <f t="shared" si="4"/>
        <v>0</v>
      </c>
    </row>
    <row r="105" spans="1:11" ht="18" customHeight="1">
      <c r="A105" s="32">
        <f>IF(H105&gt;0,SUBTOTAL(3,$H$82:H105),"")</f>
        <v>24</v>
      </c>
      <c r="B105" s="32" t="s">
        <v>138</v>
      </c>
      <c r="C105" s="31" t="s">
        <v>1457</v>
      </c>
      <c r="D105" s="32" t="s">
        <v>207</v>
      </c>
      <c r="E105" s="56"/>
      <c r="F105" s="56" t="s">
        <v>118</v>
      </c>
      <c r="G105" s="44">
        <v>789</v>
      </c>
      <c r="H105" s="44">
        <v>789</v>
      </c>
      <c r="I105" s="56"/>
      <c r="J105" s="1177"/>
      <c r="K105" s="1177" t="str">
        <f t="shared" si="4"/>
        <v>0</v>
      </c>
    </row>
    <row r="106" spans="1:11" ht="18" customHeight="1">
      <c r="A106" s="32">
        <f>IF(H106&gt;0,SUBTOTAL(3,$H$82:H106),"")</f>
        <v>25</v>
      </c>
      <c r="B106" s="32" t="s">
        <v>308</v>
      </c>
      <c r="C106" s="31" t="s">
        <v>202</v>
      </c>
      <c r="D106" s="32" t="s">
        <v>176</v>
      </c>
      <c r="E106" s="56">
        <v>192</v>
      </c>
      <c r="F106" s="56" t="s">
        <v>118</v>
      </c>
      <c r="G106" s="44">
        <v>575</v>
      </c>
      <c r="H106" s="44">
        <v>575</v>
      </c>
      <c r="I106" s="56"/>
      <c r="J106" s="1177"/>
      <c r="K106" s="1177" t="str">
        <f t="shared" si="4"/>
        <v>0</v>
      </c>
    </row>
    <row r="107" spans="1:11" ht="18" customHeight="1">
      <c r="A107" s="32">
        <f>IF(H107&gt;0,SUBTOTAL(3,$H$82:H107),"")</f>
        <v>26</v>
      </c>
      <c r="B107" s="32" t="s">
        <v>308</v>
      </c>
      <c r="C107" s="31" t="s">
        <v>203</v>
      </c>
      <c r="D107" s="32" t="s">
        <v>176</v>
      </c>
      <c r="E107" s="56">
        <v>174</v>
      </c>
      <c r="F107" s="56" t="s">
        <v>118</v>
      </c>
      <c r="G107" s="44">
        <v>518</v>
      </c>
      <c r="H107" s="44">
        <v>518</v>
      </c>
      <c r="I107" s="56"/>
      <c r="J107" s="1177"/>
      <c r="K107" s="1177" t="str">
        <f t="shared" si="4"/>
        <v>0</v>
      </c>
    </row>
    <row r="108" spans="1:11" ht="18" customHeight="1">
      <c r="A108" s="32">
        <f>IF(H108&gt;0,SUBTOTAL(3,$H$82:H108),"")</f>
        <v>27</v>
      </c>
      <c r="B108" s="32" t="s">
        <v>308</v>
      </c>
      <c r="C108" s="31" t="s">
        <v>204</v>
      </c>
      <c r="D108" s="32" t="s">
        <v>176</v>
      </c>
      <c r="E108" s="56">
        <v>123</v>
      </c>
      <c r="F108" s="56" t="s">
        <v>118</v>
      </c>
      <c r="G108" s="44">
        <v>403</v>
      </c>
      <c r="H108" s="44">
        <v>403</v>
      </c>
      <c r="I108" s="56"/>
      <c r="J108" s="1177"/>
      <c r="K108" s="1177" t="str">
        <f t="shared" si="4"/>
        <v>0</v>
      </c>
    </row>
    <row r="109" spans="1:11" ht="18" customHeight="1">
      <c r="A109" s="32">
        <f>IF(H109&gt;0,SUBTOTAL(3,$H$82:H109),"")</f>
        <v>28</v>
      </c>
      <c r="B109" s="32" t="s">
        <v>308</v>
      </c>
      <c r="C109" s="31" t="s">
        <v>205</v>
      </c>
      <c r="D109" s="32" t="s">
        <v>176</v>
      </c>
      <c r="E109" s="56">
        <v>42</v>
      </c>
      <c r="F109" s="56" t="s">
        <v>118</v>
      </c>
      <c r="G109" s="44">
        <v>288</v>
      </c>
      <c r="H109" s="44">
        <v>288</v>
      </c>
      <c r="I109" s="56"/>
      <c r="J109" s="1177"/>
      <c r="K109" s="1177" t="str">
        <f t="shared" si="4"/>
        <v>0</v>
      </c>
    </row>
    <row r="110" spans="1:11" ht="18" customHeight="1">
      <c r="A110" s="32">
        <f>IF(H110&gt;0,SUBTOTAL(3,$H$82:H110),"")</f>
        <v>29</v>
      </c>
      <c r="B110" s="32" t="s">
        <v>308</v>
      </c>
      <c r="C110" s="31" t="s">
        <v>1608</v>
      </c>
      <c r="D110" s="32" t="s">
        <v>176</v>
      </c>
      <c r="E110" s="56">
        <v>110</v>
      </c>
      <c r="F110" s="56" t="s">
        <v>118</v>
      </c>
      <c r="G110" s="44">
        <v>288</v>
      </c>
      <c r="H110" s="44">
        <v>288</v>
      </c>
      <c r="I110" s="56"/>
      <c r="J110" s="1177"/>
      <c r="K110" s="1177" t="str">
        <f t="shared" si="4"/>
        <v>0</v>
      </c>
    </row>
    <row r="111" spans="1:11" ht="18" customHeight="1">
      <c r="A111" s="32">
        <f>IF(H111&gt;0,SUBTOTAL(3,$H$82:H111),"")</f>
        <v>30</v>
      </c>
      <c r="B111" s="32" t="s">
        <v>308</v>
      </c>
      <c r="C111" s="31" t="s">
        <v>206</v>
      </c>
      <c r="D111" s="32" t="s">
        <v>192</v>
      </c>
      <c r="E111" s="56">
        <v>156</v>
      </c>
      <c r="F111" s="56" t="s">
        <v>118</v>
      </c>
      <c r="G111" s="44">
        <v>476</v>
      </c>
      <c r="H111" s="44">
        <v>476</v>
      </c>
      <c r="I111" s="56"/>
      <c r="J111" s="1177"/>
      <c r="K111" s="1177" t="str">
        <f t="shared" si="4"/>
        <v>0</v>
      </c>
    </row>
    <row r="112" spans="1:11" ht="26">
      <c r="A112" s="32">
        <f>IF(H112&gt;0,SUBTOTAL(3,$H$82:H112),"")</f>
        <v>31</v>
      </c>
      <c r="B112" s="32" t="s">
        <v>308</v>
      </c>
      <c r="C112" s="31" t="s">
        <v>1455</v>
      </c>
      <c r="D112" s="32" t="s">
        <v>207</v>
      </c>
      <c r="E112" s="56"/>
      <c r="F112" s="56" t="s">
        <v>118</v>
      </c>
      <c r="G112" s="44">
        <v>415</v>
      </c>
      <c r="H112" s="44">
        <v>415</v>
      </c>
      <c r="I112" s="56"/>
      <c r="J112" s="1177"/>
      <c r="K112" s="1177" t="str">
        <f t="shared" si="4"/>
        <v>0</v>
      </c>
    </row>
    <row r="113" spans="1:11" ht="18" customHeight="1">
      <c r="A113" s="32">
        <f>IF(H113&gt;0,SUBTOTAL(3,$H$82:H113),"")</f>
        <v>32</v>
      </c>
      <c r="B113" s="32" t="s">
        <v>308</v>
      </c>
      <c r="C113" s="31" t="s">
        <v>208</v>
      </c>
      <c r="D113" s="32" t="s">
        <v>183</v>
      </c>
      <c r="E113" s="56">
        <v>90</v>
      </c>
      <c r="F113" s="56" t="s">
        <v>118</v>
      </c>
      <c r="G113" s="44">
        <v>524</v>
      </c>
      <c r="H113" s="44">
        <v>524</v>
      </c>
      <c r="I113" s="56"/>
      <c r="J113" s="1177"/>
      <c r="K113" s="1177" t="str">
        <f t="shared" si="4"/>
        <v>0</v>
      </c>
    </row>
    <row r="114" spans="1:11" ht="18" customHeight="1">
      <c r="A114" s="14" t="s">
        <v>29</v>
      </c>
      <c r="B114" s="14"/>
      <c r="C114" s="46" t="s">
        <v>19</v>
      </c>
      <c r="D114" s="36"/>
      <c r="E114" s="36"/>
      <c r="F114" s="23"/>
      <c r="G114" s="23">
        <f>SUM(G115:G135)</f>
        <v>101607</v>
      </c>
      <c r="H114" s="23">
        <f>SUM(H115:H135)</f>
        <v>101607</v>
      </c>
      <c r="I114" s="36"/>
    </row>
    <row r="115" spans="1:11" ht="39">
      <c r="A115" s="32">
        <f>IF(H115&gt;0,SUBTOTAL(3,$H$115:H115),"")</f>
        <v>1</v>
      </c>
      <c r="B115" s="32" t="s">
        <v>140</v>
      </c>
      <c r="C115" s="31" t="s">
        <v>1498</v>
      </c>
      <c r="D115" s="56" t="s">
        <v>592</v>
      </c>
      <c r="E115" s="53">
        <v>8</v>
      </c>
      <c r="F115" s="56" t="s">
        <v>118</v>
      </c>
      <c r="G115" s="44">
        <v>5000</v>
      </c>
      <c r="H115" s="44">
        <v>5000</v>
      </c>
      <c r="I115" s="56"/>
      <c r="J115" s="1177"/>
      <c r="K115" s="1177" t="str">
        <f t="shared" ref="K115:K135" si="5">IF(H115&gt;10000,"1","0")</f>
        <v>0</v>
      </c>
    </row>
    <row r="116" spans="1:11" ht="52">
      <c r="A116" s="32">
        <f>IF(H116&gt;0,SUBTOTAL(3,$H$115:H116),"")</f>
        <v>2</v>
      </c>
      <c r="B116" s="32" t="s">
        <v>140</v>
      </c>
      <c r="C116" s="31" t="s">
        <v>1497</v>
      </c>
      <c r="D116" s="56" t="s">
        <v>593</v>
      </c>
      <c r="E116" s="53">
        <v>6.1</v>
      </c>
      <c r="F116" s="56" t="s">
        <v>118</v>
      </c>
      <c r="G116" s="44">
        <v>6400</v>
      </c>
      <c r="H116" s="44">
        <v>6400</v>
      </c>
      <c r="I116" s="56"/>
      <c r="J116" s="1177"/>
      <c r="K116" s="1177" t="str">
        <f t="shared" si="5"/>
        <v>0</v>
      </c>
    </row>
    <row r="117" spans="1:11" ht="39">
      <c r="A117" s="32">
        <f>IF(H117&gt;0,SUBTOTAL(3,$H$115:H117),"")</f>
        <v>3</v>
      </c>
      <c r="B117" s="32" t="s">
        <v>140</v>
      </c>
      <c r="C117" s="31" t="s">
        <v>1494</v>
      </c>
      <c r="D117" s="56" t="s">
        <v>594</v>
      </c>
      <c r="E117" s="53">
        <v>8.1</v>
      </c>
      <c r="F117" s="56" t="s">
        <v>118</v>
      </c>
      <c r="G117" s="44">
        <f>+H117</f>
        <v>6700</v>
      </c>
      <c r="H117" s="44">
        <f>6500+200</f>
        <v>6700</v>
      </c>
      <c r="I117" s="56"/>
      <c r="J117" s="1177"/>
      <c r="K117" s="1177" t="str">
        <f t="shared" si="5"/>
        <v>0</v>
      </c>
    </row>
    <row r="118" spans="1:11" ht="39">
      <c r="A118" s="32">
        <f>IF(H118&gt;0,SUBTOTAL(3,$H$115:H118),"")</f>
        <v>4</v>
      </c>
      <c r="B118" s="32" t="s">
        <v>140</v>
      </c>
      <c r="C118" s="31" t="s">
        <v>1501</v>
      </c>
      <c r="D118" s="56" t="s">
        <v>595</v>
      </c>
      <c r="E118" s="53">
        <v>4.3</v>
      </c>
      <c r="F118" s="56" t="s">
        <v>118</v>
      </c>
      <c r="G118" s="44">
        <f>+H118</f>
        <v>6617</v>
      </c>
      <c r="H118" s="44">
        <f>6000+617</f>
        <v>6617</v>
      </c>
      <c r="I118" s="56"/>
      <c r="J118" s="1177"/>
      <c r="K118" s="1177" t="str">
        <f t="shared" si="5"/>
        <v>0</v>
      </c>
    </row>
    <row r="119" spans="1:11" ht="26">
      <c r="A119" s="32">
        <f>IF(H119&gt;0,SUBTOTAL(3,$H$115:H119),"")</f>
        <v>5</v>
      </c>
      <c r="B119" s="32" t="s">
        <v>140</v>
      </c>
      <c r="C119" s="31" t="s">
        <v>1502</v>
      </c>
      <c r="D119" s="56" t="s">
        <v>595</v>
      </c>
      <c r="E119" s="53">
        <v>1.3</v>
      </c>
      <c r="F119" s="56" t="s">
        <v>118</v>
      </c>
      <c r="G119" s="44">
        <v>1500</v>
      </c>
      <c r="H119" s="44">
        <v>1500</v>
      </c>
      <c r="I119" s="56"/>
      <c r="J119" s="1177"/>
      <c r="K119" s="1177" t="str">
        <f t="shared" si="5"/>
        <v>0</v>
      </c>
    </row>
    <row r="120" spans="1:11" ht="39">
      <c r="A120" s="32">
        <f>IF(H120&gt;0,SUBTOTAL(3,$H$115:H120),"")</f>
        <v>6</v>
      </c>
      <c r="B120" s="32" t="s">
        <v>140</v>
      </c>
      <c r="C120" s="31" t="s">
        <v>1500</v>
      </c>
      <c r="D120" s="56" t="s">
        <v>596</v>
      </c>
      <c r="E120" s="53">
        <v>11.3</v>
      </c>
      <c r="F120" s="56" t="s">
        <v>118</v>
      </c>
      <c r="G120" s="44">
        <f>+H120</f>
        <v>8117</v>
      </c>
      <c r="H120" s="44">
        <f>7500+617</f>
        <v>8117</v>
      </c>
      <c r="I120" s="56"/>
      <c r="J120" s="1177"/>
      <c r="K120" s="1177" t="str">
        <f t="shared" si="5"/>
        <v>0</v>
      </c>
    </row>
    <row r="121" spans="1:11" ht="91">
      <c r="A121" s="32">
        <f>IF(H121&gt;0,SUBTOTAL(3,$H$115:H121),"")</f>
        <v>7</v>
      </c>
      <c r="B121" s="32" t="s">
        <v>140</v>
      </c>
      <c r="C121" s="31" t="s">
        <v>1493</v>
      </c>
      <c r="D121" s="56" t="s">
        <v>589</v>
      </c>
      <c r="E121" s="53">
        <v>6.2</v>
      </c>
      <c r="F121" s="56" t="s">
        <v>118</v>
      </c>
      <c r="G121" s="44">
        <f>+H121</f>
        <v>11423</v>
      </c>
      <c r="H121" s="44">
        <f>10090+1010+323</f>
        <v>11423</v>
      </c>
      <c r="I121" s="56"/>
      <c r="J121" s="1177"/>
      <c r="K121" s="1177" t="str">
        <f t="shared" si="5"/>
        <v>1</v>
      </c>
    </row>
    <row r="122" spans="1:11" ht="26">
      <c r="A122" s="32">
        <f>IF(H122&gt;0,SUBTOTAL(3,$H$115:H122),"")</f>
        <v>8</v>
      </c>
      <c r="B122" s="32" t="s">
        <v>140</v>
      </c>
      <c r="C122" s="31" t="s">
        <v>591</v>
      </c>
      <c r="D122" s="56" t="s">
        <v>590</v>
      </c>
      <c r="E122" s="53">
        <v>0.8</v>
      </c>
      <c r="F122" s="56" t="s">
        <v>118</v>
      </c>
      <c r="G122" s="44">
        <v>1250</v>
      </c>
      <c r="H122" s="44">
        <v>1250</v>
      </c>
      <c r="I122" s="56"/>
      <c r="J122" s="1177"/>
      <c r="K122" s="1177" t="str">
        <f t="shared" si="5"/>
        <v>0</v>
      </c>
    </row>
    <row r="123" spans="1:11" ht="52">
      <c r="A123" s="32">
        <f>IF(H123&gt;0,SUBTOTAL(3,$H$115:H123),"")</f>
        <v>9</v>
      </c>
      <c r="B123" s="32" t="s">
        <v>140</v>
      </c>
      <c r="C123" s="31" t="s">
        <v>1495</v>
      </c>
      <c r="D123" s="56" t="s">
        <v>598</v>
      </c>
      <c r="E123" s="53">
        <v>7.5</v>
      </c>
      <c r="F123" s="56" t="s">
        <v>118</v>
      </c>
      <c r="G123" s="44">
        <v>6250</v>
      </c>
      <c r="H123" s="44">
        <v>6250</v>
      </c>
      <c r="I123" s="56"/>
      <c r="J123" s="1177"/>
      <c r="K123" s="1177" t="str">
        <f t="shared" si="5"/>
        <v>0</v>
      </c>
    </row>
    <row r="124" spans="1:11" ht="26">
      <c r="A124" s="32">
        <f>IF(H124&gt;0,SUBTOTAL(3,$H$115:H124),"")</f>
        <v>10</v>
      </c>
      <c r="B124" s="32" t="s">
        <v>140</v>
      </c>
      <c r="C124" s="31" t="s">
        <v>1449</v>
      </c>
      <c r="D124" s="56" t="s">
        <v>597</v>
      </c>
      <c r="E124" s="53">
        <v>2</v>
      </c>
      <c r="F124" s="56" t="s">
        <v>118</v>
      </c>
      <c r="G124" s="44">
        <v>800</v>
      </c>
      <c r="H124" s="44">
        <v>800</v>
      </c>
      <c r="I124" s="56"/>
      <c r="J124" s="1177"/>
      <c r="K124" s="1177" t="str">
        <f t="shared" si="5"/>
        <v>0</v>
      </c>
    </row>
    <row r="125" spans="1:11" ht="26">
      <c r="A125" s="32">
        <f>IF(H125&gt;0,SUBTOTAL(3,$H$115:H125),"")</f>
        <v>11</v>
      </c>
      <c r="B125" s="32" t="s">
        <v>140</v>
      </c>
      <c r="C125" s="31" t="s">
        <v>2534</v>
      </c>
      <c r="D125" s="56" t="s">
        <v>599</v>
      </c>
      <c r="E125" s="53">
        <v>5.5</v>
      </c>
      <c r="F125" s="56" t="s">
        <v>118</v>
      </c>
      <c r="G125" s="44">
        <v>5000</v>
      </c>
      <c r="H125" s="44">
        <v>5000</v>
      </c>
      <c r="I125" s="56"/>
      <c r="J125" s="1177"/>
      <c r="K125" s="1177" t="str">
        <f t="shared" si="5"/>
        <v>0</v>
      </c>
    </row>
    <row r="126" spans="1:11">
      <c r="A126" s="32">
        <f>IF(H126&gt;0,SUBTOTAL(3,$H$115:H126),"")</f>
        <v>12</v>
      </c>
      <c r="B126" s="32" t="s">
        <v>140</v>
      </c>
      <c r="C126" s="31" t="s">
        <v>1496</v>
      </c>
      <c r="D126" s="56" t="s">
        <v>600</v>
      </c>
      <c r="E126" s="53">
        <v>2</v>
      </c>
      <c r="F126" s="56" t="s">
        <v>118</v>
      </c>
      <c r="G126" s="44">
        <v>2500</v>
      </c>
      <c r="H126" s="44">
        <v>2500</v>
      </c>
      <c r="I126" s="56"/>
      <c r="J126" s="1177"/>
      <c r="K126" s="1177" t="str">
        <f t="shared" si="5"/>
        <v>0</v>
      </c>
    </row>
    <row r="127" spans="1:11" ht="30" customHeight="1">
      <c r="A127" s="32">
        <f>IF(H127&gt;0,SUBTOTAL(3,$H$115:H127),"")</f>
        <v>13</v>
      </c>
      <c r="B127" s="32" t="s">
        <v>140</v>
      </c>
      <c r="C127" s="31" t="s">
        <v>1499</v>
      </c>
      <c r="D127" s="56" t="s">
        <v>592</v>
      </c>
      <c r="E127" s="53">
        <v>5.4</v>
      </c>
      <c r="F127" s="56" t="s">
        <v>118</v>
      </c>
      <c r="G127" s="44">
        <v>5000</v>
      </c>
      <c r="H127" s="44">
        <v>5000</v>
      </c>
      <c r="I127" s="56"/>
      <c r="J127" s="1177"/>
      <c r="K127" s="1177" t="str">
        <f t="shared" si="5"/>
        <v>0</v>
      </c>
    </row>
    <row r="128" spans="1:11" ht="39">
      <c r="A128" s="32">
        <f>IF(H128&gt;0,SUBTOTAL(3,$H$115:H128),"")</f>
        <v>14</v>
      </c>
      <c r="B128" s="32" t="s">
        <v>140</v>
      </c>
      <c r="C128" s="1174" t="s">
        <v>2921</v>
      </c>
      <c r="D128" s="56" t="s">
        <v>597</v>
      </c>
      <c r="E128" s="53">
        <v>4.3</v>
      </c>
      <c r="F128" s="56" t="s">
        <v>118</v>
      </c>
      <c r="G128" s="44">
        <v>5600</v>
      </c>
      <c r="H128" s="44">
        <v>5600</v>
      </c>
      <c r="I128" s="32"/>
      <c r="J128" s="1177"/>
      <c r="K128" s="1177" t="str">
        <f t="shared" si="5"/>
        <v>0</v>
      </c>
    </row>
    <row r="129" spans="1:11" ht="26">
      <c r="A129" s="32">
        <f>IF(H129&gt;0,SUBTOTAL(3,$H$115:H129),"")</f>
        <v>15</v>
      </c>
      <c r="B129" s="32" t="s">
        <v>140</v>
      </c>
      <c r="C129" s="31" t="s">
        <v>1450</v>
      </c>
      <c r="D129" s="56" t="s">
        <v>600</v>
      </c>
      <c r="E129" s="53">
        <v>2.5</v>
      </c>
      <c r="F129" s="56" t="s">
        <v>118</v>
      </c>
      <c r="G129" s="44">
        <v>3750</v>
      </c>
      <c r="H129" s="44">
        <v>3750</v>
      </c>
      <c r="I129" s="56"/>
      <c r="J129" s="1177"/>
      <c r="K129" s="1177" t="str">
        <f t="shared" si="5"/>
        <v>0</v>
      </c>
    </row>
    <row r="130" spans="1:11">
      <c r="A130" s="32">
        <f>IF(H130&gt;0,SUBTOTAL(3,$H$115:H130),"")</f>
        <v>16</v>
      </c>
      <c r="B130" s="32" t="s">
        <v>138</v>
      </c>
      <c r="C130" s="31" t="s">
        <v>695</v>
      </c>
      <c r="D130" s="56" t="s">
        <v>594</v>
      </c>
      <c r="E130" s="53">
        <v>10</v>
      </c>
      <c r="F130" s="56" t="s">
        <v>118</v>
      </c>
      <c r="G130" s="44">
        <v>1000</v>
      </c>
      <c r="H130" s="44">
        <v>1000</v>
      </c>
      <c r="I130" s="56"/>
      <c r="J130" s="1177"/>
      <c r="K130" s="1177" t="str">
        <f t="shared" si="5"/>
        <v>0</v>
      </c>
    </row>
    <row r="131" spans="1:11" ht="18" customHeight="1">
      <c r="A131" s="32">
        <f>IF(H131&gt;0,SUBTOTAL(3,$H$115:H131),"")</f>
        <v>17</v>
      </c>
      <c r="B131" s="32" t="s">
        <v>138</v>
      </c>
      <c r="C131" s="31" t="s">
        <v>1448</v>
      </c>
      <c r="D131" s="56" t="s">
        <v>592</v>
      </c>
      <c r="E131" s="53">
        <v>30</v>
      </c>
      <c r="F131" s="56" t="s">
        <v>118</v>
      </c>
      <c r="G131" s="44">
        <v>2500</v>
      </c>
      <c r="H131" s="44">
        <v>2500</v>
      </c>
      <c r="I131" s="56"/>
      <c r="J131" s="1177"/>
      <c r="K131" s="1177" t="str">
        <f t="shared" si="5"/>
        <v>0</v>
      </c>
    </row>
    <row r="132" spans="1:11" ht="18" customHeight="1">
      <c r="A132" s="32">
        <f>IF(H132&gt;0,SUBTOTAL(3,$H$115:H132),"")</f>
        <v>18</v>
      </c>
      <c r="B132" s="32" t="s">
        <v>138</v>
      </c>
      <c r="C132" s="31" t="s">
        <v>696</v>
      </c>
      <c r="D132" s="56" t="s">
        <v>593</v>
      </c>
      <c r="E132" s="53">
        <v>30</v>
      </c>
      <c r="F132" s="56" t="s">
        <v>118</v>
      </c>
      <c r="G132" s="44">
        <v>1100</v>
      </c>
      <c r="H132" s="44">
        <v>1100</v>
      </c>
      <c r="I132" s="56"/>
      <c r="J132" s="1177"/>
      <c r="K132" s="1177" t="str">
        <f t="shared" si="5"/>
        <v>0</v>
      </c>
    </row>
    <row r="133" spans="1:11" ht="26">
      <c r="A133" s="32">
        <f>IF(H133&gt;0,SUBTOTAL(3,$H$115:H133),"")</f>
        <v>19</v>
      </c>
      <c r="B133" s="32" t="s">
        <v>138</v>
      </c>
      <c r="C133" s="1103" t="s">
        <v>2922</v>
      </c>
      <c r="D133" s="1175" t="s">
        <v>2923</v>
      </c>
      <c r="E133" s="1176">
        <v>2.7</v>
      </c>
      <c r="F133" s="56" t="s">
        <v>118</v>
      </c>
      <c r="G133" s="44">
        <v>1100</v>
      </c>
      <c r="H133" s="44">
        <v>1100</v>
      </c>
      <c r="I133" s="1173"/>
      <c r="J133" s="1177"/>
      <c r="K133" s="1177" t="str">
        <f t="shared" si="5"/>
        <v>0</v>
      </c>
    </row>
    <row r="134" spans="1:11" ht="26">
      <c r="A134" s="32">
        <f>IF(H134&gt;0,SUBTOTAL(3,$H$115:H134),"")</f>
        <v>20</v>
      </c>
      <c r="B134" s="32" t="s">
        <v>1471</v>
      </c>
      <c r="C134" s="31" t="s">
        <v>2478</v>
      </c>
      <c r="D134" s="56" t="s">
        <v>594</v>
      </c>
      <c r="E134" s="53">
        <v>6.5</v>
      </c>
      <c r="F134" s="56" t="s">
        <v>118</v>
      </c>
      <c r="G134" s="44">
        <f>H134</f>
        <v>10400</v>
      </c>
      <c r="H134" s="44">
        <f>+E134*1600</f>
        <v>10400</v>
      </c>
      <c r="I134" s="56"/>
      <c r="J134" s="1177"/>
      <c r="K134" s="1177" t="str">
        <f t="shared" si="5"/>
        <v>1</v>
      </c>
    </row>
    <row r="135" spans="1:11" ht="26">
      <c r="A135" s="32">
        <f>IF(H135&gt;0,SUBTOTAL(3,$H$115:H135),"")</f>
        <v>21</v>
      </c>
      <c r="B135" s="32" t="s">
        <v>1471</v>
      </c>
      <c r="C135" s="31" t="s">
        <v>2479</v>
      </c>
      <c r="D135" s="56" t="s">
        <v>592</v>
      </c>
      <c r="E135" s="53">
        <v>6</v>
      </c>
      <c r="F135" s="56" t="s">
        <v>118</v>
      </c>
      <c r="G135" s="44">
        <f>+E135*1600</f>
        <v>9600</v>
      </c>
      <c r="H135" s="44">
        <f>+E135*1600</f>
        <v>9600</v>
      </c>
      <c r="I135" s="56"/>
      <c r="J135" s="1177"/>
      <c r="K135" s="1177" t="str">
        <f t="shared" si="5"/>
        <v>0</v>
      </c>
    </row>
    <row r="136" spans="1:11" ht="18" customHeight="1">
      <c r="A136" s="14" t="s">
        <v>30</v>
      </c>
      <c r="B136" s="14"/>
      <c r="C136" s="46" t="s">
        <v>17</v>
      </c>
      <c r="D136" s="36"/>
      <c r="E136" s="36"/>
      <c r="F136" s="23"/>
      <c r="G136" s="23">
        <f>SUM(G137:G167)</f>
        <v>192620</v>
      </c>
      <c r="H136" s="23">
        <f>SUM(H137:H167)</f>
        <v>192620</v>
      </c>
      <c r="I136" s="36"/>
    </row>
    <row r="137" spans="1:11" ht="39">
      <c r="A137" s="32">
        <f>IF(H137&gt;0,SUBTOTAL(3,$H$137:H137),"")</f>
        <v>1</v>
      </c>
      <c r="B137" s="32" t="s">
        <v>140</v>
      </c>
      <c r="C137" s="736" t="s">
        <v>1482</v>
      </c>
      <c r="D137" s="74" t="s">
        <v>282</v>
      </c>
      <c r="E137" s="37">
        <v>4</v>
      </c>
      <c r="F137" s="56" t="s">
        <v>118</v>
      </c>
      <c r="G137" s="44">
        <v>5500</v>
      </c>
      <c r="H137" s="44">
        <v>5500</v>
      </c>
      <c r="I137" s="56"/>
      <c r="J137" s="1177"/>
      <c r="K137" s="1177" t="str">
        <f t="shared" ref="K137:K167" si="6">IF(H137&gt;10000,"1","0")</f>
        <v>0</v>
      </c>
    </row>
    <row r="138" spans="1:11" ht="39">
      <c r="A138" s="32">
        <f>IF(H138&gt;0,SUBTOTAL(3,$H$137:H138),"")</f>
        <v>2</v>
      </c>
      <c r="B138" s="32" t="s">
        <v>140</v>
      </c>
      <c r="C138" s="1147" t="s">
        <v>2915</v>
      </c>
      <c r="D138" s="1141" t="s">
        <v>283</v>
      </c>
      <c r="E138" s="37">
        <v>5.2</v>
      </c>
      <c r="F138" s="56" t="s">
        <v>118</v>
      </c>
      <c r="G138" s="44">
        <v>7000</v>
      </c>
      <c r="H138" s="44">
        <v>7000</v>
      </c>
      <c r="I138" s="56"/>
      <c r="J138" s="1177"/>
      <c r="K138" s="1177" t="str">
        <f t="shared" si="6"/>
        <v>0</v>
      </c>
    </row>
    <row r="139" spans="1:11" ht="52">
      <c r="A139" s="32">
        <f>IF(H139&gt;0,SUBTOTAL(3,$H$137:H139),"")</f>
        <v>3</v>
      </c>
      <c r="B139" s="32" t="s">
        <v>140</v>
      </c>
      <c r="C139" s="766" t="s">
        <v>1475</v>
      </c>
      <c r="D139" s="32" t="s">
        <v>284</v>
      </c>
      <c r="E139" s="37">
        <v>7</v>
      </c>
      <c r="F139" s="56" t="s">
        <v>118</v>
      </c>
      <c r="G139" s="44">
        <f>+H139</f>
        <v>11000</v>
      </c>
      <c r="H139" s="44">
        <f>11000</f>
        <v>11000</v>
      </c>
      <c r="I139" s="56"/>
      <c r="J139" s="1177"/>
      <c r="K139" s="1177" t="str">
        <f t="shared" si="6"/>
        <v>1</v>
      </c>
    </row>
    <row r="140" spans="1:11" ht="52">
      <c r="A140" s="32">
        <f>IF(H140&gt;0,SUBTOTAL(3,$H$137:H140),"")</f>
        <v>4</v>
      </c>
      <c r="B140" s="32" t="s">
        <v>140</v>
      </c>
      <c r="C140" s="31" t="s">
        <v>1524</v>
      </c>
      <c r="D140" s="32" t="s">
        <v>285</v>
      </c>
      <c r="E140" s="37">
        <v>9</v>
      </c>
      <c r="F140" s="56" t="s">
        <v>118</v>
      </c>
      <c r="G140" s="44">
        <f>+H140</f>
        <v>14283</v>
      </c>
      <c r="H140" s="44">
        <f>14000+283</f>
        <v>14283</v>
      </c>
      <c r="I140" s="56"/>
      <c r="J140" s="1177"/>
      <c r="K140" s="1177" t="str">
        <f t="shared" si="6"/>
        <v>1</v>
      </c>
    </row>
    <row r="141" spans="1:11" ht="39">
      <c r="A141" s="32">
        <f>IF(H141&gt;0,SUBTOTAL(3,$H$137:H141),"")</f>
        <v>5</v>
      </c>
      <c r="B141" s="32" t="s">
        <v>140</v>
      </c>
      <c r="C141" s="31" t="s">
        <v>1525</v>
      </c>
      <c r="D141" s="32" t="s">
        <v>1474</v>
      </c>
      <c r="E141" s="37">
        <v>4</v>
      </c>
      <c r="F141" s="56" t="s">
        <v>118</v>
      </c>
      <c r="G141" s="44">
        <v>7000</v>
      </c>
      <c r="H141" s="44">
        <v>7000</v>
      </c>
      <c r="I141" s="56"/>
      <c r="J141" s="1177"/>
      <c r="K141" s="1177" t="str">
        <f t="shared" si="6"/>
        <v>0</v>
      </c>
    </row>
    <row r="142" spans="1:11">
      <c r="A142" s="32">
        <f>IF(H142&gt;0,SUBTOTAL(3,$H$137:H142),"")</f>
        <v>6</v>
      </c>
      <c r="B142" s="32" t="s">
        <v>140</v>
      </c>
      <c r="C142" s="31" t="s">
        <v>289</v>
      </c>
      <c r="D142" s="32" t="s">
        <v>288</v>
      </c>
      <c r="E142" s="37">
        <v>5</v>
      </c>
      <c r="F142" s="56" t="s">
        <v>118</v>
      </c>
      <c r="G142" s="44">
        <v>8700</v>
      </c>
      <c r="H142" s="44">
        <v>8700</v>
      </c>
      <c r="I142" s="56"/>
      <c r="J142" s="1177"/>
      <c r="K142" s="1177" t="str">
        <f t="shared" si="6"/>
        <v>0</v>
      </c>
    </row>
    <row r="143" spans="1:11" ht="39">
      <c r="A143" s="32">
        <f>IF(H143&gt;0,SUBTOTAL(3,$H$137:H143),"")</f>
        <v>7</v>
      </c>
      <c r="B143" s="32" t="s">
        <v>140</v>
      </c>
      <c r="C143" s="31" t="s">
        <v>1526</v>
      </c>
      <c r="D143" s="32" t="s">
        <v>290</v>
      </c>
      <c r="E143" s="37">
        <v>2.9</v>
      </c>
      <c r="F143" s="56" t="s">
        <v>118</v>
      </c>
      <c r="G143" s="44">
        <v>5500</v>
      </c>
      <c r="H143" s="44">
        <v>5500</v>
      </c>
      <c r="I143" s="56"/>
      <c r="J143" s="1177"/>
      <c r="K143" s="1177" t="str">
        <f t="shared" si="6"/>
        <v>0</v>
      </c>
    </row>
    <row r="144" spans="1:11" ht="26">
      <c r="A144" s="32">
        <f>IF(H144&gt;0,SUBTOTAL(3,$H$137:H144),"")</f>
        <v>8</v>
      </c>
      <c r="B144" s="32" t="s">
        <v>140</v>
      </c>
      <c r="C144" s="31" t="s">
        <v>2374</v>
      </c>
      <c r="D144" s="32" t="s">
        <v>302</v>
      </c>
      <c r="E144" s="37">
        <v>2.2999999999999998</v>
      </c>
      <c r="F144" s="56" t="s">
        <v>118</v>
      </c>
      <c r="G144" s="44">
        <v>5500</v>
      </c>
      <c r="H144" s="44">
        <v>5500</v>
      </c>
      <c r="I144" s="56"/>
      <c r="J144" s="1177"/>
      <c r="K144" s="1177" t="str">
        <f t="shared" si="6"/>
        <v>0</v>
      </c>
    </row>
    <row r="145" spans="1:11">
      <c r="A145" s="32">
        <f>IF(H145&gt;0,SUBTOTAL(3,$H$137:H145),"")</f>
        <v>9</v>
      </c>
      <c r="B145" s="32" t="s">
        <v>140</v>
      </c>
      <c r="C145" s="736" t="s">
        <v>292</v>
      </c>
      <c r="D145" s="32" t="s">
        <v>291</v>
      </c>
      <c r="E145" s="37">
        <v>1.2</v>
      </c>
      <c r="F145" s="56" t="s">
        <v>118</v>
      </c>
      <c r="G145" s="44">
        <v>1000</v>
      </c>
      <c r="H145" s="44">
        <v>1000</v>
      </c>
      <c r="I145" s="56"/>
      <c r="J145" s="1177"/>
      <c r="K145" s="1177" t="str">
        <f t="shared" si="6"/>
        <v>0</v>
      </c>
    </row>
    <row r="146" spans="1:11" ht="39">
      <c r="A146" s="32">
        <f>IF(H146&gt;0,SUBTOTAL(3,$H$137:H146),"")</f>
        <v>10</v>
      </c>
      <c r="B146" s="32" t="s">
        <v>139</v>
      </c>
      <c r="C146" s="31" t="s">
        <v>294</v>
      </c>
      <c r="D146" s="32" t="s">
        <v>284</v>
      </c>
      <c r="E146" s="37" t="s">
        <v>610</v>
      </c>
      <c r="F146" s="56" t="s">
        <v>118</v>
      </c>
      <c r="G146" s="44">
        <v>3000</v>
      </c>
      <c r="H146" s="44">
        <v>3000</v>
      </c>
      <c r="I146" s="56"/>
      <c r="J146" s="1177"/>
      <c r="K146" s="1177" t="str">
        <f t="shared" si="6"/>
        <v>0</v>
      </c>
    </row>
    <row r="147" spans="1:11" ht="18" customHeight="1">
      <c r="A147" s="32">
        <f>IF(H147&gt;0,SUBTOTAL(3,$H$137:H147),"")</f>
        <v>11</v>
      </c>
      <c r="B147" s="32" t="s">
        <v>139</v>
      </c>
      <c r="C147" s="19" t="s">
        <v>295</v>
      </c>
      <c r="D147" s="32" t="s">
        <v>290</v>
      </c>
      <c r="E147" s="37">
        <v>16</v>
      </c>
      <c r="F147" s="56" t="s">
        <v>118</v>
      </c>
      <c r="G147" s="44">
        <v>1400</v>
      </c>
      <c r="H147" s="44">
        <v>1400</v>
      </c>
      <c r="I147" s="56"/>
      <c r="J147" s="1177"/>
      <c r="K147" s="1177" t="str">
        <f t="shared" si="6"/>
        <v>0</v>
      </c>
    </row>
    <row r="148" spans="1:11" ht="26">
      <c r="A148" s="32">
        <f>IF(H148&gt;0,SUBTOTAL(3,$H$137:H148),"")</f>
        <v>12</v>
      </c>
      <c r="B148" s="32" t="s">
        <v>139</v>
      </c>
      <c r="C148" s="31" t="s">
        <v>297</v>
      </c>
      <c r="D148" s="32" t="s">
        <v>296</v>
      </c>
      <c r="E148" s="37">
        <v>50</v>
      </c>
      <c r="F148" s="56" t="s">
        <v>118</v>
      </c>
      <c r="G148" s="44">
        <v>2000</v>
      </c>
      <c r="H148" s="44">
        <v>2000</v>
      </c>
      <c r="I148" s="56"/>
      <c r="J148" s="1177"/>
      <c r="K148" s="1177" t="str">
        <f t="shared" si="6"/>
        <v>0</v>
      </c>
    </row>
    <row r="149" spans="1:11">
      <c r="A149" s="32">
        <f>IF(H149&gt;0,SUBTOTAL(3,$H$137:H149),"")</f>
        <v>13</v>
      </c>
      <c r="B149" s="32" t="s">
        <v>139</v>
      </c>
      <c r="C149" s="19" t="s">
        <v>299</v>
      </c>
      <c r="D149" s="32" t="s">
        <v>298</v>
      </c>
      <c r="E149" s="37">
        <v>15</v>
      </c>
      <c r="F149" s="56" t="s">
        <v>118</v>
      </c>
      <c r="G149" s="44">
        <v>1000</v>
      </c>
      <c r="H149" s="44">
        <v>1000</v>
      </c>
      <c r="I149" s="56"/>
      <c r="J149" s="1177"/>
      <c r="K149" s="1177" t="str">
        <f t="shared" si="6"/>
        <v>0</v>
      </c>
    </row>
    <row r="150" spans="1:11" ht="26">
      <c r="A150" s="32">
        <f>IF(H150&gt;0,SUBTOTAL(3,$H$137:H150),"")</f>
        <v>14</v>
      </c>
      <c r="B150" s="32" t="s">
        <v>139</v>
      </c>
      <c r="C150" s="19" t="s">
        <v>300</v>
      </c>
      <c r="D150" s="32" t="s">
        <v>298</v>
      </c>
      <c r="E150" s="37">
        <v>18</v>
      </c>
      <c r="F150" s="56" t="s">
        <v>118</v>
      </c>
      <c r="G150" s="44">
        <v>1000</v>
      </c>
      <c r="H150" s="44">
        <v>1000</v>
      </c>
      <c r="I150" s="56"/>
      <c r="J150" s="1177"/>
      <c r="K150" s="1177" t="str">
        <f t="shared" si="6"/>
        <v>0</v>
      </c>
    </row>
    <row r="151" spans="1:11" ht="26">
      <c r="A151" s="32">
        <f>IF(H151&gt;0,SUBTOTAL(3,$H$137:H151),"")</f>
        <v>15</v>
      </c>
      <c r="B151" s="32" t="s">
        <v>139</v>
      </c>
      <c r="C151" s="31" t="s">
        <v>297</v>
      </c>
      <c r="D151" s="74" t="s">
        <v>293</v>
      </c>
      <c r="E151" s="37"/>
      <c r="F151" s="56" t="s">
        <v>118</v>
      </c>
      <c r="G151" s="44">
        <v>1500</v>
      </c>
      <c r="H151" s="44">
        <v>1500</v>
      </c>
      <c r="I151" s="56"/>
      <c r="J151" s="1177"/>
      <c r="K151" s="1177" t="str">
        <f t="shared" si="6"/>
        <v>0</v>
      </c>
    </row>
    <row r="152" spans="1:11" ht="26">
      <c r="A152" s="32">
        <f>IF(H152&gt;0,SUBTOTAL(3,$H$137:H152),"")</f>
        <v>16</v>
      </c>
      <c r="B152" s="32" t="s">
        <v>138</v>
      </c>
      <c r="C152" s="736" t="s">
        <v>301</v>
      </c>
      <c r="D152" s="74" t="s">
        <v>282</v>
      </c>
      <c r="E152" s="37">
        <v>70</v>
      </c>
      <c r="F152" s="56" t="s">
        <v>118</v>
      </c>
      <c r="G152" s="44">
        <v>5100</v>
      </c>
      <c r="H152" s="44">
        <v>5100</v>
      </c>
      <c r="I152" s="56"/>
      <c r="J152" s="1177"/>
      <c r="K152" s="1177" t="str">
        <f t="shared" si="6"/>
        <v>0</v>
      </c>
    </row>
    <row r="153" spans="1:11" ht="26">
      <c r="A153" s="32">
        <f>IF(H153&gt;0,SUBTOTAL(3,$H$137:H153),"")</f>
        <v>17</v>
      </c>
      <c r="B153" s="32" t="s">
        <v>138</v>
      </c>
      <c r="C153" s="736" t="s">
        <v>1476</v>
      </c>
      <c r="D153" s="74" t="s">
        <v>302</v>
      </c>
      <c r="E153" s="37">
        <v>44</v>
      </c>
      <c r="F153" s="56" t="s">
        <v>118</v>
      </c>
      <c r="G153" s="44">
        <v>5100</v>
      </c>
      <c r="H153" s="44">
        <v>5100</v>
      </c>
      <c r="I153" s="56"/>
      <c r="J153" s="1177"/>
      <c r="K153" s="1177" t="str">
        <f t="shared" si="6"/>
        <v>0</v>
      </c>
    </row>
    <row r="154" spans="1:11" ht="26">
      <c r="A154" s="32">
        <f>IF(H154&gt;0,SUBTOTAL(3,$H$137:H154),"")</f>
        <v>18</v>
      </c>
      <c r="B154" s="32" t="s">
        <v>138</v>
      </c>
      <c r="C154" s="31" t="s">
        <v>1477</v>
      </c>
      <c r="D154" s="32" t="s">
        <v>285</v>
      </c>
      <c r="E154" s="37">
        <v>107</v>
      </c>
      <c r="F154" s="56" t="s">
        <v>118</v>
      </c>
      <c r="G154" s="44">
        <v>11000</v>
      </c>
      <c r="H154" s="44">
        <v>11000</v>
      </c>
      <c r="I154" s="56"/>
      <c r="J154" s="1177"/>
      <c r="K154" s="1177" t="str">
        <f t="shared" si="6"/>
        <v>1</v>
      </c>
    </row>
    <row r="155" spans="1:11" ht="26">
      <c r="A155" s="32">
        <f>IF(H155&gt;0,SUBTOTAL(3,$H$137:H155),"")</f>
        <v>19</v>
      </c>
      <c r="B155" s="32" t="s">
        <v>138</v>
      </c>
      <c r="C155" s="31" t="s">
        <v>1478</v>
      </c>
      <c r="D155" s="32" t="s">
        <v>286</v>
      </c>
      <c r="E155" s="37">
        <v>63.5</v>
      </c>
      <c r="F155" s="56" t="s">
        <v>118</v>
      </c>
      <c r="G155" s="44">
        <v>7000</v>
      </c>
      <c r="H155" s="44">
        <v>7000</v>
      </c>
      <c r="I155" s="56"/>
      <c r="J155" s="1177"/>
      <c r="K155" s="1177" t="str">
        <f t="shared" si="6"/>
        <v>0</v>
      </c>
    </row>
    <row r="156" spans="1:11" ht="26">
      <c r="A156" s="32">
        <f>IF(H156&gt;0,SUBTOTAL(3,$H$137:H156),"")</f>
        <v>20</v>
      </c>
      <c r="B156" s="32" t="s">
        <v>138</v>
      </c>
      <c r="C156" s="736" t="s">
        <v>1479</v>
      </c>
      <c r="D156" s="74" t="s">
        <v>303</v>
      </c>
      <c r="E156" s="37">
        <v>45</v>
      </c>
      <c r="F156" s="56" t="s">
        <v>118</v>
      </c>
      <c r="G156" s="44">
        <v>7700</v>
      </c>
      <c r="H156" s="44">
        <v>7700</v>
      </c>
      <c r="I156" s="56"/>
      <c r="J156" s="1177"/>
      <c r="K156" s="1177" t="str">
        <f t="shared" si="6"/>
        <v>0</v>
      </c>
    </row>
    <row r="157" spans="1:11" ht="26">
      <c r="A157" s="32">
        <f>IF(H157&gt;0,SUBTOTAL(3,$H$137:H157),"")</f>
        <v>21</v>
      </c>
      <c r="B157" s="32" t="s">
        <v>138</v>
      </c>
      <c r="C157" s="736" t="s">
        <v>1480</v>
      </c>
      <c r="D157" s="32" t="s">
        <v>291</v>
      </c>
      <c r="E157" s="37">
        <v>24</v>
      </c>
      <c r="F157" s="56" t="s">
        <v>118</v>
      </c>
      <c r="G157" s="44">
        <v>3000</v>
      </c>
      <c r="H157" s="44">
        <v>3000</v>
      </c>
      <c r="I157" s="56"/>
      <c r="J157" s="1177"/>
      <c r="K157" s="1177" t="str">
        <f t="shared" si="6"/>
        <v>0</v>
      </c>
    </row>
    <row r="158" spans="1:11" ht="26">
      <c r="A158" s="32">
        <f>IF(H158&gt;0,SUBTOTAL(3,$H$137:H158),"")</f>
        <v>22</v>
      </c>
      <c r="B158" s="32" t="s">
        <v>138</v>
      </c>
      <c r="C158" s="31" t="s">
        <v>1481</v>
      </c>
      <c r="D158" s="32" t="s">
        <v>298</v>
      </c>
      <c r="E158" s="37">
        <v>70</v>
      </c>
      <c r="F158" s="56" t="s">
        <v>118</v>
      </c>
      <c r="G158" s="44">
        <v>5100</v>
      </c>
      <c r="H158" s="44">
        <v>5100</v>
      </c>
      <c r="I158" s="56"/>
      <c r="J158" s="1177"/>
      <c r="K158" s="1177" t="str">
        <f t="shared" si="6"/>
        <v>0</v>
      </c>
    </row>
    <row r="159" spans="1:11" ht="18" customHeight="1">
      <c r="A159" s="32">
        <f>IF(H159&gt;0,SUBTOTAL(3,$H$137:H159),"")</f>
        <v>23</v>
      </c>
      <c r="B159" s="32" t="s">
        <v>138</v>
      </c>
      <c r="C159" s="31" t="s">
        <v>305</v>
      </c>
      <c r="D159" s="32" t="s">
        <v>304</v>
      </c>
      <c r="E159" s="37">
        <v>50</v>
      </c>
      <c r="F159" s="56" t="s">
        <v>118</v>
      </c>
      <c r="G159" s="44">
        <v>1500</v>
      </c>
      <c r="H159" s="44">
        <v>1500</v>
      </c>
      <c r="I159" s="56"/>
      <c r="J159" s="1177"/>
      <c r="K159" s="1177" t="str">
        <f t="shared" si="6"/>
        <v>0</v>
      </c>
    </row>
    <row r="160" spans="1:11">
      <c r="A160" s="32">
        <f>IF(H160&gt;0,SUBTOTAL(3,$H$137:H160),"")</f>
        <v>24</v>
      </c>
      <c r="B160" s="32" t="s">
        <v>308</v>
      </c>
      <c r="C160" s="31" t="s">
        <v>306</v>
      </c>
      <c r="D160" s="32" t="s">
        <v>298</v>
      </c>
      <c r="E160" s="37">
        <v>0.7</v>
      </c>
      <c r="F160" s="56" t="s">
        <v>118</v>
      </c>
      <c r="G160" s="44">
        <v>3500</v>
      </c>
      <c r="H160" s="44">
        <v>3500</v>
      </c>
      <c r="I160" s="56"/>
      <c r="J160" s="1177"/>
      <c r="K160" s="1177" t="str">
        <f t="shared" si="6"/>
        <v>0</v>
      </c>
    </row>
    <row r="161" spans="1:11" ht="18" customHeight="1">
      <c r="A161" s="32">
        <f>IF(H161&gt;0,SUBTOTAL(3,$H$137:H161),"")</f>
        <v>25</v>
      </c>
      <c r="B161" s="32" t="s">
        <v>308</v>
      </c>
      <c r="C161" s="31" t="s">
        <v>307</v>
      </c>
      <c r="D161" s="32" t="s">
        <v>291</v>
      </c>
      <c r="E161" s="37">
        <v>67</v>
      </c>
      <c r="F161" s="56" t="s">
        <v>118</v>
      </c>
      <c r="G161" s="44">
        <v>1500</v>
      </c>
      <c r="H161" s="44">
        <v>1500</v>
      </c>
      <c r="I161" s="56"/>
      <c r="J161" s="1177"/>
      <c r="K161" s="1177" t="str">
        <f t="shared" si="6"/>
        <v>0</v>
      </c>
    </row>
    <row r="162" spans="1:11" ht="18" customHeight="1">
      <c r="A162" s="32">
        <f>IF(H162&gt;0,SUBTOTAL(3,$H$137:H162),"")</f>
        <v>26</v>
      </c>
      <c r="B162" s="32" t="s">
        <v>160</v>
      </c>
      <c r="C162" s="31" t="s">
        <v>1461</v>
      </c>
      <c r="D162" s="32" t="s">
        <v>290</v>
      </c>
      <c r="E162" s="37">
        <v>1</v>
      </c>
      <c r="F162" s="56" t="s">
        <v>118</v>
      </c>
      <c r="G162" s="44">
        <v>1000</v>
      </c>
      <c r="H162" s="44">
        <v>1000</v>
      </c>
      <c r="I162" s="56"/>
      <c r="J162" s="1177"/>
      <c r="K162" s="1177" t="str">
        <f t="shared" si="6"/>
        <v>0</v>
      </c>
    </row>
    <row r="163" spans="1:11" ht="18" customHeight="1">
      <c r="A163" s="32">
        <f>IF(H163&gt;0,SUBTOTAL(3,$H$137:H163),"")</f>
        <v>27</v>
      </c>
      <c r="B163" s="32" t="s">
        <v>160</v>
      </c>
      <c r="C163" s="31" t="s">
        <v>1462</v>
      </c>
      <c r="D163" s="32" t="s">
        <v>282</v>
      </c>
      <c r="E163" s="37">
        <v>1</v>
      </c>
      <c r="F163" s="56" t="s">
        <v>118</v>
      </c>
      <c r="G163" s="44">
        <v>1000</v>
      </c>
      <c r="H163" s="44">
        <v>1000</v>
      </c>
      <c r="I163" s="56"/>
      <c r="J163" s="1177"/>
      <c r="K163" s="1177" t="str">
        <f t="shared" si="6"/>
        <v>0</v>
      </c>
    </row>
    <row r="164" spans="1:11" ht="18" customHeight="1">
      <c r="A164" s="32">
        <f>IF(H164&gt;0,SUBTOTAL(3,$H$137:H164),"")</f>
        <v>28</v>
      </c>
      <c r="B164" s="32" t="s">
        <v>160</v>
      </c>
      <c r="C164" s="31" t="s">
        <v>1463</v>
      </c>
      <c r="D164" s="32" t="s">
        <v>283</v>
      </c>
      <c r="E164" s="37">
        <v>1</v>
      </c>
      <c r="F164" s="56" t="s">
        <v>118</v>
      </c>
      <c r="G164" s="44">
        <v>1000</v>
      </c>
      <c r="H164" s="44">
        <v>1000</v>
      </c>
      <c r="I164" s="56"/>
      <c r="J164" s="1177"/>
      <c r="K164" s="1177" t="str">
        <f t="shared" si="6"/>
        <v>0</v>
      </c>
    </row>
    <row r="165" spans="1:11" ht="39">
      <c r="A165" s="32">
        <f>IF(H165&gt;0,SUBTOTAL(3,$H$137:H165),"")</f>
        <v>29</v>
      </c>
      <c r="B165" s="32" t="s">
        <v>1471</v>
      </c>
      <c r="C165" s="31" t="s">
        <v>310</v>
      </c>
      <c r="D165" s="32" t="s">
        <v>296</v>
      </c>
      <c r="E165" s="37">
        <v>23</v>
      </c>
      <c r="F165" s="56" t="s">
        <v>118</v>
      </c>
      <c r="G165" s="44">
        <f>H165</f>
        <v>38137</v>
      </c>
      <c r="H165" s="44">
        <f>41600-3463</f>
        <v>38137</v>
      </c>
      <c r="I165" s="56"/>
      <c r="J165" s="1177" t="str">
        <f t="shared" ref="J165" si="7">IF(H165&gt;15000,"1","0")</f>
        <v>1</v>
      </c>
      <c r="K165" s="1177" t="str">
        <f t="shared" si="6"/>
        <v>1</v>
      </c>
    </row>
    <row r="166" spans="1:11" ht="26">
      <c r="A166" s="32">
        <f>IF(H166&gt;0,SUBTOTAL(3,$H$137:H166),"")</f>
        <v>30</v>
      </c>
      <c r="B166" s="32" t="s">
        <v>1471</v>
      </c>
      <c r="C166" s="31" t="s">
        <v>311</v>
      </c>
      <c r="D166" s="32" t="s">
        <v>296</v>
      </c>
      <c r="E166" s="37">
        <v>9</v>
      </c>
      <c r="F166" s="56" t="s">
        <v>118</v>
      </c>
      <c r="G166" s="44">
        <f t="shared" ref="G166:G167" si="8">H166</f>
        <v>14400</v>
      </c>
      <c r="H166" s="44">
        <f>14400</f>
        <v>14400</v>
      </c>
      <c r="I166" s="56"/>
      <c r="J166" s="1177"/>
      <c r="K166" s="1177" t="str">
        <f t="shared" si="6"/>
        <v>1</v>
      </c>
    </row>
    <row r="167" spans="1:11" ht="26">
      <c r="A167" s="32">
        <f>IF(H167&gt;0,SUBTOTAL(3,$H$137:H167),"")</f>
        <v>31</v>
      </c>
      <c r="B167" s="32" t="s">
        <v>1471</v>
      </c>
      <c r="C167" s="31" t="s">
        <v>312</v>
      </c>
      <c r="D167" s="32" t="s">
        <v>296</v>
      </c>
      <c r="E167" s="37">
        <v>7</v>
      </c>
      <c r="F167" s="56" t="s">
        <v>118</v>
      </c>
      <c r="G167" s="44">
        <f t="shared" si="8"/>
        <v>11200</v>
      </c>
      <c r="H167" s="44">
        <v>11200</v>
      </c>
      <c r="I167" s="56"/>
      <c r="J167" s="1177"/>
      <c r="K167" s="1177" t="str">
        <f t="shared" si="6"/>
        <v>1</v>
      </c>
    </row>
    <row r="168" spans="1:11" ht="18" customHeight="1">
      <c r="A168" s="14" t="s">
        <v>31</v>
      </c>
      <c r="B168" s="14"/>
      <c r="C168" s="46" t="s">
        <v>15</v>
      </c>
      <c r="D168" s="36"/>
      <c r="E168" s="23"/>
      <c r="F168" s="23"/>
      <c r="G168" s="23">
        <f>SUM(G169:G197)</f>
        <v>217035</v>
      </c>
      <c r="H168" s="23">
        <f>SUM(H169:H197)</f>
        <v>217035</v>
      </c>
      <c r="I168" s="36"/>
    </row>
    <row r="169" spans="1:11" ht="18" customHeight="1">
      <c r="A169" s="32">
        <f>IF(H169&gt;0,SUBTOTAL(3,$H$169:H169),"")</f>
        <v>1</v>
      </c>
      <c r="B169" s="32" t="s">
        <v>140</v>
      </c>
      <c r="C169" s="767" t="s">
        <v>227</v>
      </c>
      <c r="D169" s="37" t="s">
        <v>225</v>
      </c>
      <c r="E169" s="739">
        <v>4</v>
      </c>
      <c r="F169" s="56" t="s">
        <v>118</v>
      </c>
      <c r="G169" s="44">
        <f>+H169</f>
        <v>6000</v>
      </c>
      <c r="H169" s="44">
        <v>6000</v>
      </c>
      <c r="I169" s="56"/>
      <c r="J169" s="1177"/>
      <c r="K169" s="1177" t="str">
        <f t="shared" ref="K169:K197" si="9">IF(H169&gt;10000,"1","0")</f>
        <v>0</v>
      </c>
    </row>
    <row r="170" spans="1:11" ht="18" customHeight="1">
      <c r="A170" s="32">
        <f>IF(H170&gt;0,SUBTOTAL(3,$H$169:H170),"")</f>
        <v>2</v>
      </c>
      <c r="B170" s="32" t="s">
        <v>140</v>
      </c>
      <c r="C170" s="767" t="s">
        <v>221</v>
      </c>
      <c r="D170" s="37" t="s">
        <v>213</v>
      </c>
      <c r="E170" s="739">
        <v>4.5</v>
      </c>
      <c r="F170" s="56" t="s">
        <v>118</v>
      </c>
      <c r="G170" s="44">
        <f t="shared" ref="G170:G197" si="10">+H170</f>
        <v>8000</v>
      </c>
      <c r="H170" s="44">
        <v>8000</v>
      </c>
      <c r="I170" s="56"/>
      <c r="J170" s="1177"/>
      <c r="K170" s="1177" t="str">
        <f t="shared" si="9"/>
        <v>0</v>
      </c>
    </row>
    <row r="171" spans="1:11" ht="18" customHeight="1">
      <c r="A171" s="32">
        <f>IF(H171&gt;0,SUBTOTAL(3,$H$169:H171),"")</f>
        <v>3</v>
      </c>
      <c r="B171" s="32" t="s">
        <v>140</v>
      </c>
      <c r="C171" s="767" t="s">
        <v>226</v>
      </c>
      <c r="D171" s="37" t="s">
        <v>225</v>
      </c>
      <c r="E171" s="739">
        <v>16</v>
      </c>
      <c r="F171" s="56" t="s">
        <v>118</v>
      </c>
      <c r="G171" s="44">
        <f t="shared" si="10"/>
        <v>19126</v>
      </c>
      <c r="H171" s="44">
        <f>16170+3830-874</f>
        <v>19126</v>
      </c>
      <c r="I171" s="56"/>
      <c r="J171" s="1177" t="str">
        <f t="shared" ref="J171:J196" si="11">IF(H171&gt;15000,"1","0")</f>
        <v>1</v>
      </c>
      <c r="K171" s="1177" t="str">
        <f t="shared" si="9"/>
        <v>1</v>
      </c>
    </row>
    <row r="172" spans="1:11" ht="18" customHeight="1">
      <c r="A172" s="32">
        <f>IF(H172&gt;0,SUBTOTAL(3,$H$169:H172),"")</f>
        <v>4</v>
      </c>
      <c r="B172" s="32" t="s">
        <v>140</v>
      </c>
      <c r="C172" s="767" t="s">
        <v>224</v>
      </c>
      <c r="D172" s="37" t="s">
        <v>211</v>
      </c>
      <c r="E172" s="739">
        <v>5</v>
      </c>
      <c r="F172" s="56" t="s">
        <v>118</v>
      </c>
      <c r="G172" s="44">
        <f t="shared" si="10"/>
        <v>7000</v>
      </c>
      <c r="H172" s="44">
        <v>7000</v>
      </c>
      <c r="I172" s="56"/>
      <c r="J172" s="1177"/>
      <c r="K172" s="1177" t="str">
        <f t="shared" si="9"/>
        <v>0</v>
      </c>
    </row>
    <row r="173" spans="1:11" ht="18" customHeight="1">
      <c r="A173" s="32">
        <f>IF(H173&gt;0,SUBTOTAL(3,$H$169:H173),"")</f>
        <v>5</v>
      </c>
      <c r="B173" s="32" t="s">
        <v>140</v>
      </c>
      <c r="C173" s="767" t="s">
        <v>228</v>
      </c>
      <c r="D173" s="37" t="s">
        <v>225</v>
      </c>
      <c r="E173" s="739">
        <v>5</v>
      </c>
      <c r="F173" s="56" t="s">
        <v>118</v>
      </c>
      <c r="G173" s="44">
        <f t="shared" si="10"/>
        <v>8000</v>
      </c>
      <c r="H173" s="44">
        <v>8000</v>
      </c>
      <c r="I173" s="56"/>
      <c r="J173" s="1177"/>
      <c r="K173" s="1177" t="str">
        <f t="shared" si="9"/>
        <v>0</v>
      </c>
    </row>
    <row r="174" spans="1:11" ht="18" customHeight="1">
      <c r="A174" s="32">
        <f>IF(H174&gt;0,SUBTOTAL(3,$H$169:H174),"")</f>
        <v>6</v>
      </c>
      <c r="B174" s="32" t="s">
        <v>140</v>
      </c>
      <c r="C174" s="768" t="s">
        <v>231</v>
      </c>
      <c r="D174" s="769" t="s">
        <v>230</v>
      </c>
      <c r="E174" s="739">
        <v>6</v>
      </c>
      <c r="F174" s="56" t="s">
        <v>118</v>
      </c>
      <c r="G174" s="44">
        <f t="shared" si="10"/>
        <v>10707</v>
      </c>
      <c r="H174" s="44">
        <f>10000+707</f>
        <v>10707</v>
      </c>
      <c r="I174" s="56"/>
      <c r="J174" s="1177"/>
      <c r="K174" s="1177" t="str">
        <f t="shared" si="9"/>
        <v>1</v>
      </c>
    </row>
    <row r="175" spans="1:11" ht="18" customHeight="1">
      <c r="A175" s="32">
        <f>IF(H175&gt;0,SUBTOTAL(3,$H$169:H175),"")</f>
        <v>7</v>
      </c>
      <c r="B175" s="32" t="s">
        <v>140</v>
      </c>
      <c r="C175" s="768" t="s">
        <v>233</v>
      </c>
      <c r="D175" s="769" t="s">
        <v>209</v>
      </c>
      <c r="E175" s="739">
        <v>10</v>
      </c>
      <c r="F175" s="56" t="s">
        <v>118</v>
      </c>
      <c r="G175" s="44">
        <f t="shared" si="10"/>
        <v>10000</v>
      </c>
      <c r="H175" s="44">
        <v>10000</v>
      </c>
      <c r="I175" s="56"/>
      <c r="J175" s="1177"/>
      <c r="K175" s="1177" t="str">
        <f t="shared" si="9"/>
        <v>0</v>
      </c>
    </row>
    <row r="176" spans="1:11">
      <c r="A176" s="32">
        <f>IF(H176&gt;0,SUBTOTAL(3,$H$169:H176),"")</f>
        <v>8</v>
      </c>
      <c r="B176" s="32" t="s">
        <v>140</v>
      </c>
      <c r="C176" s="19" t="s">
        <v>586</v>
      </c>
      <c r="D176" s="74" t="s">
        <v>210</v>
      </c>
      <c r="E176" s="739">
        <v>8</v>
      </c>
      <c r="F176" s="56" t="s">
        <v>118</v>
      </c>
      <c r="G176" s="44">
        <f t="shared" si="10"/>
        <v>14000</v>
      </c>
      <c r="H176" s="44">
        <v>14000</v>
      </c>
      <c r="I176" s="56"/>
      <c r="J176" s="1177"/>
      <c r="K176" s="1177" t="str">
        <f t="shared" si="9"/>
        <v>1</v>
      </c>
    </row>
    <row r="177" spans="1:11" ht="18" customHeight="1">
      <c r="A177" s="32">
        <f>IF(H177&gt;0,SUBTOTAL(3,$H$169:H177),"")</f>
        <v>9</v>
      </c>
      <c r="B177" s="32" t="s">
        <v>140</v>
      </c>
      <c r="C177" s="19" t="s">
        <v>234</v>
      </c>
      <c r="D177" s="74" t="s">
        <v>216</v>
      </c>
      <c r="E177" s="739">
        <v>2</v>
      </c>
      <c r="F177" s="56" t="s">
        <v>118</v>
      </c>
      <c r="G177" s="44">
        <f t="shared" si="10"/>
        <v>18000</v>
      </c>
      <c r="H177" s="44">
        <v>18000</v>
      </c>
      <c r="I177" s="56"/>
      <c r="J177" s="1177" t="str">
        <f t="shared" si="11"/>
        <v>1</v>
      </c>
      <c r="K177" s="1177" t="str">
        <f t="shared" si="9"/>
        <v>1</v>
      </c>
    </row>
    <row r="178" spans="1:11" ht="18" customHeight="1">
      <c r="A178" s="32">
        <f>IF(H178&gt;0,SUBTOTAL(3,$H$169:H178),"")</f>
        <v>10</v>
      </c>
      <c r="B178" s="32" t="s">
        <v>140</v>
      </c>
      <c r="C178" s="19" t="s">
        <v>222</v>
      </c>
      <c r="D178" s="74" t="s">
        <v>213</v>
      </c>
      <c r="E178" s="739">
        <v>5</v>
      </c>
      <c r="F178" s="56" t="s">
        <v>118</v>
      </c>
      <c r="G178" s="44">
        <f t="shared" si="10"/>
        <v>8000</v>
      </c>
      <c r="H178" s="44">
        <v>8000</v>
      </c>
      <c r="I178" s="56"/>
      <c r="J178" s="1177"/>
      <c r="K178" s="1177" t="str">
        <f t="shared" si="9"/>
        <v>0</v>
      </c>
    </row>
    <row r="179" spans="1:11" ht="18" customHeight="1">
      <c r="A179" s="32">
        <f>IF(H179&gt;0,SUBTOTAL(3,$H$169:H179),"")</f>
        <v>11</v>
      </c>
      <c r="B179" s="32" t="s">
        <v>140</v>
      </c>
      <c r="C179" s="31" t="s">
        <v>223</v>
      </c>
      <c r="D179" s="770" t="s">
        <v>213</v>
      </c>
      <c r="E179" s="739">
        <v>5</v>
      </c>
      <c r="F179" s="56" t="s">
        <v>118</v>
      </c>
      <c r="G179" s="44">
        <f t="shared" si="10"/>
        <v>6000</v>
      </c>
      <c r="H179" s="44">
        <v>6000</v>
      </c>
      <c r="I179" s="56"/>
      <c r="J179" s="1177"/>
      <c r="K179" s="1177" t="str">
        <f t="shared" si="9"/>
        <v>0</v>
      </c>
    </row>
    <row r="180" spans="1:11" ht="18" customHeight="1">
      <c r="A180" s="32">
        <f>IF(H180&gt;0,SUBTOTAL(3,$H$169:H180),"")</f>
        <v>12</v>
      </c>
      <c r="B180" s="32" t="s">
        <v>138</v>
      </c>
      <c r="C180" s="767" t="s">
        <v>242</v>
      </c>
      <c r="D180" s="37" t="s">
        <v>232</v>
      </c>
      <c r="E180" s="17">
        <v>35</v>
      </c>
      <c r="F180" s="56" t="s">
        <v>118</v>
      </c>
      <c r="G180" s="44">
        <f t="shared" si="10"/>
        <v>4500</v>
      </c>
      <c r="H180" s="44">
        <v>4500</v>
      </c>
      <c r="I180" s="56"/>
      <c r="J180" s="1177"/>
      <c r="K180" s="1177" t="str">
        <f t="shared" si="9"/>
        <v>0</v>
      </c>
    </row>
    <row r="181" spans="1:11" ht="18" customHeight="1">
      <c r="A181" s="32">
        <f>IF(H181&gt;0,SUBTOTAL(3,$H$169:H181),"")</f>
        <v>13</v>
      </c>
      <c r="B181" s="32" t="s">
        <v>138</v>
      </c>
      <c r="C181" s="767" t="s">
        <v>245</v>
      </c>
      <c r="D181" s="37" t="s">
        <v>235</v>
      </c>
      <c r="E181" s="17">
        <v>35</v>
      </c>
      <c r="F181" s="56" t="s">
        <v>118</v>
      </c>
      <c r="G181" s="44">
        <f t="shared" si="10"/>
        <v>5000</v>
      </c>
      <c r="H181" s="44">
        <v>5000</v>
      </c>
      <c r="I181" s="56"/>
      <c r="J181" s="1177"/>
      <c r="K181" s="1177" t="str">
        <f t="shared" si="9"/>
        <v>0</v>
      </c>
    </row>
    <row r="182" spans="1:11" ht="18" customHeight="1">
      <c r="A182" s="32">
        <f>IF(H182&gt;0,SUBTOTAL(3,$H$169:H182),"")</f>
        <v>14</v>
      </c>
      <c r="B182" s="32" t="s">
        <v>138</v>
      </c>
      <c r="C182" s="767" t="s">
        <v>236</v>
      </c>
      <c r="D182" s="37" t="s">
        <v>213</v>
      </c>
      <c r="E182" s="17">
        <v>40</v>
      </c>
      <c r="F182" s="56" t="s">
        <v>118</v>
      </c>
      <c r="G182" s="44">
        <f t="shared" si="10"/>
        <v>5000</v>
      </c>
      <c r="H182" s="44">
        <v>5000</v>
      </c>
      <c r="I182" s="56"/>
      <c r="J182" s="1177"/>
      <c r="K182" s="1177" t="str">
        <f t="shared" si="9"/>
        <v>0</v>
      </c>
    </row>
    <row r="183" spans="1:11" ht="18" customHeight="1">
      <c r="A183" s="32">
        <f>IF(H183&gt;0,SUBTOTAL(3,$H$169:H183),"")</f>
        <v>15</v>
      </c>
      <c r="B183" s="32" t="s">
        <v>138</v>
      </c>
      <c r="C183" s="767" t="s">
        <v>240</v>
      </c>
      <c r="D183" s="37" t="s">
        <v>225</v>
      </c>
      <c r="E183" s="17">
        <v>30</v>
      </c>
      <c r="F183" s="56" t="s">
        <v>118</v>
      </c>
      <c r="G183" s="44">
        <f t="shared" si="10"/>
        <v>3000</v>
      </c>
      <c r="H183" s="44">
        <v>3000</v>
      </c>
      <c r="I183" s="56"/>
      <c r="J183" s="1177"/>
      <c r="K183" s="1177" t="str">
        <f t="shared" si="9"/>
        <v>0</v>
      </c>
    </row>
    <row r="184" spans="1:11" ht="18" customHeight="1">
      <c r="A184" s="32">
        <f>IF(H184&gt;0,SUBTOTAL(3,$H$169:H184),"")</f>
        <v>16</v>
      </c>
      <c r="B184" s="32" t="s">
        <v>140</v>
      </c>
      <c r="C184" s="767" t="s">
        <v>1460</v>
      </c>
      <c r="D184" s="37" t="s">
        <v>217</v>
      </c>
      <c r="E184" s="17" t="s">
        <v>452</v>
      </c>
      <c r="F184" s="56" t="s">
        <v>118</v>
      </c>
      <c r="G184" s="44">
        <f t="shared" si="10"/>
        <v>6000</v>
      </c>
      <c r="H184" s="44">
        <v>6000</v>
      </c>
      <c r="I184" s="56"/>
      <c r="J184" s="1177"/>
      <c r="K184" s="1177" t="str">
        <f t="shared" si="9"/>
        <v>0</v>
      </c>
    </row>
    <row r="185" spans="1:11" ht="18" customHeight="1">
      <c r="A185" s="32">
        <f>IF(H185&gt;0,SUBTOTAL(3,$H$169:H185),"")</f>
        <v>17</v>
      </c>
      <c r="B185" s="32" t="s">
        <v>138</v>
      </c>
      <c r="C185" s="19" t="s">
        <v>688</v>
      </c>
      <c r="D185" s="87" t="s">
        <v>230</v>
      </c>
      <c r="E185" s="17">
        <v>80</v>
      </c>
      <c r="F185" s="56" t="s">
        <v>118</v>
      </c>
      <c r="G185" s="44">
        <f t="shared" si="10"/>
        <v>4500</v>
      </c>
      <c r="H185" s="44">
        <v>4500</v>
      </c>
      <c r="I185" s="56"/>
      <c r="J185" s="1177"/>
      <c r="K185" s="1177" t="str">
        <f t="shared" si="9"/>
        <v>0</v>
      </c>
    </row>
    <row r="186" spans="1:11" ht="18" customHeight="1">
      <c r="A186" s="32">
        <f>IF(H186&gt;0,SUBTOTAL(3,$H$169:H186),"")</f>
        <v>18</v>
      </c>
      <c r="B186" s="32" t="s">
        <v>138</v>
      </c>
      <c r="C186" s="19" t="s">
        <v>238</v>
      </c>
      <c r="D186" s="87" t="s">
        <v>211</v>
      </c>
      <c r="E186" s="17">
        <v>25</v>
      </c>
      <c r="F186" s="56" t="s">
        <v>118</v>
      </c>
      <c r="G186" s="44">
        <f t="shared" si="10"/>
        <v>6000</v>
      </c>
      <c r="H186" s="44">
        <v>6000</v>
      </c>
      <c r="I186" s="56"/>
      <c r="J186" s="1177"/>
      <c r="K186" s="1177" t="str">
        <f t="shared" si="9"/>
        <v>0</v>
      </c>
    </row>
    <row r="187" spans="1:11" ht="18" customHeight="1">
      <c r="A187" s="32">
        <f>IF(H187&gt;0,SUBTOTAL(3,$H$169:H187),"")</f>
        <v>19</v>
      </c>
      <c r="B187" s="32" t="s">
        <v>138</v>
      </c>
      <c r="C187" s="19" t="s">
        <v>239</v>
      </c>
      <c r="D187" s="74" t="s">
        <v>211</v>
      </c>
      <c r="E187" s="17">
        <v>25</v>
      </c>
      <c r="F187" s="56" t="s">
        <v>118</v>
      </c>
      <c r="G187" s="44">
        <f t="shared" si="10"/>
        <v>3500</v>
      </c>
      <c r="H187" s="44">
        <v>3500</v>
      </c>
      <c r="I187" s="56"/>
      <c r="J187" s="1177"/>
      <c r="K187" s="1177" t="str">
        <f t="shared" si="9"/>
        <v>0</v>
      </c>
    </row>
    <row r="188" spans="1:11" ht="39">
      <c r="A188" s="32">
        <f>IF(H188&gt;0,SUBTOTAL(3,$H$169:H188),"")</f>
        <v>20</v>
      </c>
      <c r="B188" s="32" t="s">
        <v>138</v>
      </c>
      <c r="C188" s="19" t="s">
        <v>1459</v>
      </c>
      <c r="D188" s="74" t="s">
        <v>217</v>
      </c>
      <c r="E188" s="17">
        <v>41</v>
      </c>
      <c r="F188" s="56" t="s">
        <v>118</v>
      </c>
      <c r="G188" s="44">
        <f t="shared" si="10"/>
        <v>2500</v>
      </c>
      <c r="H188" s="44">
        <v>2500</v>
      </c>
      <c r="I188" s="56"/>
      <c r="J188" s="1177"/>
      <c r="K188" s="1177" t="str">
        <f t="shared" si="9"/>
        <v>0</v>
      </c>
    </row>
    <row r="189" spans="1:11" ht="18" customHeight="1">
      <c r="A189" s="32">
        <f>IF(H189&gt;0,SUBTOTAL(3,$H$169:H189),"")</f>
        <v>21</v>
      </c>
      <c r="B189" s="32" t="s">
        <v>138</v>
      </c>
      <c r="C189" s="771" t="s">
        <v>243</v>
      </c>
      <c r="D189" s="772" t="s">
        <v>210</v>
      </c>
      <c r="E189" s="17">
        <v>15</v>
      </c>
      <c r="F189" s="56" t="s">
        <v>118</v>
      </c>
      <c r="G189" s="44">
        <f t="shared" si="10"/>
        <v>2500</v>
      </c>
      <c r="H189" s="44">
        <v>2500</v>
      </c>
      <c r="I189" s="56"/>
      <c r="J189" s="1177"/>
      <c r="K189" s="1177" t="str">
        <f t="shared" si="9"/>
        <v>0</v>
      </c>
    </row>
    <row r="190" spans="1:11" ht="18" customHeight="1">
      <c r="A190" s="32">
        <f>IF(H190&gt;0,SUBTOTAL(3,$H$169:H190),"")</f>
        <v>22</v>
      </c>
      <c r="B190" s="32" t="s">
        <v>138</v>
      </c>
      <c r="C190" s="771" t="s">
        <v>241</v>
      </c>
      <c r="D190" s="772" t="s">
        <v>217</v>
      </c>
      <c r="E190" s="17">
        <v>20</v>
      </c>
      <c r="F190" s="56" t="s">
        <v>118</v>
      </c>
      <c r="G190" s="44">
        <f t="shared" si="10"/>
        <v>3000</v>
      </c>
      <c r="H190" s="44">
        <v>3000</v>
      </c>
      <c r="I190" s="56"/>
      <c r="J190" s="1177"/>
      <c r="K190" s="1177" t="str">
        <f t="shared" si="9"/>
        <v>0</v>
      </c>
    </row>
    <row r="191" spans="1:11" ht="18" customHeight="1">
      <c r="A191" s="32">
        <f>IF(H191&gt;0,SUBTOTAL(3,$H$169:H191),"")</f>
        <v>23</v>
      </c>
      <c r="B191" s="32" t="s">
        <v>138</v>
      </c>
      <c r="C191" s="19" t="s">
        <v>244</v>
      </c>
      <c r="D191" s="74" t="s">
        <v>216</v>
      </c>
      <c r="E191" s="17">
        <v>15</v>
      </c>
      <c r="F191" s="56" t="s">
        <v>118</v>
      </c>
      <c r="G191" s="44">
        <f t="shared" si="10"/>
        <v>4102</v>
      </c>
      <c r="H191" s="44">
        <f>3050+93+959</f>
        <v>4102</v>
      </c>
      <c r="I191" s="56"/>
      <c r="J191" s="1177"/>
      <c r="K191" s="1177" t="str">
        <f t="shared" si="9"/>
        <v>0</v>
      </c>
    </row>
    <row r="192" spans="1:11" ht="18" customHeight="1">
      <c r="A192" s="32">
        <f>IF(H192&gt;0,SUBTOTAL(3,$H$169:H192),"")</f>
        <v>24</v>
      </c>
      <c r="B192" s="32" t="s">
        <v>138</v>
      </c>
      <c r="C192" s="19" t="s">
        <v>237</v>
      </c>
      <c r="D192" s="74" t="s">
        <v>213</v>
      </c>
      <c r="E192" s="17">
        <v>15</v>
      </c>
      <c r="F192" s="56" t="s">
        <v>118</v>
      </c>
      <c r="G192" s="44">
        <f t="shared" si="10"/>
        <v>2000</v>
      </c>
      <c r="H192" s="44">
        <v>2000</v>
      </c>
      <c r="I192" s="56"/>
      <c r="J192" s="1177"/>
      <c r="K192" s="1177" t="str">
        <f t="shared" si="9"/>
        <v>0</v>
      </c>
    </row>
    <row r="193" spans="1:11" ht="18" customHeight="1">
      <c r="A193" s="32">
        <f>IF(H193&gt;0,SUBTOTAL(3,$H$169:H193),"")</f>
        <v>25</v>
      </c>
      <c r="B193" s="32" t="s">
        <v>160</v>
      </c>
      <c r="C193" s="19" t="s">
        <v>1464</v>
      </c>
      <c r="D193" s="74" t="s">
        <v>1465</v>
      </c>
      <c r="E193" s="174">
        <v>1</v>
      </c>
      <c r="F193" s="56" t="s">
        <v>118</v>
      </c>
      <c r="G193" s="44">
        <f t="shared" si="10"/>
        <v>1000</v>
      </c>
      <c r="H193" s="44">
        <v>1000</v>
      </c>
      <c r="I193" s="56"/>
      <c r="J193" s="1177"/>
      <c r="K193" s="1177" t="str">
        <f t="shared" si="9"/>
        <v>0</v>
      </c>
    </row>
    <row r="194" spans="1:11" ht="26">
      <c r="A194" s="32">
        <f>IF(H194&gt;0,SUBTOTAL(3,$H$169:H194),"")</f>
        <v>26</v>
      </c>
      <c r="B194" s="32" t="s">
        <v>1471</v>
      </c>
      <c r="C194" s="19" t="s">
        <v>616</v>
      </c>
      <c r="D194" s="74" t="s">
        <v>235</v>
      </c>
      <c r="E194" s="773">
        <v>6</v>
      </c>
      <c r="F194" s="56" t="s">
        <v>118</v>
      </c>
      <c r="G194" s="44">
        <f t="shared" si="10"/>
        <v>9600</v>
      </c>
      <c r="H194" s="44">
        <v>9600</v>
      </c>
      <c r="I194" s="56"/>
      <c r="J194" s="1177"/>
      <c r="K194" s="1177" t="str">
        <f t="shared" si="9"/>
        <v>0</v>
      </c>
    </row>
    <row r="195" spans="1:11" ht="26">
      <c r="A195" s="32">
        <f>IF(H195&gt;0,SUBTOTAL(3,$H$169:H195),"")</f>
        <v>27</v>
      </c>
      <c r="B195" s="32" t="s">
        <v>1471</v>
      </c>
      <c r="C195" s="19" t="s">
        <v>2499</v>
      </c>
      <c r="D195" s="74" t="s">
        <v>2127</v>
      </c>
      <c r="E195" s="773">
        <v>4</v>
      </c>
      <c r="F195" s="56" t="s">
        <v>118</v>
      </c>
      <c r="G195" s="44">
        <f t="shared" si="10"/>
        <v>6400</v>
      </c>
      <c r="H195" s="44">
        <v>6400</v>
      </c>
      <c r="I195" s="56"/>
      <c r="J195" s="1177"/>
      <c r="K195" s="1177" t="str">
        <f t="shared" si="9"/>
        <v>0</v>
      </c>
    </row>
    <row r="196" spans="1:11" ht="26">
      <c r="A196" s="32">
        <f>IF(H196&gt;0,SUBTOTAL(3,$H$169:H196),"")</f>
        <v>28</v>
      </c>
      <c r="B196" s="32" t="s">
        <v>1471</v>
      </c>
      <c r="C196" s="19" t="s">
        <v>618</v>
      </c>
      <c r="D196" s="74" t="s">
        <v>2498</v>
      </c>
      <c r="E196" s="773">
        <v>14</v>
      </c>
      <c r="F196" s="56" t="s">
        <v>118</v>
      </c>
      <c r="G196" s="44">
        <f t="shared" si="10"/>
        <v>22400</v>
      </c>
      <c r="H196" s="44">
        <f>22400</f>
        <v>22400</v>
      </c>
      <c r="I196" s="56"/>
      <c r="J196" s="1177" t="str">
        <f t="shared" si="11"/>
        <v>1</v>
      </c>
      <c r="K196" s="1177" t="str">
        <f t="shared" si="9"/>
        <v>1</v>
      </c>
    </row>
    <row r="197" spans="1:11" ht="33.75" customHeight="1">
      <c r="A197" s="32">
        <v>29</v>
      </c>
      <c r="B197" s="32" t="s">
        <v>1471</v>
      </c>
      <c r="C197" s="19" t="s">
        <v>2535</v>
      </c>
      <c r="D197" s="74" t="s">
        <v>2536</v>
      </c>
      <c r="E197" s="37">
        <v>7</v>
      </c>
      <c r="F197" s="56" t="s">
        <v>118</v>
      </c>
      <c r="G197" s="44">
        <f t="shared" si="10"/>
        <v>11200</v>
      </c>
      <c r="H197" s="44">
        <v>11200</v>
      </c>
      <c r="I197" s="56"/>
      <c r="J197" s="1177"/>
      <c r="K197" s="1177" t="str">
        <f t="shared" si="9"/>
        <v>1</v>
      </c>
    </row>
    <row r="198" spans="1:11" ht="18" customHeight="1">
      <c r="A198" s="14" t="s">
        <v>80</v>
      </c>
      <c r="B198" s="14"/>
      <c r="C198" s="46" t="s">
        <v>13</v>
      </c>
      <c r="D198" s="36"/>
      <c r="E198" s="36"/>
      <c r="F198" s="23"/>
      <c r="G198" s="23">
        <f>SUM(G199:G212)</f>
        <v>141290</v>
      </c>
      <c r="H198" s="23">
        <f>SUM(H199:H212)</f>
        <v>141085</v>
      </c>
      <c r="I198" s="36"/>
    </row>
    <row r="199" spans="1:11" ht="18" customHeight="1">
      <c r="A199" s="32">
        <f>IF(H199&gt;0,SUBTOTAL(3,$H$199:H199),"")</f>
        <v>1</v>
      </c>
      <c r="B199" s="32" t="s">
        <v>140</v>
      </c>
      <c r="C199" s="19" t="s">
        <v>124</v>
      </c>
      <c r="D199" s="56" t="s">
        <v>123</v>
      </c>
      <c r="E199" s="32">
        <v>5.5</v>
      </c>
      <c r="F199" s="74" t="s">
        <v>118</v>
      </c>
      <c r="G199" s="44">
        <v>6000</v>
      </c>
      <c r="H199" s="44">
        <v>6000</v>
      </c>
      <c r="I199" s="56"/>
      <c r="J199" s="1177"/>
      <c r="K199" s="1177" t="str">
        <f t="shared" ref="K199:K212" si="12">IF(H199&gt;10000,"1","0")</f>
        <v>0</v>
      </c>
    </row>
    <row r="200" spans="1:11" ht="26">
      <c r="A200" s="32">
        <f>IF(H200&gt;0,SUBTOTAL(3,$H$199:H200),"")</f>
        <v>2</v>
      </c>
      <c r="B200" s="32" t="s">
        <v>140</v>
      </c>
      <c r="C200" s="19" t="s">
        <v>126</v>
      </c>
      <c r="D200" s="56" t="s">
        <v>110</v>
      </c>
      <c r="E200" s="32">
        <v>4</v>
      </c>
      <c r="F200" s="74" t="s">
        <v>118</v>
      </c>
      <c r="G200" s="44">
        <v>2000</v>
      </c>
      <c r="H200" s="44">
        <v>2000</v>
      </c>
      <c r="I200" s="56"/>
      <c r="J200" s="1177"/>
      <c r="K200" s="1177" t="str">
        <f t="shared" si="12"/>
        <v>0</v>
      </c>
    </row>
    <row r="201" spans="1:11" ht="26">
      <c r="A201" s="32">
        <f>IF(H201&gt;0,SUBTOTAL(3,$H$199:H201),"")</f>
        <v>3</v>
      </c>
      <c r="B201" s="32" t="s">
        <v>140</v>
      </c>
      <c r="C201" s="19" t="s">
        <v>127</v>
      </c>
      <c r="D201" s="56" t="s">
        <v>111</v>
      </c>
      <c r="E201" s="32">
        <v>10.199999999999999</v>
      </c>
      <c r="F201" s="74" t="s">
        <v>118</v>
      </c>
      <c r="G201" s="44">
        <v>12000</v>
      </c>
      <c r="H201" s="44">
        <v>12000</v>
      </c>
      <c r="I201" s="56"/>
      <c r="J201" s="1177"/>
      <c r="K201" s="1177" t="str">
        <f t="shared" si="12"/>
        <v>1</v>
      </c>
    </row>
    <row r="202" spans="1:11" ht="26">
      <c r="A202" s="32">
        <f>IF(H202&gt;0,SUBTOTAL(3,$H$199:H202),"")</f>
        <v>4</v>
      </c>
      <c r="B202" s="32" t="s">
        <v>140</v>
      </c>
      <c r="C202" s="19" t="s">
        <v>128</v>
      </c>
      <c r="D202" s="56" t="s">
        <v>107</v>
      </c>
      <c r="E202" s="32">
        <v>12.5</v>
      </c>
      <c r="F202" s="74" t="s">
        <v>118</v>
      </c>
      <c r="G202" s="44">
        <v>18000</v>
      </c>
      <c r="H202" s="44">
        <v>18000</v>
      </c>
      <c r="I202" s="56"/>
      <c r="J202" s="1177" t="str">
        <f t="shared" ref="J202:J212" si="13">IF(H202&gt;15000,"1","0")</f>
        <v>1</v>
      </c>
      <c r="K202" s="1177" t="str">
        <f t="shared" si="12"/>
        <v>1</v>
      </c>
    </row>
    <row r="203" spans="1:11" ht="39">
      <c r="A203" s="32">
        <f>IF(H203&gt;0,SUBTOTAL(3,$H$199:H203),"")</f>
        <v>5</v>
      </c>
      <c r="B203" s="32"/>
      <c r="C203" s="19" t="s">
        <v>413</v>
      </c>
      <c r="D203" s="56" t="s">
        <v>114</v>
      </c>
      <c r="E203" s="32">
        <v>17</v>
      </c>
      <c r="F203" s="74" t="s">
        <v>118</v>
      </c>
      <c r="G203" s="44">
        <v>18719</v>
      </c>
      <c r="H203" s="44">
        <f>18719-205</f>
        <v>18514</v>
      </c>
      <c r="I203" s="56"/>
      <c r="J203" s="1177" t="str">
        <f t="shared" si="13"/>
        <v>1</v>
      </c>
      <c r="K203" s="1177" t="str">
        <f t="shared" si="12"/>
        <v>1</v>
      </c>
    </row>
    <row r="204" spans="1:11" ht="26">
      <c r="A204" s="32">
        <f>IF(H204&gt;0,SUBTOTAL(3,$H$199:H204),"")</f>
        <v>6</v>
      </c>
      <c r="B204" s="32" t="s">
        <v>138</v>
      </c>
      <c r="C204" s="19" t="s">
        <v>129</v>
      </c>
      <c r="D204" s="56" t="s">
        <v>113</v>
      </c>
      <c r="E204" s="32">
        <v>15</v>
      </c>
      <c r="F204" s="74" t="s">
        <v>118</v>
      </c>
      <c r="G204" s="44">
        <v>3000</v>
      </c>
      <c r="H204" s="44">
        <v>3000</v>
      </c>
      <c r="I204" s="56"/>
      <c r="J204" s="1177"/>
      <c r="K204" s="1177" t="str">
        <f t="shared" si="12"/>
        <v>0</v>
      </c>
    </row>
    <row r="205" spans="1:11" ht="26">
      <c r="A205" s="32">
        <f>IF(H205&gt;0,SUBTOTAL(3,$H$199:H205),"")</f>
        <v>7</v>
      </c>
      <c r="B205" s="32" t="s">
        <v>138</v>
      </c>
      <c r="C205" s="19" t="s">
        <v>130</v>
      </c>
      <c r="D205" s="56" t="s">
        <v>123</v>
      </c>
      <c r="E205" s="32">
        <v>8</v>
      </c>
      <c r="F205" s="74" t="s">
        <v>118</v>
      </c>
      <c r="G205" s="44">
        <v>2000</v>
      </c>
      <c r="H205" s="44">
        <v>2000</v>
      </c>
      <c r="I205" s="56"/>
      <c r="J205" s="1177"/>
      <c r="K205" s="1177" t="str">
        <f t="shared" si="12"/>
        <v>0</v>
      </c>
    </row>
    <row r="206" spans="1:11" ht="18" customHeight="1">
      <c r="A206" s="32">
        <f>IF(H206&gt;0,SUBTOTAL(3,$H$199:H206),"")</f>
        <v>8</v>
      </c>
      <c r="B206" s="32" t="s">
        <v>138</v>
      </c>
      <c r="C206" s="31" t="s">
        <v>131</v>
      </c>
      <c r="D206" s="56" t="s">
        <v>107</v>
      </c>
      <c r="E206" s="52">
        <v>10</v>
      </c>
      <c r="F206" s="74" t="s">
        <v>118</v>
      </c>
      <c r="G206" s="44">
        <v>3000</v>
      </c>
      <c r="H206" s="44">
        <v>3000</v>
      </c>
      <c r="I206" s="56"/>
      <c r="J206" s="1177"/>
      <c r="K206" s="1177" t="str">
        <f t="shared" si="12"/>
        <v>0</v>
      </c>
    </row>
    <row r="207" spans="1:11" ht="18" customHeight="1">
      <c r="A207" s="32">
        <f>IF(H207&gt;0,SUBTOTAL(3,$H$199:H207),"")</f>
        <v>9</v>
      </c>
      <c r="B207" s="32" t="s">
        <v>138</v>
      </c>
      <c r="C207" s="31" t="s">
        <v>132</v>
      </c>
      <c r="D207" s="56" t="s">
        <v>111</v>
      </c>
      <c r="E207" s="760">
        <v>12</v>
      </c>
      <c r="F207" s="74" t="s">
        <v>118</v>
      </c>
      <c r="G207" s="44">
        <v>3000</v>
      </c>
      <c r="H207" s="44">
        <v>3000</v>
      </c>
      <c r="I207" s="56"/>
      <c r="J207" s="1177"/>
      <c r="K207" s="1177" t="str">
        <f t="shared" si="12"/>
        <v>0</v>
      </c>
    </row>
    <row r="208" spans="1:11" ht="26">
      <c r="A208" s="32">
        <f>IF(H208&gt;0,SUBTOTAL(3,$H$199:H208),"")</f>
        <v>10</v>
      </c>
      <c r="B208" s="32" t="s">
        <v>308</v>
      </c>
      <c r="C208" s="31" t="s">
        <v>1486</v>
      </c>
      <c r="D208" s="56" t="s">
        <v>114</v>
      </c>
      <c r="E208" s="760">
        <v>40</v>
      </c>
      <c r="F208" s="74" t="s">
        <v>118</v>
      </c>
      <c r="G208" s="44">
        <v>1000</v>
      </c>
      <c r="H208" s="44">
        <v>1000</v>
      </c>
      <c r="I208" s="56"/>
      <c r="J208" s="1177"/>
      <c r="K208" s="1177" t="str">
        <f t="shared" si="12"/>
        <v>0</v>
      </c>
    </row>
    <row r="209" spans="1:14" ht="18" customHeight="1">
      <c r="A209" s="32">
        <f>IF(H209&gt;0,SUBTOTAL(3,$H$199:H209),"")</f>
        <v>11</v>
      </c>
      <c r="B209" s="32" t="s">
        <v>160</v>
      </c>
      <c r="C209" s="31" t="s">
        <v>1469</v>
      </c>
      <c r="D209" s="56" t="s">
        <v>123</v>
      </c>
      <c r="E209" s="28">
        <v>1</v>
      </c>
      <c r="F209" s="74" t="s">
        <v>118</v>
      </c>
      <c r="G209" s="552">
        <v>3000</v>
      </c>
      <c r="H209" s="552">
        <v>3000</v>
      </c>
      <c r="I209" s="56"/>
      <c r="J209" s="1177"/>
      <c r="K209" s="1177" t="str">
        <f t="shared" si="12"/>
        <v>0</v>
      </c>
    </row>
    <row r="210" spans="1:14">
      <c r="A210" s="32">
        <f>IF(H210&gt;0,SUBTOTAL(3,$H$199:H210),"")</f>
        <v>12</v>
      </c>
      <c r="B210" s="32" t="s">
        <v>1471</v>
      </c>
      <c r="C210" s="19" t="s">
        <v>141</v>
      </c>
      <c r="D210" s="56" t="s">
        <v>123</v>
      </c>
      <c r="E210" s="759">
        <v>3</v>
      </c>
      <c r="F210" s="74" t="s">
        <v>118</v>
      </c>
      <c r="G210" s="44">
        <v>4800</v>
      </c>
      <c r="H210" s="44">
        <v>4800</v>
      </c>
      <c r="I210" s="56"/>
      <c r="J210" s="1177"/>
      <c r="K210" s="1177" t="str">
        <f t="shared" si="12"/>
        <v>0</v>
      </c>
    </row>
    <row r="211" spans="1:14" ht="39">
      <c r="A211" s="32">
        <f>IF(H211&gt;0,SUBTOTAL(3,$H$199:H211),"")</f>
        <v>13</v>
      </c>
      <c r="B211" s="32" t="s">
        <v>1471</v>
      </c>
      <c r="C211" s="19" t="s">
        <v>142</v>
      </c>
      <c r="D211" s="56" t="s">
        <v>110</v>
      </c>
      <c r="E211" s="759">
        <v>9</v>
      </c>
      <c r="F211" s="74" t="s">
        <v>118</v>
      </c>
      <c r="G211" s="44">
        <f>+H211</f>
        <v>14400</v>
      </c>
      <c r="H211" s="44">
        <v>14400</v>
      </c>
      <c r="I211" s="56"/>
      <c r="J211" s="1177"/>
      <c r="K211" s="1177" t="str">
        <f t="shared" si="12"/>
        <v>1</v>
      </c>
    </row>
    <row r="212" spans="1:14" ht="26">
      <c r="A212" s="32">
        <f>IF(H212&gt;0,SUBTOTAL(3,$H$199:H212),"")</f>
        <v>14</v>
      </c>
      <c r="B212" s="32" t="s">
        <v>1471</v>
      </c>
      <c r="C212" s="19" t="s">
        <v>143</v>
      </c>
      <c r="D212" s="56" t="s">
        <v>110</v>
      </c>
      <c r="E212" s="759">
        <v>33</v>
      </c>
      <c r="F212" s="74" t="s">
        <v>118</v>
      </c>
      <c r="G212" s="44">
        <f>+H212</f>
        <v>50371</v>
      </c>
      <c r="H212" s="44">
        <f>52800-2429</f>
        <v>50371</v>
      </c>
      <c r="I212" s="56"/>
      <c r="J212" s="1177" t="str">
        <f t="shared" si="13"/>
        <v>1</v>
      </c>
      <c r="K212" s="1177" t="str">
        <f t="shared" si="12"/>
        <v>1</v>
      </c>
    </row>
    <row r="213" spans="1:14" ht="18" customHeight="1">
      <c r="A213" s="14" t="s">
        <v>81</v>
      </c>
      <c r="B213" s="14"/>
      <c r="C213" s="46" t="s">
        <v>11</v>
      </c>
      <c r="D213" s="36"/>
      <c r="E213" s="36"/>
      <c r="F213" s="23"/>
      <c r="G213" s="23">
        <f>SUM(G214:G249)</f>
        <v>220351</v>
      </c>
      <c r="H213" s="23">
        <f>SUM(H214:H249)</f>
        <v>198411</v>
      </c>
      <c r="I213" s="36"/>
      <c r="M213" s="164">
        <v>198411</v>
      </c>
      <c r="N213" s="75">
        <f>+H213-M213</f>
        <v>0</v>
      </c>
    </row>
    <row r="214" spans="1:14" ht="26">
      <c r="A214" s="32">
        <f>IF(H214&gt;0,SUBTOTAL(3,$H$214:H214),"")</f>
        <v>1</v>
      </c>
      <c r="B214" s="32" t="s">
        <v>140</v>
      </c>
      <c r="C214" s="31" t="s">
        <v>474</v>
      </c>
      <c r="D214" s="56" t="s">
        <v>689</v>
      </c>
      <c r="E214" s="53">
        <v>3</v>
      </c>
      <c r="F214" s="74" t="s">
        <v>118</v>
      </c>
      <c r="G214" s="44">
        <v>2400</v>
      </c>
      <c r="H214" s="44">
        <v>2400</v>
      </c>
      <c r="I214" s="56"/>
      <c r="J214" s="1177"/>
      <c r="K214" s="1177" t="str">
        <f t="shared" ref="K214:K245" si="14">IF(H214&gt;10000,"1","0")</f>
        <v>0</v>
      </c>
    </row>
    <row r="215" spans="1:14" ht="67.5" customHeight="1">
      <c r="A215" s="32">
        <f>IF(H215&gt;0,SUBTOTAL(3,$H$214:H215),"")</f>
        <v>2</v>
      </c>
      <c r="B215" s="32" t="s">
        <v>140</v>
      </c>
      <c r="C215" s="31" t="s">
        <v>2063</v>
      </c>
      <c r="D215" s="56" t="s">
        <v>689</v>
      </c>
      <c r="E215" s="53">
        <v>8.24</v>
      </c>
      <c r="F215" s="74" t="s">
        <v>118</v>
      </c>
      <c r="G215" s="44">
        <v>20500</v>
      </c>
      <c r="H215" s="44">
        <v>2900</v>
      </c>
      <c r="I215" s="703" t="s">
        <v>2064</v>
      </c>
      <c r="J215" s="1177"/>
      <c r="K215" s="1177" t="str">
        <f t="shared" si="14"/>
        <v>0</v>
      </c>
    </row>
    <row r="216" spans="1:14" ht="26">
      <c r="A216" s="32">
        <f>IF(H216&gt;0,SUBTOTAL(3,$H$214:H216),"")</f>
        <v>3</v>
      </c>
      <c r="B216" s="32" t="s">
        <v>138</v>
      </c>
      <c r="C216" s="31" t="s">
        <v>475</v>
      </c>
      <c r="D216" s="56" t="s">
        <v>689</v>
      </c>
      <c r="E216" s="53">
        <v>35</v>
      </c>
      <c r="F216" s="74" t="s">
        <v>118</v>
      </c>
      <c r="G216" s="44">
        <f>+H216</f>
        <v>5500</v>
      </c>
      <c r="H216" s="44">
        <v>5500</v>
      </c>
      <c r="I216" s="56"/>
      <c r="J216" s="1177"/>
      <c r="K216" s="1177" t="str">
        <f t="shared" si="14"/>
        <v>0</v>
      </c>
    </row>
    <row r="217" spans="1:14" ht="18" customHeight="1">
      <c r="A217" s="32">
        <f>IF(H217&gt;0,SUBTOTAL(3,$H$214:H217),"")</f>
        <v>4</v>
      </c>
      <c r="B217" s="32" t="s">
        <v>140</v>
      </c>
      <c r="C217" s="31" t="s">
        <v>476</v>
      </c>
      <c r="D217" s="56" t="s">
        <v>690</v>
      </c>
      <c r="E217" s="53">
        <v>5</v>
      </c>
      <c r="F217" s="74" t="s">
        <v>118</v>
      </c>
      <c r="G217" s="44">
        <f t="shared" ref="G217:G245" si="15">+H217</f>
        <v>3500</v>
      </c>
      <c r="H217" s="44">
        <v>3500</v>
      </c>
      <c r="I217" s="56"/>
      <c r="J217" s="1177"/>
      <c r="K217" s="1177" t="str">
        <f t="shared" si="14"/>
        <v>0</v>
      </c>
    </row>
    <row r="218" spans="1:14" ht="26">
      <c r="A218" s="32">
        <f>IF(H218&gt;0,SUBTOTAL(3,$H$214:H218),"")</f>
        <v>5</v>
      </c>
      <c r="B218" s="32" t="s">
        <v>140</v>
      </c>
      <c r="C218" s="31" t="s">
        <v>477</v>
      </c>
      <c r="D218" s="56" t="s">
        <v>690</v>
      </c>
      <c r="E218" s="53">
        <v>2.5</v>
      </c>
      <c r="F218" s="74" t="s">
        <v>118</v>
      </c>
      <c r="G218" s="44">
        <f t="shared" si="15"/>
        <v>2000</v>
      </c>
      <c r="H218" s="44">
        <v>2000</v>
      </c>
      <c r="I218" s="56"/>
      <c r="J218" s="1177"/>
      <c r="K218" s="1177" t="str">
        <f t="shared" si="14"/>
        <v>0</v>
      </c>
    </row>
    <row r="219" spans="1:14" ht="18" customHeight="1">
      <c r="A219" s="32">
        <f>IF(H219&gt;0,SUBTOTAL(3,$H$214:H219),"")</f>
        <v>6</v>
      </c>
      <c r="B219" s="32" t="s">
        <v>138</v>
      </c>
      <c r="C219" s="31" t="s">
        <v>478</v>
      </c>
      <c r="D219" s="56" t="s">
        <v>690</v>
      </c>
      <c r="E219" s="53">
        <v>14</v>
      </c>
      <c r="F219" s="74" t="s">
        <v>118</v>
      </c>
      <c r="G219" s="44">
        <f t="shared" si="15"/>
        <v>5711</v>
      </c>
      <c r="H219" s="44">
        <v>5711</v>
      </c>
      <c r="I219" s="56"/>
      <c r="J219" s="1177"/>
      <c r="K219" s="1177" t="str">
        <f t="shared" si="14"/>
        <v>0</v>
      </c>
    </row>
    <row r="220" spans="1:14" ht="26">
      <c r="A220" s="32">
        <f>IF(H220&gt;0,SUBTOTAL(3,$H$214:H220),"")</f>
        <v>7</v>
      </c>
      <c r="B220" s="32" t="s">
        <v>140</v>
      </c>
      <c r="C220" s="31" t="s">
        <v>479</v>
      </c>
      <c r="D220" s="56" t="s">
        <v>691</v>
      </c>
      <c r="E220" s="53">
        <v>2</v>
      </c>
      <c r="F220" s="74" t="s">
        <v>118</v>
      </c>
      <c r="G220" s="44">
        <f t="shared" si="15"/>
        <v>1300</v>
      </c>
      <c r="H220" s="44">
        <v>1300</v>
      </c>
      <c r="I220" s="56"/>
      <c r="J220" s="1177"/>
      <c r="K220" s="1177" t="str">
        <f t="shared" si="14"/>
        <v>0</v>
      </c>
    </row>
    <row r="221" spans="1:14" ht="18" customHeight="1">
      <c r="A221" s="32">
        <f>IF(H221&gt;0,SUBTOTAL(3,$H$214:H221),"")</f>
        <v>8</v>
      </c>
      <c r="B221" s="32" t="s">
        <v>138</v>
      </c>
      <c r="C221" s="31" t="s">
        <v>480</v>
      </c>
      <c r="D221" s="56" t="s">
        <v>691</v>
      </c>
      <c r="E221" s="53">
        <v>15</v>
      </c>
      <c r="F221" s="74" t="s">
        <v>118</v>
      </c>
      <c r="G221" s="44">
        <f t="shared" si="15"/>
        <v>3400</v>
      </c>
      <c r="H221" s="44">
        <v>3400</v>
      </c>
      <c r="I221" s="56"/>
      <c r="J221" s="1177"/>
      <c r="K221" s="1177" t="str">
        <f t="shared" si="14"/>
        <v>0</v>
      </c>
    </row>
    <row r="222" spans="1:14" ht="26">
      <c r="A222" s="32">
        <f>IF(H222&gt;0,SUBTOTAL(3,$H$214:H222),"")</f>
        <v>9</v>
      </c>
      <c r="B222" s="32" t="s">
        <v>138</v>
      </c>
      <c r="C222" s="31" t="s">
        <v>481</v>
      </c>
      <c r="D222" s="56" t="s">
        <v>691</v>
      </c>
      <c r="E222" s="53">
        <v>35</v>
      </c>
      <c r="F222" s="74" t="s">
        <v>118</v>
      </c>
      <c r="G222" s="44">
        <f t="shared" si="15"/>
        <v>5300</v>
      </c>
      <c r="H222" s="44">
        <v>5300</v>
      </c>
      <c r="I222" s="56"/>
      <c r="J222" s="1177"/>
      <c r="K222" s="1177" t="str">
        <f t="shared" si="14"/>
        <v>0</v>
      </c>
    </row>
    <row r="223" spans="1:14" ht="26">
      <c r="A223" s="32">
        <f>IF(H223&gt;0,SUBTOTAL(3,$H$214:H223),"")</f>
        <v>10</v>
      </c>
      <c r="B223" s="32" t="s">
        <v>140</v>
      </c>
      <c r="C223" s="31" t="s">
        <v>482</v>
      </c>
      <c r="D223" s="56" t="s">
        <v>692</v>
      </c>
      <c r="E223" s="53">
        <v>5</v>
      </c>
      <c r="F223" s="74" t="s">
        <v>118</v>
      </c>
      <c r="G223" s="44">
        <f t="shared" si="15"/>
        <v>4000</v>
      </c>
      <c r="H223" s="44">
        <v>4000</v>
      </c>
      <c r="I223" s="56"/>
      <c r="J223" s="1177"/>
      <c r="K223" s="1177" t="str">
        <f t="shared" si="14"/>
        <v>0</v>
      </c>
    </row>
    <row r="224" spans="1:14" ht="26">
      <c r="A224" s="32">
        <f>IF(H224&gt;0,SUBTOTAL(3,$H$214:H224),"")</f>
        <v>11</v>
      </c>
      <c r="B224" s="32" t="s">
        <v>138</v>
      </c>
      <c r="C224" s="31" t="s">
        <v>483</v>
      </c>
      <c r="D224" s="56" t="s">
        <v>692</v>
      </c>
      <c r="E224" s="53">
        <v>34</v>
      </c>
      <c r="F224" s="74" t="s">
        <v>118</v>
      </c>
      <c r="G224" s="44">
        <f t="shared" si="15"/>
        <v>5100</v>
      </c>
      <c r="H224" s="44">
        <v>5100</v>
      </c>
      <c r="I224" s="56"/>
      <c r="J224" s="1177"/>
      <c r="K224" s="1177" t="str">
        <f t="shared" si="14"/>
        <v>0</v>
      </c>
    </row>
    <row r="225" spans="1:11" ht="26">
      <c r="A225" s="32">
        <f>IF(H225&gt;0,SUBTOTAL(3,$H$214:H225),"")</f>
        <v>12</v>
      </c>
      <c r="B225" s="32" t="s">
        <v>140</v>
      </c>
      <c r="C225" s="31" t="s">
        <v>484</v>
      </c>
      <c r="D225" s="56" t="s">
        <v>693</v>
      </c>
      <c r="E225" s="53">
        <v>1.6</v>
      </c>
      <c r="F225" s="74" t="s">
        <v>118</v>
      </c>
      <c r="G225" s="44">
        <f t="shared" si="15"/>
        <v>1100</v>
      </c>
      <c r="H225" s="44">
        <v>1100</v>
      </c>
      <c r="I225" s="56"/>
      <c r="J225" s="1177"/>
      <c r="K225" s="1177" t="str">
        <f t="shared" si="14"/>
        <v>0</v>
      </c>
    </row>
    <row r="226" spans="1:11" ht="26">
      <c r="A226" s="32">
        <f>IF(H226&gt;0,SUBTOTAL(3,$H$214:H226),"")</f>
        <v>13</v>
      </c>
      <c r="B226" s="32" t="s">
        <v>140</v>
      </c>
      <c r="C226" s="31" t="s">
        <v>485</v>
      </c>
      <c r="D226" s="56" t="s">
        <v>693</v>
      </c>
      <c r="E226" s="53">
        <v>2.5</v>
      </c>
      <c r="F226" s="74" t="s">
        <v>118</v>
      </c>
      <c r="G226" s="44">
        <f t="shared" si="15"/>
        <v>2000</v>
      </c>
      <c r="H226" s="44">
        <v>2000</v>
      </c>
      <c r="I226" s="56"/>
      <c r="J226" s="1177"/>
      <c r="K226" s="1177" t="str">
        <f t="shared" si="14"/>
        <v>0</v>
      </c>
    </row>
    <row r="227" spans="1:11" ht="26">
      <c r="A227" s="32">
        <f>IF(H227&gt;0,SUBTOTAL(3,$H$214:H227),"")</f>
        <v>14</v>
      </c>
      <c r="B227" s="32" t="s">
        <v>138</v>
      </c>
      <c r="C227" s="31" t="s">
        <v>486</v>
      </c>
      <c r="D227" s="56" t="s">
        <v>693</v>
      </c>
      <c r="E227" s="53">
        <v>29</v>
      </c>
      <c r="F227" s="74" t="s">
        <v>118</v>
      </c>
      <c r="G227" s="44">
        <f t="shared" si="15"/>
        <v>5800</v>
      </c>
      <c r="H227" s="44">
        <v>5800</v>
      </c>
      <c r="I227" s="56"/>
      <c r="J227" s="1177"/>
      <c r="K227" s="1177" t="str">
        <f t="shared" si="14"/>
        <v>0</v>
      </c>
    </row>
    <row r="228" spans="1:11" ht="39">
      <c r="A228" s="32">
        <f>IF(H228&gt;0,SUBTOTAL(3,$H$214:H228),"")</f>
        <v>15</v>
      </c>
      <c r="B228" s="32" t="s">
        <v>140</v>
      </c>
      <c r="C228" s="31" t="s">
        <v>487</v>
      </c>
      <c r="D228" s="56" t="s">
        <v>587</v>
      </c>
      <c r="E228" s="53">
        <v>3.5</v>
      </c>
      <c r="F228" s="74" t="s">
        <v>118</v>
      </c>
      <c r="G228" s="44">
        <f t="shared" si="15"/>
        <v>2800</v>
      </c>
      <c r="H228" s="44">
        <v>2800</v>
      </c>
      <c r="I228" s="56"/>
      <c r="J228" s="1177"/>
      <c r="K228" s="1177" t="str">
        <f t="shared" si="14"/>
        <v>0</v>
      </c>
    </row>
    <row r="229" spans="1:11" ht="26">
      <c r="A229" s="32">
        <f>IF(H229&gt;0,SUBTOTAL(3,$H$214:H229),"")</f>
        <v>16</v>
      </c>
      <c r="B229" s="32" t="s">
        <v>138</v>
      </c>
      <c r="C229" s="31" t="s">
        <v>488</v>
      </c>
      <c r="D229" s="56" t="s">
        <v>587</v>
      </c>
      <c r="E229" s="53">
        <v>67.099999999999994</v>
      </c>
      <c r="F229" s="74" t="s">
        <v>118</v>
      </c>
      <c r="G229" s="44">
        <f t="shared" si="15"/>
        <v>6800</v>
      </c>
      <c r="H229" s="44">
        <v>6800</v>
      </c>
      <c r="I229" s="56"/>
      <c r="J229" s="1177"/>
      <c r="K229" s="1177" t="str">
        <f t="shared" si="14"/>
        <v>0</v>
      </c>
    </row>
    <row r="230" spans="1:11" ht="18" customHeight="1">
      <c r="A230" s="32">
        <f>IF(H230&gt;0,SUBTOTAL(3,$H$214:H230),"")</f>
        <v>17</v>
      </c>
      <c r="B230" s="32" t="s">
        <v>140</v>
      </c>
      <c r="C230" s="31" t="s">
        <v>489</v>
      </c>
      <c r="D230" s="56" t="s">
        <v>615</v>
      </c>
      <c r="E230" s="53">
        <v>17.5</v>
      </c>
      <c r="F230" s="74" t="s">
        <v>118</v>
      </c>
      <c r="G230" s="44">
        <f t="shared" si="15"/>
        <v>5300</v>
      </c>
      <c r="H230" s="44">
        <v>5300</v>
      </c>
      <c r="I230" s="56"/>
      <c r="J230" s="1177"/>
      <c r="K230" s="1177" t="str">
        <f t="shared" si="14"/>
        <v>0</v>
      </c>
    </row>
    <row r="231" spans="1:11" ht="18" customHeight="1">
      <c r="A231" s="32">
        <f>IF(H231&gt;0,SUBTOTAL(3,$H$214:H231),"")</f>
        <v>18</v>
      </c>
      <c r="B231" s="32" t="s">
        <v>138</v>
      </c>
      <c r="C231" s="31" t="s">
        <v>3587</v>
      </c>
      <c r="D231" s="56" t="s">
        <v>615</v>
      </c>
      <c r="E231" s="53">
        <v>15</v>
      </c>
      <c r="F231" s="74" t="s">
        <v>118</v>
      </c>
      <c r="G231" s="44">
        <f t="shared" si="15"/>
        <v>4200</v>
      </c>
      <c r="H231" s="44">
        <v>4200</v>
      </c>
      <c r="I231" s="56"/>
      <c r="J231" s="1177"/>
      <c r="K231" s="1177" t="str">
        <f t="shared" si="14"/>
        <v>0</v>
      </c>
    </row>
    <row r="232" spans="1:11" ht="26">
      <c r="A232" s="32">
        <f>IF(H232&gt;0,SUBTOTAL(3,$H$214:H232),"")</f>
        <v>19</v>
      </c>
      <c r="B232" s="32" t="s">
        <v>140</v>
      </c>
      <c r="C232" s="31" t="s">
        <v>490</v>
      </c>
      <c r="D232" s="56" t="s">
        <v>569</v>
      </c>
      <c r="E232" s="53">
        <v>5.5</v>
      </c>
      <c r="F232" s="74" t="s">
        <v>118</v>
      </c>
      <c r="G232" s="44">
        <f t="shared" si="15"/>
        <v>3600</v>
      </c>
      <c r="H232" s="44">
        <v>3600</v>
      </c>
      <c r="I232" s="56"/>
      <c r="J232" s="1177"/>
      <c r="K232" s="1177" t="str">
        <f t="shared" si="14"/>
        <v>0</v>
      </c>
    </row>
    <row r="233" spans="1:11" ht="26">
      <c r="A233" s="32">
        <f>IF(H233&gt;0,SUBTOTAL(3,$H$214:H233),"")</f>
        <v>20</v>
      </c>
      <c r="B233" s="32" t="s">
        <v>138</v>
      </c>
      <c r="C233" s="31" t="s">
        <v>491</v>
      </c>
      <c r="D233" s="56" t="s">
        <v>569</v>
      </c>
      <c r="E233" s="53">
        <v>35</v>
      </c>
      <c r="F233" s="74" t="s">
        <v>118</v>
      </c>
      <c r="G233" s="44">
        <f t="shared" si="15"/>
        <v>5300</v>
      </c>
      <c r="H233" s="44">
        <v>5300</v>
      </c>
      <c r="I233" s="56"/>
      <c r="J233" s="1177"/>
      <c r="K233" s="1177" t="str">
        <f t="shared" si="14"/>
        <v>0</v>
      </c>
    </row>
    <row r="234" spans="1:11" ht="26">
      <c r="A234" s="32">
        <f>IF(H234&gt;0,SUBTOTAL(3,$H$214:H234),"")</f>
        <v>21</v>
      </c>
      <c r="B234" s="32" t="s">
        <v>140</v>
      </c>
      <c r="C234" s="31" t="s">
        <v>492</v>
      </c>
      <c r="D234" s="56" t="s">
        <v>627</v>
      </c>
      <c r="E234" s="53">
        <v>3</v>
      </c>
      <c r="F234" s="74" t="s">
        <v>118</v>
      </c>
      <c r="G234" s="44">
        <f t="shared" si="15"/>
        <v>2000</v>
      </c>
      <c r="H234" s="44">
        <v>2000</v>
      </c>
      <c r="I234" s="56"/>
      <c r="J234" s="1177"/>
      <c r="K234" s="1177" t="str">
        <f t="shared" si="14"/>
        <v>0</v>
      </c>
    </row>
    <row r="235" spans="1:11" ht="26">
      <c r="A235" s="32">
        <f>IF(H235&gt;0,SUBTOTAL(3,$H$214:H235),"")</f>
        <v>22</v>
      </c>
      <c r="B235" s="32" t="s">
        <v>140</v>
      </c>
      <c r="C235" s="31" t="s">
        <v>493</v>
      </c>
      <c r="D235" s="56" t="s">
        <v>627</v>
      </c>
      <c r="E235" s="53">
        <v>2</v>
      </c>
      <c r="F235" s="74" t="s">
        <v>118</v>
      </c>
      <c r="G235" s="44">
        <f t="shared" si="15"/>
        <v>1600</v>
      </c>
      <c r="H235" s="44">
        <v>1600</v>
      </c>
      <c r="I235" s="56"/>
      <c r="J235" s="1177"/>
      <c r="K235" s="1177" t="str">
        <f t="shared" si="14"/>
        <v>0</v>
      </c>
    </row>
    <row r="236" spans="1:11" ht="26">
      <c r="A236" s="32">
        <f>IF(H236&gt;0,SUBTOTAL(3,$H$214:H236),"")</f>
        <v>23</v>
      </c>
      <c r="B236" s="32" t="s">
        <v>138</v>
      </c>
      <c r="C236" s="31" t="s">
        <v>494</v>
      </c>
      <c r="D236" s="56" t="s">
        <v>627</v>
      </c>
      <c r="E236" s="53">
        <v>34.5</v>
      </c>
      <c r="F236" s="74" t="s">
        <v>118</v>
      </c>
      <c r="G236" s="44">
        <f t="shared" si="15"/>
        <v>5200</v>
      </c>
      <c r="H236" s="44">
        <v>5200</v>
      </c>
      <c r="I236" s="56"/>
      <c r="J236" s="1177"/>
      <c r="K236" s="1177" t="str">
        <f t="shared" si="14"/>
        <v>0</v>
      </c>
    </row>
    <row r="237" spans="1:11" ht="21">
      <c r="A237" s="32">
        <f>IF(H237&gt;0,SUBTOTAL(3,$H$214:H237),"")</f>
        <v>24</v>
      </c>
      <c r="B237" s="32" t="s">
        <v>140</v>
      </c>
      <c r="C237" s="31" t="s">
        <v>495</v>
      </c>
      <c r="D237" s="56" t="s">
        <v>568</v>
      </c>
      <c r="E237" s="53">
        <v>5.56</v>
      </c>
      <c r="F237" s="74" t="s">
        <v>118</v>
      </c>
      <c r="G237" s="44">
        <v>8340</v>
      </c>
      <c r="H237" s="44">
        <v>4000</v>
      </c>
      <c r="I237" s="703" t="s">
        <v>2065</v>
      </c>
      <c r="J237" s="1177"/>
      <c r="K237" s="1177" t="str">
        <f t="shared" si="14"/>
        <v>0</v>
      </c>
    </row>
    <row r="238" spans="1:11" ht="26">
      <c r="A238" s="32">
        <f>IF(H238&gt;0,SUBTOTAL(3,$H$214:H238),"")</f>
        <v>25</v>
      </c>
      <c r="B238" s="32" t="s">
        <v>140</v>
      </c>
      <c r="C238" s="31" t="s">
        <v>496</v>
      </c>
      <c r="D238" s="56" t="s">
        <v>568</v>
      </c>
      <c r="E238" s="53">
        <v>3.4</v>
      </c>
      <c r="F238" s="74" t="s">
        <v>118</v>
      </c>
      <c r="G238" s="44">
        <f t="shared" si="15"/>
        <v>2400</v>
      </c>
      <c r="H238" s="44">
        <v>2400</v>
      </c>
      <c r="I238" s="56"/>
      <c r="J238" s="1177"/>
      <c r="K238" s="1177" t="str">
        <f t="shared" si="14"/>
        <v>0</v>
      </c>
    </row>
    <row r="239" spans="1:11" ht="26">
      <c r="A239" s="32">
        <f>IF(H239&gt;0,SUBTOTAL(3,$H$214:H239),"")</f>
        <v>26</v>
      </c>
      <c r="B239" s="32" t="s">
        <v>140</v>
      </c>
      <c r="C239" s="31" t="s">
        <v>662</v>
      </c>
      <c r="D239" s="56" t="s">
        <v>570</v>
      </c>
      <c r="E239" s="53">
        <v>1.5</v>
      </c>
      <c r="F239" s="74" t="s">
        <v>118</v>
      </c>
      <c r="G239" s="44">
        <f t="shared" si="15"/>
        <v>1000</v>
      </c>
      <c r="H239" s="44">
        <v>1000</v>
      </c>
      <c r="I239" s="56"/>
      <c r="J239" s="1177"/>
      <c r="K239" s="1177" t="str">
        <f t="shared" si="14"/>
        <v>0</v>
      </c>
    </row>
    <row r="240" spans="1:11" ht="39">
      <c r="A240" s="32">
        <f>IF(H240&gt;0,SUBTOTAL(3,$H$214:H240),"")</f>
        <v>27</v>
      </c>
      <c r="B240" s="32" t="s">
        <v>140</v>
      </c>
      <c r="C240" s="31" t="s">
        <v>497</v>
      </c>
      <c r="D240" s="56" t="s">
        <v>570</v>
      </c>
      <c r="E240" s="53">
        <v>3</v>
      </c>
      <c r="F240" s="74" t="s">
        <v>118</v>
      </c>
      <c r="G240" s="44">
        <f t="shared" si="15"/>
        <v>2400</v>
      </c>
      <c r="H240" s="44">
        <v>2400</v>
      </c>
      <c r="I240" s="56"/>
      <c r="J240" s="1177"/>
      <c r="K240" s="1177" t="str">
        <f t="shared" si="14"/>
        <v>0</v>
      </c>
    </row>
    <row r="241" spans="1:12" ht="26">
      <c r="A241" s="32">
        <f>IF(H241&gt;0,SUBTOTAL(3,$H$214:H241),"")</f>
        <v>28</v>
      </c>
      <c r="B241" s="32" t="s">
        <v>138</v>
      </c>
      <c r="C241" s="31" t="s">
        <v>498</v>
      </c>
      <c r="D241" s="56" t="s">
        <v>570</v>
      </c>
      <c r="E241" s="53">
        <v>40.200000000000003</v>
      </c>
      <c r="F241" s="74" t="s">
        <v>118</v>
      </c>
      <c r="G241" s="44">
        <f t="shared" si="15"/>
        <v>6100</v>
      </c>
      <c r="H241" s="44">
        <v>6100</v>
      </c>
      <c r="I241" s="56"/>
      <c r="J241" s="1177"/>
      <c r="K241" s="1177" t="str">
        <f t="shared" si="14"/>
        <v>0</v>
      </c>
    </row>
    <row r="242" spans="1:12" ht="26">
      <c r="A242" s="32">
        <f>IF(H242&gt;0,SUBTOTAL(3,$H$214:H242),"")</f>
        <v>29</v>
      </c>
      <c r="B242" s="32" t="s">
        <v>140</v>
      </c>
      <c r="C242" s="31" t="s">
        <v>499</v>
      </c>
      <c r="D242" s="56" t="s">
        <v>694</v>
      </c>
      <c r="E242" s="53">
        <v>1</v>
      </c>
      <c r="F242" s="74" t="s">
        <v>118</v>
      </c>
      <c r="G242" s="44">
        <f t="shared" si="15"/>
        <v>700</v>
      </c>
      <c r="H242" s="44">
        <v>700</v>
      </c>
      <c r="I242" s="56"/>
      <c r="J242" s="1177"/>
      <c r="K242" s="1177" t="str">
        <f t="shared" si="14"/>
        <v>0</v>
      </c>
    </row>
    <row r="243" spans="1:12" ht="18" customHeight="1">
      <c r="A243" s="32">
        <f>IF(H243&gt;0,SUBTOTAL(3,$H$214:H243),"")</f>
        <v>30</v>
      </c>
      <c r="B243" s="32" t="s">
        <v>138</v>
      </c>
      <c r="C243" s="31" t="s">
        <v>500</v>
      </c>
      <c r="D243" s="56" t="s">
        <v>694</v>
      </c>
      <c r="E243" s="53">
        <v>7</v>
      </c>
      <c r="F243" s="74" t="s">
        <v>118</v>
      </c>
      <c r="G243" s="44">
        <f t="shared" si="15"/>
        <v>1000</v>
      </c>
      <c r="H243" s="44">
        <v>1000</v>
      </c>
      <c r="I243" s="56"/>
      <c r="J243" s="1177"/>
      <c r="K243" s="1177" t="str">
        <f t="shared" si="14"/>
        <v>0</v>
      </c>
    </row>
    <row r="244" spans="1:12" ht="26">
      <c r="A244" s="32">
        <f>IF(H244&gt;0,SUBTOTAL(3,$H$214:H244),"")</f>
        <v>31</v>
      </c>
      <c r="B244" s="32" t="s">
        <v>308</v>
      </c>
      <c r="C244" s="31" t="s">
        <v>501</v>
      </c>
      <c r="D244" s="56" t="s">
        <v>503</v>
      </c>
      <c r="E244" s="53">
        <v>175</v>
      </c>
      <c r="F244" s="74" t="s">
        <v>118</v>
      </c>
      <c r="G244" s="44">
        <f t="shared" si="15"/>
        <v>1500</v>
      </c>
      <c r="H244" s="44">
        <v>1500</v>
      </c>
      <c r="I244" s="56"/>
      <c r="J244" s="1177"/>
      <c r="K244" s="1177" t="str">
        <f t="shared" si="14"/>
        <v>0</v>
      </c>
    </row>
    <row r="245" spans="1:12" ht="18" customHeight="1">
      <c r="A245" s="32">
        <f>IF(H245&gt;0,SUBTOTAL(3,$H$214:H245),"")</f>
        <v>32</v>
      </c>
      <c r="B245" s="32" t="s">
        <v>160</v>
      </c>
      <c r="C245" s="31" t="s">
        <v>1466</v>
      </c>
      <c r="D245" s="56" t="s">
        <v>690</v>
      </c>
      <c r="E245" s="53">
        <v>1</v>
      </c>
      <c r="F245" s="74" t="s">
        <v>118</v>
      </c>
      <c r="G245" s="44">
        <f t="shared" si="15"/>
        <v>3000</v>
      </c>
      <c r="H245" s="44">
        <v>3000</v>
      </c>
      <c r="I245" s="758"/>
      <c r="J245" s="1177"/>
      <c r="K245" s="1177" t="str">
        <f t="shared" si="14"/>
        <v>0</v>
      </c>
    </row>
    <row r="246" spans="1:12" ht="26">
      <c r="A246" s="32">
        <f>IF(H246&gt;0,SUBTOTAL(3,$H$214:H246),"")</f>
        <v>33</v>
      </c>
      <c r="B246" s="32" t="s">
        <v>1471</v>
      </c>
      <c r="C246" s="1238" t="s">
        <v>2930</v>
      </c>
      <c r="D246" s="1173" t="s">
        <v>587</v>
      </c>
      <c r="E246" s="1239">
        <f>10.6+7</f>
        <v>17.600000000000001</v>
      </c>
      <c r="F246" s="74" t="s">
        <v>118</v>
      </c>
      <c r="G246" s="1181">
        <f>+H246</f>
        <v>26330</v>
      </c>
      <c r="H246" s="1181">
        <v>26330</v>
      </c>
      <c r="I246" s="758"/>
      <c r="J246" s="1177"/>
      <c r="K246" s="1177">
        <f>+E246*1590</f>
        <v>27984.000000000004</v>
      </c>
      <c r="L246" s="8">
        <f>+E246*1490</f>
        <v>26224.000000000004</v>
      </c>
    </row>
    <row r="247" spans="1:12" ht="26">
      <c r="A247" s="32">
        <f>IF(H247&gt;0,SUBTOTAL(3,$H$214:H247),"")</f>
        <v>34</v>
      </c>
      <c r="B247" s="32" t="s">
        <v>1471</v>
      </c>
      <c r="C247" s="1238" t="s">
        <v>2931</v>
      </c>
      <c r="D247" s="1173" t="s">
        <v>693</v>
      </c>
      <c r="E247" s="1239">
        <f>4.8+4.6</f>
        <v>9.3999999999999986</v>
      </c>
      <c r="F247" s="74" t="s">
        <v>118</v>
      </c>
      <c r="G247" s="1181">
        <f t="shared" ref="G247:G249" si="16">+H247</f>
        <v>14000</v>
      </c>
      <c r="H247" s="1181">
        <v>14000</v>
      </c>
      <c r="I247" s="758"/>
      <c r="J247" s="1177"/>
      <c r="K247" s="1177">
        <f t="shared" ref="K247:K249" si="17">+E247*1590</f>
        <v>14945.999999999998</v>
      </c>
      <c r="L247" s="8">
        <f t="shared" ref="L247:L249" si="18">+E247*1490</f>
        <v>14005.999999999998</v>
      </c>
    </row>
    <row r="248" spans="1:12" ht="26">
      <c r="A248" s="32">
        <f>IF(H248&gt;0,SUBTOTAL(3,$H$214:H248),"")</f>
        <v>35</v>
      </c>
      <c r="B248" s="32" t="s">
        <v>1471</v>
      </c>
      <c r="C248" s="1238" t="s">
        <v>2932</v>
      </c>
      <c r="D248" s="1173" t="s">
        <v>691</v>
      </c>
      <c r="E248" s="1239">
        <v>14</v>
      </c>
      <c r="F248" s="74" t="s">
        <v>118</v>
      </c>
      <c r="G248" s="1181">
        <f t="shared" si="16"/>
        <v>20860</v>
      </c>
      <c r="H248" s="1181">
        <v>20860</v>
      </c>
      <c r="I248" s="758"/>
      <c r="J248" s="1177"/>
      <c r="K248" s="1177">
        <f t="shared" si="17"/>
        <v>22260</v>
      </c>
      <c r="L248" s="8">
        <f t="shared" si="18"/>
        <v>20860</v>
      </c>
    </row>
    <row r="249" spans="1:12" ht="26">
      <c r="A249" s="77">
        <f>IF(H249&gt;0,SUBTOTAL(3,$H$214:H249),"")</f>
        <v>36</v>
      </c>
      <c r="B249" s="77" t="s">
        <v>1471</v>
      </c>
      <c r="C249" s="470" t="s">
        <v>2933</v>
      </c>
      <c r="D249" s="60" t="s">
        <v>689</v>
      </c>
      <c r="E249" s="1240">
        <v>19</v>
      </c>
      <c r="F249" s="775" t="s">
        <v>118</v>
      </c>
      <c r="G249" s="45">
        <f t="shared" si="16"/>
        <v>28310</v>
      </c>
      <c r="H249" s="45">
        <v>28310</v>
      </c>
      <c r="I249" s="60"/>
      <c r="J249" s="1177"/>
      <c r="K249" s="1177">
        <f t="shared" si="17"/>
        <v>30210</v>
      </c>
      <c r="L249" s="8">
        <f t="shared" si="18"/>
        <v>28310</v>
      </c>
    </row>
    <row r="250" spans="1:12" ht="18" customHeight="1">
      <c r="A250" s="42"/>
      <c r="B250" s="42"/>
      <c r="C250" s="42"/>
      <c r="D250" s="57"/>
      <c r="E250" s="42"/>
      <c r="F250" s="42"/>
      <c r="G250" s="42"/>
      <c r="H250" s="42"/>
      <c r="I250" s="42"/>
    </row>
    <row r="251" spans="1:12" ht="18" customHeight="1">
      <c r="A251" s="1827" t="s">
        <v>2468</v>
      </c>
      <c r="B251" s="1827"/>
      <c r="C251" s="1827"/>
      <c r="D251" s="1827"/>
      <c r="E251" s="1827"/>
      <c r="F251" s="1827"/>
      <c r="G251" s="1827"/>
      <c r="H251" s="1827"/>
      <c r="I251" s="1827"/>
    </row>
    <row r="252" spans="1:12" ht="18" customHeight="1">
      <c r="A252" s="1818" t="s">
        <v>2469</v>
      </c>
      <c r="B252" s="1818"/>
      <c r="C252" s="1818"/>
      <c r="D252" s="1818"/>
      <c r="E252" s="1818"/>
      <c r="F252" s="1818"/>
      <c r="G252" s="1818"/>
      <c r="H252" s="1818"/>
      <c r="I252" s="1818"/>
    </row>
    <row r="253" spans="1:12" ht="30" customHeight="1">
      <c r="A253" s="1818" t="s">
        <v>2470</v>
      </c>
      <c r="B253" s="1818"/>
      <c r="C253" s="1818"/>
      <c r="D253" s="1818"/>
      <c r="E253" s="1818"/>
      <c r="F253" s="1818"/>
      <c r="G253" s="1818"/>
      <c r="H253" s="1818"/>
      <c r="I253" s="1818"/>
    </row>
    <row r="254" spans="1:12" ht="30" customHeight="1">
      <c r="A254" s="1818" t="s">
        <v>2471</v>
      </c>
      <c r="B254" s="1818"/>
      <c r="C254" s="1818"/>
      <c r="D254" s="1818"/>
      <c r="E254" s="1818"/>
      <c r="F254" s="1818"/>
      <c r="G254" s="1818"/>
      <c r="H254" s="1818"/>
      <c r="I254" s="1818"/>
    </row>
    <row r="255" spans="1:12" ht="30" customHeight="1">
      <c r="A255" s="1802"/>
      <c r="B255" s="1802"/>
      <c r="C255" s="1802"/>
      <c r="D255" s="1802"/>
      <c r="E255" s="1802"/>
      <c r="F255" s="1802"/>
      <c r="G255" s="1802"/>
      <c r="H255" s="1802"/>
      <c r="I255" s="1802"/>
    </row>
    <row r="256" spans="1:12" ht="18" customHeight="1">
      <c r="A256" s="1802"/>
      <c r="B256" s="1802"/>
      <c r="C256" s="1802"/>
      <c r="D256" s="1802"/>
      <c r="E256" s="1802"/>
      <c r="F256" s="1802"/>
      <c r="G256" s="1802"/>
      <c r="H256" s="1802"/>
      <c r="I256" s="1802"/>
    </row>
    <row r="257" spans="1:9" ht="18" customHeight="1">
      <c r="A257" s="1801"/>
      <c r="B257" s="1801"/>
      <c r="C257" s="1801"/>
      <c r="D257" s="1801"/>
      <c r="E257" s="1801"/>
      <c r="F257" s="1801"/>
      <c r="G257" s="1801"/>
      <c r="H257" s="1801"/>
      <c r="I257" s="1801"/>
    </row>
    <row r="258" spans="1:9" ht="18" customHeight="1">
      <c r="A258" s="1213"/>
      <c r="B258" s="1213"/>
      <c r="C258" s="1213"/>
      <c r="D258" s="1213"/>
      <c r="E258" s="1213"/>
      <c r="F258" s="1213"/>
      <c r="G258" s="1213"/>
      <c r="H258" s="1213"/>
      <c r="I258" s="1213"/>
    </row>
    <row r="259" spans="1:9" ht="18" customHeight="1">
      <c r="A259" s="58"/>
      <c r="B259" s="58"/>
      <c r="C259" s="58"/>
      <c r="D259" s="59"/>
      <c r="E259" s="58"/>
      <c r="F259" s="58"/>
      <c r="G259" s="58"/>
      <c r="H259" s="58"/>
      <c r="I259" s="58"/>
    </row>
    <row r="260" spans="1:9" ht="18" customHeight="1">
      <c r="A260" s="58"/>
      <c r="B260" s="58"/>
      <c r="C260" s="58"/>
      <c r="D260" s="59"/>
      <c r="E260" s="58"/>
      <c r="F260" s="58"/>
      <c r="G260" s="58"/>
      <c r="H260" s="58"/>
      <c r="I260" s="58"/>
    </row>
    <row r="261" spans="1:9" ht="18" customHeight="1">
      <c r="A261" s="58"/>
      <c r="B261" s="58"/>
      <c r="C261" s="58"/>
      <c r="D261" s="59"/>
      <c r="E261" s="58"/>
      <c r="F261" s="58"/>
      <c r="G261" s="83">
        <f>46900/1600</f>
        <v>29.3125</v>
      </c>
      <c r="H261" s="58"/>
      <c r="I261" s="58"/>
    </row>
    <row r="262" spans="1:9" ht="18" customHeight="1"/>
  </sheetData>
  <autoFilter ref="A8:J249"/>
  <mergeCells count="14">
    <mergeCell ref="A1:I1"/>
    <mergeCell ref="A5:I5"/>
    <mergeCell ref="A257:I257"/>
    <mergeCell ref="A251:I251"/>
    <mergeCell ref="A252:I252"/>
    <mergeCell ref="A254:I254"/>
    <mergeCell ref="A255:I255"/>
    <mergeCell ref="A256:I256"/>
    <mergeCell ref="A253:I253"/>
    <mergeCell ref="A2:C2"/>
    <mergeCell ref="A4:I4"/>
    <mergeCell ref="A6:I6"/>
    <mergeCell ref="I16:I18"/>
    <mergeCell ref="A3:I3"/>
  </mergeCells>
  <pageMargins left="0.5" right="0.5" top="0.5" bottom="0.5" header="0.47" footer="0.3"/>
  <pageSetup paperSize="9" scale="90" orientation="portrait" r:id="rId1"/>
  <headerFooter>
    <oddFooter>Page &amp;P</oddFooter>
  </headerFooter>
  <ignoredErrors>
    <ignoredError sqref="A200:A212 A12:A23 A83:A105" formulaRange="1"/>
    <ignoredError sqref="G28" formula="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zoomScaleNormal="100" zoomScaleSheetLayoutView="115" workbookViewId="0">
      <pane xSplit="2" ySplit="5" topLeftCell="C12" activePane="bottomRight" state="frozen"/>
      <selection pane="topRight" activeCell="C1" sqref="C1"/>
      <selection pane="bottomLeft" activeCell="A6" sqref="A6"/>
      <selection pane="bottomRight" activeCell="G16" sqref="G16:G22"/>
    </sheetView>
  </sheetViews>
  <sheetFormatPr defaultColWidth="9.08203125" defaultRowHeight="13"/>
  <cols>
    <col min="1" max="1" width="4.9140625" style="8" customWidth="1"/>
    <col min="2" max="2" width="39.08203125" style="8" customWidth="1"/>
    <col min="3" max="3" width="13.6640625" style="8" customWidth="1"/>
    <col min="4" max="4" width="6.6640625" style="8" customWidth="1"/>
    <col min="5" max="6" width="10.4140625" style="8" customWidth="1"/>
    <col min="7" max="7" width="10.6640625" style="8" customWidth="1"/>
    <col min="8" max="8" width="12.4140625" style="8" customWidth="1"/>
    <col min="9" max="16384" width="9.08203125" style="8"/>
  </cols>
  <sheetData>
    <row r="1" spans="1:10" ht="21" customHeight="1">
      <c r="A1" s="1794" t="s">
        <v>71</v>
      </c>
      <c r="B1" s="1794"/>
      <c r="C1" s="38"/>
      <c r="D1" s="38"/>
      <c r="E1" s="38"/>
      <c r="F1" s="38"/>
      <c r="G1" s="7"/>
      <c r="H1" s="7"/>
    </row>
    <row r="2" spans="1:10" ht="18" customHeight="1">
      <c r="A2" s="1777" t="s">
        <v>85</v>
      </c>
      <c r="B2" s="1777"/>
      <c r="C2" s="1777"/>
      <c r="D2" s="1777"/>
      <c r="E2" s="1777"/>
      <c r="F2" s="1777"/>
      <c r="G2" s="1777"/>
      <c r="H2" s="1777"/>
    </row>
    <row r="3" spans="1:10" ht="18" customHeight="1">
      <c r="A3" s="1773" t="s">
        <v>3</v>
      </c>
      <c r="B3" s="1773"/>
      <c r="C3" s="1773"/>
      <c r="D3" s="1773"/>
      <c r="E3" s="1773"/>
      <c r="F3" s="1773"/>
      <c r="G3" s="1773"/>
      <c r="H3" s="1773"/>
    </row>
    <row r="4" spans="1:10" ht="30" customHeight="1">
      <c r="A4" s="66" t="s">
        <v>4</v>
      </c>
      <c r="B4" s="66" t="s">
        <v>5</v>
      </c>
      <c r="C4" s="66" t="s">
        <v>55</v>
      </c>
      <c r="D4" s="66" t="s">
        <v>585</v>
      </c>
      <c r="E4" s="65" t="s">
        <v>35</v>
      </c>
      <c r="F4" s="65" t="s">
        <v>79</v>
      </c>
      <c r="G4" s="65" t="s">
        <v>68</v>
      </c>
      <c r="H4" s="66" t="s">
        <v>33</v>
      </c>
    </row>
    <row r="5" spans="1:10" ht="18" customHeight="1">
      <c r="A5" s="22" t="s">
        <v>10</v>
      </c>
      <c r="B5" s="22" t="s">
        <v>12</v>
      </c>
      <c r="C5" s="22" t="s">
        <v>14</v>
      </c>
      <c r="D5" s="22" t="s">
        <v>16</v>
      </c>
      <c r="E5" s="22" t="s">
        <v>18</v>
      </c>
      <c r="F5" s="22" t="s">
        <v>20</v>
      </c>
      <c r="G5" s="22" t="s">
        <v>22</v>
      </c>
      <c r="H5" s="22" t="s">
        <v>24</v>
      </c>
    </row>
    <row r="6" spans="1:10" s="30" customFormat="1" ht="18" customHeight="1">
      <c r="A6" s="40"/>
      <c r="B6" s="40" t="s">
        <v>6</v>
      </c>
      <c r="C6" s="40"/>
      <c r="D6" s="36">
        <f>D7+D8+D13+D14+D15+D24+D28+D32</f>
        <v>211.7</v>
      </c>
      <c r="E6" s="40"/>
      <c r="F6" s="23">
        <f>F7+F8+F13+F14+F15+F24+F28+F32</f>
        <v>267372</v>
      </c>
      <c r="G6" s="23">
        <f>G7+G8+G13+G14+G15+G24+G28+G32</f>
        <v>236800</v>
      </c>
      <c r="H6" s="40"/>
      <c r="I6" s="30">
        <f>148*1600</f>
        <v>236800</v>
      </c>
      <c r="J6" s="181">
        <f>+G6-I6</f>
        <v>0</v>
      </c>
    </row>
    <row r="7" spans="1:10" s="35" customFormat="1" ht="18" customHeight="1">
      <c r="A7" s="14" t="s">
        <v>8</v>
      </c>
      <c r="B7" s="46" t="s">
        <v>25</v>
      </c>
      <c r="C7" s="36"/>
      <c r="D7" s="36"/>
      <c r="E7" s="23"/>
      <c r="F7" s="23">
        <v>0</v>
      </c>
      <c r="G7" s="23">
        <v>0</v>
      </c>
      <c r="H7" s="56"/>
    </row>
    <row r="8" spans="1:10" s="35" customFormat="1" ht="18" customHeight="1">
      <c r="A8" s="14" t="s">
        <v>26</v>
      </c>
      <c r="B8" s="46" t="s">
        <v>23</v>
      </c>
      <c r="C8" s="36"/>
      <c r="D8" s="76">
        <v>23.9</v>
      </c>
      <c r="E8" s="23"/>
      <c r="F8" s="23">
        <v>40152</v>
      </c>
      <c r="G8" s="23">
        <v>9600</v>
      </c>
      <c r="H8" s="23"/>
      <c r="J8" s="82">
        <f t="shared" ref="J8:J32" si="0">+F8/D8</f>
        <v>1680</v>
      </c>
    </row>
    <row r="9" spans="1:10" s="35" customFormat="1" ht="18" customHeight="1">
      <c r="A9" s="32">
        <v>1</v>
      </c>
      <c r="B9" s="31" t="s">
        <v>384</v>
      </c>
      <c r="C9" s="56" t="s">
        <v>356</v>
      </c>
      <c r="D9" s="53">
        <v>6</v>
      </c>
      <c r="E9" s="56" t="s">
        <v>118</v>
      </c>
      <c r="F9" s="44">
        <v>10080</v>
      </c>
      <c r="G9" s="44">
        <v>9600</v>
      </c>
      <c r="H9" s="44"/>
      <c r="J9" s="82">
        <f t="shared" si="0"/>
        <v>1680</v>
      </c>
    </row>
    <row r="10" spans="1:10" s="35" customFormat="1" ht="18" customHeight="1">
      <c r="A10" s="32" t="s">
        <v>1977</v>
      </c>
      <c r="B10" s="31" t="s">
        <v>385</v>
      </c>
      <c r="C10" s="56" t="s">
        <v>613</v>
      </c>
      <c r="D10" s="56">
        <v>15</v>
      </c>
      <c r="E10" s="56" t="s">
        <v>118</v>
      </c>
      <c r="F10" s="44">
        <v>25200</v>
      </c>
      <c r="G10" s="44"/>
      <c r="H10" s="44"/>
      <c r="J10" s="82">
        <f t="shared" si="0"/>
        <v>1680</v>
      </c>
    </row>
    <row r="11" spans="1:10" s="35" customFormat="1" ht="18" customHeight="1">
      <c r="A11" s="32" t="s">
        <v>1977</v>
      </c>
      <c r="B11" s="31" t="s">
        <v>386</v>
      </c>
      <c r="C11" s="56" t="s">
        <v>364</v>
      </c>
      <c r="D11" s="53">
        <v>2.7</v>
      </c>
      <c r="E11" s="56" t="s">
        <v>118</v>
      </c>
      <c r="F11" s="44">
        <v>4536</v>
      </c>
      <c r="G11" s="44"/>
      <c r="H11" s="44"/>
      <c r="J11" s="82">
        <f t="shared" si="0"/>
        <v>1680</v>
      </c>
    </row>
    <row r="12" spans="1:10" s="35" customFormat="1" ht="18" customHeight="1">
      <c r="A12" s="32" t="s">
        <v>1977</v>
      </c>
      <c r="B12" s="31" t="s">
        <v>387</v>
      </c>
      <c r="C12" s="56" t="s">
        <v>329</v>
      </c>
      <c r="D12" s="53">
        <v>0.2</v>
      </c>
      <c r="E12" s="56" t="s">
        <v>118</v>
      </c>
      <c r="F12" s="44">
        <v>336</v>
      </c>
      <c r="G12" s="44"/>
      <c r="H12" s="44"/>
      <c r="J12" s="82">
        <f t="shared" si="0"/>
        <v>1680</v>
      </c>
    </row>
    <row r="13" spans="1:10" s="35" customFormat="1" ht="18" customHeight="1">
      <c r="A13" s="14" t="s">
        <v>28</v>
      </c>
      <c r="B13" s="46" t="s">
        <v>21</v>
      </c>
      <c r="C13" s="36"/>
      <c r="D13" s="36"/>
      <c r="E13" s="23"/>
      <c r="F13" s="23">
        <v>0</v>
      </c>
      <c r="G13" s="23">
        <v>0</v>
      </c>
      <c r="H13" s="56"/>
      <c r="J13" s="82" t="e">
        <f t="shared" si="0"/>
        <v>#DIV/0!</v>
      </c>
    </row>
    <row r="14" spans="1:10" s="35" customFormat="1" ht="18" customHeight="1">
      <c r="A14" s="14" t="s">
        <v>29</v>
      </c>
      <c r="B14" s="46" t="s">
        <v>19</v>
      </c>
      <c r="C14" s="36"/>
      <c r="D14" s="36"/>
      <c r="E14" s="23"/>
      <c r="F14" s="23">
        <v>0</v>
      </c>
      <c r="G14" s="23">
        <v>0</v>
      </c>
      <c r="H14" s="56"/>
      <c r="J14" s="82" t="e">
        <f t="shared" si="0"/>
        <v>#DIV/0!</v>
      </c>
    </row>
    <row r="15" spans="1:10" s="35" customFormat="1" ht="18" customHeight="1">
      <c r="A15" s="14" t="s">
        <v>30</v>
      </c>
      <c r="B15" s="46" t="s">
        <v>17</v>
      </c>
      <c r="C15" s="36"/>
      <c r="D15" s="36">
        <v>66.3</v>
      </c>
      <c r="E15" s="23"/>
      <c r="F15" s="23">
        <v>102700</v>
      </c>
      <c r="G15" s="23">
        <v>102700</v>
      </c>
      <c r="H15" s="23"/>
      <c r="J15" s="82">
        <f t="shared" si="0"/>
        <v>1549.0196078431372</v>
      </c>
    </row>
    <row r="16" spans="1:10" s="35" customFormat="1" ht="39">
      <c r="A16" s="32">
        <v>1</v>
      </c>
      <c r="B16" s="31" t="s">
        <v>309</v>
      </c>
      <c r="C16" s="56" t="s">
        <v>614</v>
      </c>
      <c r="D16" s="37">
        <v>12</v>
      </c>
      <c r="E16" s="44"/>
      <c r="F16" s="78">
        <f>G16</f>
        <v>19000</v>
      </c>
      <c r="G16" s="78">
        <v>19000</v>
      </c>
      <c r="H16" s="44"/>
      <c r="J16" s="82">
        <f t="shared" si="0"/>
        <v>1583.3333333333333</v>
      </c>
    </row>
    <row r="17" spans="1:13" s="35" customFormat="1" ht="39">
      <c r="A17" s="32">
        <v>2</v>
      </c>
      <c r="B17" s="31" t="s">
        <v>310</v>
      </c>
      <c r="C17" s="56" t="s">
        <v>296</v>
      </c>
      <c r="D17" s="37">
        <v>26</v>
      </c>
      <c r="E17" s="44"/>
      <c r="F17" s="78">
        <f t="shared" ref="F17:F23" si="1">+G17</f>
        <v>40800</v>
      </c>
      <c r="G17" s="78">
        <v>40800</v>
      </c>
      <c r="H17" s="44"/>
      <c r="J17" s="82">
        <f t="shared" si="0"/>
        <v>1569.2307692307693</v>
      </c>
    </row>
    <row r="18" spans="1:13" s="35" customFormat="1" ht="26">
      <c r="A18" s="32">
        <v>3</v>
      </c>
      <c r="B18" s="31" t="s">
        <v>311</v>
      </c>
      <c r="C18" s="56" t="s">
        <v>296</v>
      </c>
      <c r="D18" s="37">
        <v>9</v>
      </c>
      <c r="E18" s="44"/>
      <c r="F18" s="16">
        <f t="shared" si="1"/>
        <v>14400</v>
      </c>
      <c r="G18" s="16">
        <f>9*1600</f>
        <v>14400</v>
      </c>
      <c r="H18" s="44"/>
      <c r="J18" s="82">
        <f t="shared" si="0"/>
        <v>1600</v>
      </c>
    </row>
    <row r="19" spans="1:13" s="35" customFormat="1" ht="26">
      <c r="A19" s="32">
        <v>4</v>
      </c>
      <c r="B19" s="31" t="s">
        <v>312</v>
      </c>
      <c r="C19" s="56" t="s">
        <v>296</v>
      </c>
      <c r="D19" s="37">
        <v>7</v>
      </c>
      <c r="E19" s="44"/>
      <c r="F19" s="16">
        <f t="shared" si="1"/>
        <v>11200</v>
      </c>
      <c r="G19" s="16">
        <f>7*1600</f>
        <v>11200</v>
      </c>
      <c r="H19" s="44"/>
      <c r="J19" s="82">
        <f t="shared" si="0"/>
        <v>1600</v>
      </c>
    </row>
    <row r="20" spans="1:13" s="35" customFormat="1" ht="26">
      <c r="A20" s="32">
        <v>5</v>
      </c>
      <c r="B20" s="31" t="s">
        <v>313</v>
      </c>
      <c r="C20" s="56" t="s">
        <v>303</v>
      </c>
      <c r="D20" s="37">
        <v>7</v>
      </c>
      <c r="E20" s="44"/>
      <c r="F20" s="16">
        <f t="shared" si="1"/>
        <v>11200</v>
      </c>
      <c r="G20" s="16">
        <f>7*1600</f>
        <v>11200</v>
      </c>
      <c r="H20" s="44"/>
      <c r="J20" s="82">
        <f t="shared" si="0"/>
        <v>1600</v>
      </c>
    </row>
    <row r="21" spans="1:13" s="35" customFormat="1" ht="26">
      <c r="A21" s="32">
        <v>6</v>
      </c>
      <c r="B21" s="31" t="s">
        <v>314</v>
      </c>
      <c r="C21" s="56" t="s">
        <v>302</v>
      </c>
      <c r="D21" s="37">
        <v>2.2999999999999998</v>
      </c>
      <c r="E21" s="44"/>
      <c r="F21" s="16">
        <v>3700</v>
      </c>
      <c r="G21" s="16">
        <v>3700</v>
      </c>
      <c r="H21" s="44"/>
      <c r="J21" s="82">
        <f t="shared" si="0"/>
        <v>1608.6956521739132</v>
      </c>
    </row>
    <row r="22" spans="1:13" s="35" customFormat="1" ht="26">
      <c r="A22" s="32">
        <v>7</v>
      </c>
      <c r="B22" s="31" t="s">
        <v>315</v>
      </c>
      <c r="C22" s="56" t="s">
        <v>286</v>
      </c>
      <c r="D22" s="37">
        <v>1.5</v>
      </c>
      <c r="E22" s="44"/>
      <c r="F22" s="16">
        <f t="shared" si="1"/>
        <v>2400</v>
      </c>
      <c r="G22" s="16">
        <v>2400</v>
      </c>
      <c r="H22" s="44"/>
      <c r="J22" s="82">
        <f t="shared" si="0"/>
        <v>1600</v>
      </c>
    </row>
    <row r="23" spans="1:13" s="35" customFormat="1" ht="26">
      <c r="A23" s="32" t="s">
        <v>1977</v>
      </c>
      <c r="B23" s="31" t="s">
        <v>316</v>
      </c>
      <c r="C23" s="56" t="s">
        <v>283</v>
      </c>
      <c r="D23" s="37">
        <v>1.5</v>
      </c>
      <c r="E23" s="44"/>
      <c r="F23" s="16">
        <f t="shared" si="1"/>
        <v>0</v>
      </c>
      <c r="G23" s="16"/>
      <c r="H23" s="44"/>
      <c r="J23" s="82">
        <f t="shared" si="0"/>
        <v>0</v>
      </c>
    </row>
    <row r="24" spans="1:13" s="35" customFormat="1" ht="18" customHeight="1">
      <c r="A24" s="14" t="s">
        <v>31</v>
      </c>
      <c r="B24" s="46" t="s">
        <v>15</v>
      </c>
      <c r="C24" s="36"/>
      <c r="D24" s="76">
        <v>24</v>
      </c>
      <c r="E24" s="23"/>
      <c r="F24" s="23">
        <v>38400</v>
      </c>
      <c r="G24" s="23">
        <v>38400</v>
      </c>
      <c r="H24" s="23"/>
      <c r="J24" s="82">
        <f t="shared" si="0"/>
        <v>1600</v>
      </c>
    </row>
    <row r="25" spans="1:13" s="35" customFormat="1">
      <c r="A25" s="32">
        <v>1</v>
      </c>
      <c r="B25" s="31" t="s">
        <v>616</v>
      </c>
      <c r="C25" s="56" t="s">
        <v>252</v>
      </c>
      <c r="D25" s="53">
        <v>6</v>
      </c>
      <c r="E25" s="56" t="s">
        <v>118</v>
      </c>
      <c r="F25" s="44">
        <v>9600</v>
      </c>
      <c r="G25" s="44">
        <v>9600</v>
      </c>
      <c r="H25" s="44"/>
      <c r="J25" s="82">
        <f t="shared" si="0"/>
        <v>1600</v>
      </c>
    </row>
    <row r="26" spans="1:13" s="35" customFormat="1" ht="26">
      <c r="A26" s="32">
        <v>2</v>
      </c>
      <c r="B26" s="31" t="s">
        <v>617</v>
      </c>
      <c r="C26" s="56" t="s">
        <v>253</v>
      </c>
      <c r="D26" s="53">
        <v>4</v>
      </c>
      <c r="E26" s="56" t="s">
        <v>118</v>
      </c>
      <c r="F26" s="44">
        <v>6400</v>
      </c>
      <c r="G26" s="44">
        <v>6400</v>
      </c>
      <c r="H26" s="44"/>
      <c r="J26" s="82">
        <f t="shared" si="0"/>
        <v>1600</v>
      </c>
    </row>
    <row r="27" spans="1:13" s="35" customFormat="1" ht="26">
      <c r="A27" s="32">
        <v>3</v>
      </c>
      <c r="B27" s="31" t="s">
        <v>618</v>
      </c>
      <c r="C27" s="56" t="s">
        <v>254</v>
      </c>
      <c r="D27" s="53">
        <v>14</v>
      </c>
      <c r="E27" s="56" t="s">
        <v>118</v>
      </c>
      <c r="F27" s="44">
        <v>22400</v>
      </c>
      <c r="G27" s="44">
        <v>22400</v>
      </c>
      <c r="H27" s="44"/>
      <c r="J27" s="82">
        <f t="shared" si="0"/>
        <v>1600</v>
      </c>
    </row>
    <row r="28" spans="1:13" s="35" customFormat="1" ht="18" customHeight="1">
      <c r="A28" s="14" t="s">
        <v>80</v>
      </c>
      <c r="B28" s="46" t="s">
        <v>13</v>
      </c>
      <c r="C28" s="36"/>
      <c r="D28" s="36">
        <f>SUM(D29:D31)</f>
        <v>73</v>
      </c>
      <c r="E28" s="23"/>
      <c r="F28" s="23">
        <v>46920</v>
      </c>
      <c r="G28" s="23">
        <v>46900</v>
      </c>
      <c r="H28" s="23"/>
      <c r="J28" s="82">
        <f t="shared" si="0"/>
        <v>642.7397260273973</v>
      </c>
    </row>
    <row r="29" spans="1:13" s="35" customFormat="1" ht="18" customHeight="1">
      <c r="A29" s="32">
        <v>1</v>
      </c>
      <c r="B29" s="31" t="s">
        <v>141</v>
      </c>
      <c r="C29" s="56" t="s">
        <v>123</v>
      </c>
      <c r="D29" s="56">
        <v>3</v>
      </c>
      <c r="E29" s="56" t="s">
        <v>118</v>
      </c>
      <c r="F29" s="44">
        <v>4800</v>
      </c>
      <c r="G29" s="44">
        <v>4800</v>
      </c>
      <c r="H29" s="44"/>
      <c r="J29" s="82">
        <f t="shared" si="0"/>
        <v>1600</v>
      </c>
      <c r="M29" s="35">
        <f>148*1600</f>
        <v>236800</v>
      </c>
    </row>
    <row r="30" spans="1:13" s="35" customFormat="1" ht="26">
      <c r="A30" s="32">
        <v>2</v>
      </c>
      <c r="B30" s="31" t="s">
        <v>142</v>
      </c>
      <c r="C30" s="56" t="s">
        <v>110</v>
      </c>
      <c r="D30" s="56">
        <v>37</v>
      </c>
      <c r="E30" s="56" t="s">
        <v>118</v>
      </c>
      <c r="F30" s="44">
        <v>22120</v>
      </c>
      <c r="G30" s="44">
        <v>22100</v>
      </c>
      <c r="H30" s="44"/>
      <c r="J30" s="82">
        <f t="shared" si="0"/>
        <v>597.83783783783781</v>
      </c>
    </row>
    <row r="31" spans="1:13" s="35" customFormat="1" ht="26">
      <c r="A31" s="32">
        <v>3</v>
      </c>
      <c r="B31" s="31" t="s">
        <v>143</v>
      </c>
      <c r="C31" s="56" t="s">
        <v>110</v>
      </c>
      <c r="D31" s="56">
        <v>33</v>
      </c>
      <c r="E31" s="56" t="s">
        <v>118</v>
      </c>
      <c r="F31" s="44">
        <v>20000</v>
      </c>
      <c r="G31" s="44">
        <v>20000</v>
      </c>
      <c r="H31" s="44"/>
      <c r="J31" s="82">
        <f t="shared" si="0"/>
        <v>606.06060606060601</v>
      </c>
    </row>
    <row r="32" spans="1:13" s="35" customFormat="1" ht="18" customHeight="1">
      <c r="A32" s="14" t="s">
        <v>81</v>
      </c>
      <c r="B32" s="46" t="s">
        <v>11</v>
      </c>
      <c r="C32" s="36"/>
      <c r="D32" s="76">
        <v>24.5</v>
      </c>
      <c r="E32" s="23"/>
      <c r="F32" s="23">
        <v>39200</v>
      </c>
      <c r="G32" s="23">
        <v>39200</v>
      </c>
      <c r="H32" s="23"/>
      <c r="J32" s="82">
        <f t="shared" si="0"/>
        <v>1600</v>
      </c>
    </row>
    <row r="33" spans="1:10" s="35" customFormat="1">
      <c r="A33" s="32">
        <v>1</v>
      </c>
      <c r="B33" s="31" t="s">
        <v>504</v>
      </c>
      <c r="C33" s="56" t="s">
        <v>615</v>
      </c>
      <c r="D33" s="88">
        <v>24.5</v>
      </c>
      <c r="E33" s="56" t="s">
        <v>118</v>
      </c>
      <c r="F33" s="44">
        <v>39200</v>
      </c>
      <c r="G33" s="44">
        <v>39200</v>
      </c>
      <c r="H33" s="44"/>
      <c r="J33" s="82">
        <f>+F33/D33</f>
        <v>1600</v>
      </c>
    </row>
    <row r="34" spans="1:10" ht="18" customHeight="1">
      <c r="A34" s="42"/>
      <c r="B34" s="42"/>
      <c r="C34" s="42"/>
      <c r="D34" s="42"/>
      <c r="E34" s="42"/>
      <c r="F34" s="42"/>
      <c r="G34" s="42"/>
      <c r="H34" s="42"/>
    </row>
    <row r="35" spans="1:10" ht="18" customHeight="1">
      <c r="A35" s="1829" t="s">
        <v>40</v>
      </c>
      <c r="B35" s="1829"/>
      <c r="C35" s="1829"/>
      <c r="D35" s="1829"/>
      <c r="E35" s="1829"/>
      <c r="F35" s="1829"/>
      <c r="G35" s="1829"/>
      <c r="H35" s="1829"/>
    </row>
    <row r="36" spans="1:10" ht="42" customHeight="1">
      <c r="A36" s="1818" t="s">
        <v>76</v>
      </c>
      <c r="B36" s="1818"/>
      <c r="C36" s="1818"/>
      <c r="D36" s="1818"/>
      <c r="E36" s="1818"/>
      <c r="F36" s="1818"/>
      <c r="G36" s="1818"/>
      <c r="H36" s="1818"/>
    </row>
    <row r="37" spans="1:10" ht="18" customHeight="1">
      <c r="A37" s="43"/>
      <c r="B37" s="43"/>
      <c r="C37" s="86"/>
      <c r="D37" s="86"/>
      <c r="E37" s="86"/>
      <c r="F37" s="86"/>
    </row>
    <row r="38" spans="1:10" ht="18" customHeight="1">
      <c r="A38" s="42"/>
      <c r="B38" s="42"/>
      <c r="C38" s="42"/>
      <c r="D38" s="42"/>
      <c r="E38" s="42"/>
      <c r="F38" s="42"/>
      <c r="G38" s="42"/>
      <c r="H38" s="42"/>
    </row>
    <row r="39" spans="1:10" ht="18" customHeight="1"/>
    <row r="40" spans="1:10" ht="18" customHeight="1"/>
    <row r="41" spans="1:10" ht="18" customHeight="1"/>
    <row r="42" spans="1:10" ht="18" customHeight="1"/>
    <row r="43" spans="1:10" ht="18" customHeight="1"/>
    <row r="44" spans="1:10" ht="18" customHeight="1"/>
    <row r="45" spans="1:10" ht="18" customHeight="1"/>
    <row r="46" spans="1:10" ht="18" customHeight="1"/>
    <row r="47" spans="1:10" ht="18" customHeight="1"/>
  </sheetData>
  <autoFilter ref="A5:H33"/>
  <mergeCells count="5">
    <mergeCell ref="A36:H36"/>
    <mergeCell ref="A35:H35"/>
    <mergeCell ref="A1:B1"/>
    <mergeCell ref="A2:H2"/>
    <mergeCell ref="A3:H3"/>
  </mergeCells>
  <pageMargins left="0.5" right="0.2" top="0.5" bottom="0.5" header="0.3" footer="0.3"/>
  <pageSetup paperSize="9" scale="85"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zoomScaleNormal="100" zoomScaleSheetLayoutView="115" workbookViewId="0">
      <pane xSplit="2" ySplit="4" topLeftCell="C23" activePane="bottomRight" state="frozen"/>
      <selection pane="topRight" activeCell="C1" sqref="C1"/>
      <selection pane="bottomLeft" activeCell="A5" sqref="A5"/>
      <selection pane="bottomRight" activeCell="A35" sqref="A35:H35"/>
    </sheetView>
  </sheetViews>
  <sheetFormatPr defaultColWidth="9.08203125" defaultRowHeight="13"/>
  <cols>
    <col min="1" max="1" width="4.9140625" style="8" customWidth="1"/>
    <col min="2" max="2" width="33.9140625" style="8" customWidth="1"/>
    <col min="3" max="3" width="12.08203125" style="8" customWidth="1"/>
    <col min="4" max="4" width="9.33203125" style="8" customWidth="1"/>
    <col min="5" max="5" width="10.4140625" style="8" customWidth="1"/>
    <col min="6" max="6" width="9.6640625" style="8" customWidth="1"/>
    <col min="7" max="7" width="10.6640625" style="8" customWidth="1"/>
    <col min="8" max="8" width="12.4140625" style="8" customWidth="1"/>
    <col min="9" max="16384" width="9.08203125" style="8"/>
  </cols>
  <sheetData>
    <row r="1" spans="1:9" ht="21" customHeight="1">
      <c r="A1" s="1794" t="s">
        <v>396</v>
      </c>
      <c r="B1" s="1794"/>
      <c r="C1" s="38"/>
      <c r="D1" s="38"/>
      <c r="E1" s="38"/>
      <c r="F1" s="38"/>
      <c r="G1" s="7"/>
      <c r="H1" s="7"/>
    </row>
    <row r="2" spans="1:9" ht="18" customHeight="1">
      <c r="A2" s="1777" t="s">
        <v>397</v>
      </c>
      <c r="B2" s="1777"/>
      <c r="C2" s="1777"/>
      <c r="D2" s="1777"/>
      <c r="E2" s="1777"/>
      <c r="F2" s="1777"/>
      <c r="G2" s="1777"/>
      <c r="H2" s="1777"/>
    </row>
    <row r="3" spans="1:9" ht="18" customHeight="1">
      <c r="A3" s="1773" t="s">
        <v>3</v>
      </c>
      <c r="B3" s="1773"/>
      <c r="C3" s="1773"/>
      <c r="D3" s="1773"/>
      <c r="E3" s="1773"/>
      <c r="F3" s="1773"/>
      <c r="G3" s="1773"/>
      <c r="H3" s="1773"/>
    </row>
    <row r="4" spans="1:9" ht="30" customHeight="1">
      <c r="A4" s="66" t="s">
        <v>4</v>
      </c>
      <c r="B4" s="66" t="s">
        <v>5</v>
      </c>
      <c r="C4" s="66" t="s">
        <v>55</v>
      </c>
      <c r="D4" s="66" t="s">
        <v>32</v>
      </c>
      <c r="E4" s="65" t="s">
        <v>35</v>
      </c>
      <c r="F4" s="65" t="s">
        <v>79</v>
      </c>
      <c r="G4" s="65" t="s">
        <v>68</v>
      </c>
      <c r="H4" s="66" t="s">
        <v>33</v>
      </c>
    </row>
    <row r="5" spans="1:9" ht="18" customHeight="1">
      <c r="A5" s="22" t="s">
        <v>10</v>
      </c>
      <c r="B5" s="22" t="s">
        <v>12</v>
      </c>
      <c r="C5" s="22" t="s">
        <v>14</v>
      </c>
      <c r="D5" s="22" t="s">
        <v>16</v>
      </c>
      <c r="E5" s="22" t="s">
        <v>18</v>
      </c>
      <c r="F5" s="22" t="s">
        <v>20</v>
      </c>
      <c r="G5" s="22" t="s">
        <v>22</v>
      </c>
      <c r="H5" s="22" t="s">
        <v>24</v>
      </c>
    </row>
    <row r="6" spans="1:9" s="30" customFormat="1" ht="18" customHeight="1">
      <c r="A6" s="40"/>
      <c r="B6" s="40" t="s">
        <v>6</v>
      </c>
      <c r="C6" s="40"/>
      <c r="D6" s="36">
        <f>D7+D8+D13+D14+D15+D23+D28+D29</f>
        <v>17</v>
      </c>
      <c r="E6" s="40"/>
      <c r="F6" s="23">
        <f>F7+F8+F13+F14+F15+F23+F28+F29</f>
        <v>49920</v>
      </c>
      <c r="G6" s="23">
        <f>G7+G8+G13+G14+G15+G23+G28+G29</f>
        <v>49400</v>
      </c>
      <c r="H6" s="40"/>
    </row>
    <row r="7" spans="1:9" s="30" customFormat="1" ht="18" customHeight="1">
      <c r="A7" s="14" t="s">
        <v>8</v>
      </c>
      <c r="B7" s="46" t="s">
        <v>25</v>
      </c>
      <c r="C7" s="36"/>
      <c r="D7" s="36"/>
      <c r="E7" s="23"/>
      <c r="F7" s="23">
        <v>0</v>
      </c>
      <c r="G7" s="23">
        <v>0</v>
      </c>
      <c r="H7" s="56"/>
    </row>
    <row r="8" spans="1:9" s="30" customFormat="1" ht="18" customHeight="1">
      <c r="A8" s="14" t="s">
        <v>26</v>
      </c>
      <c r="B8" s="46" t="s">
        <v>23</v>
      </c>
      <c r="C8" s="36"/>
      <c r="D8" s="36">
        <v>4</v>
      </c>
      <c r="E8" s="23"/>
      <c r="F8" s="23">
        <v>10920</v>
      </c>
      <c r="G8" s="23">
        <f>SUM(G9:G12)</f>
        <v>10400</v>
      </c>
      <c r="H8" s="23"/>
    </row>
    <row r="9" spans="1:9" s="30" customFormat="1" ht="18" customHeight="1">
      <c r="A9" s="32">
        <v>1</v>
      </c>
      <c r="B9" s="31" t="s">
        <v>388</v>
      </c>
      <c r="C9" s="56"/>
      <c r="D9" s="53" t="s">
        <v>392</v>
      </c>
      <c r="E9" s="56" t="s">
        <v>118</v>
      </c>
      <c r="F9" s="44">
        <v>4620</v>
      </c>
      <c r="G9" s="44">
        <v>4400</v>
      </c>
      <c r="H9" s="44"/>
      <c r="I9" s="30" t="s">
        <v>715</v>
      </c>
    </row>
    <row r="10" spans="1:9" s="30" customFormat="1" ht="18" customHeight="1">
      <c r="A10" s="32">
        <v>2</v>
      </c>
      <c r="B10" s="31" t="s">
        <v>389</v>
      </c>
      <c r="C10" s="56"/>
      <c r="D10" s="53" t="s">
        <v>393</v>
      </c>
      <c r="E10" s="56" t="s">
        <v>118</v>
      </c>
      <c r="F10" s="44">
        <v>4620</v>
      </c>
      <c r="G10" s="44">
        <v>4400</v>
      </c>
      <c r="H10" s="44"/>
      <c r="I10" s="30" t="s">
        <v>715</v>
      </c>
    </row>
    <row r="11" spans="1:9" s="30" customFormat="1">
      <c r="A11" s="32">
        <v>3</v>
      </c>
      <c r="B11" s="31" t="s">
        <v>390</v>
      </c>
      <c r="C11" s="56"/>
      <c r="D11" s="53" t="s">
        <v>394</v>
      </c>
      <c r="E11" s="56" t="s">
        <v>118</v>
      </c>
      <c r="F11" s="44">
        <v>840</v>
      </c>
      <c r="G11" s="44">
        <v>800</v>
      </c>
      <c r="H11" s="44"/>
    </row>
    <row r="12" spans="1:9" s="30" customFormat="1" ht="18" customHeight="1">
      <c r="A12" s="32">
        <v>4</v>
      </c>
      <c r="B12" s="31" t="s">
        <v>391</v>
      </c>
      <c r="C12" s="56"/>
      <c r="D12" s="53" t="s">
        <v>395</v>
      </c>
      <c r="E12" s="56" t="s">
        <v>118</v>
      </c>
      <c r="F12" s="44">
        <v>840</v>
      </c>
      <c r="G12" s="44">
        <v>800</v>
      </c>
      <c r="H12" s="44"/>
    </row>
    <row r="13" spans="1:9" s="30" customFormat="1" ht="18" customHeight="1">
      <c r="A13" s="14" t="s">
        <v>28</v>
      </c>
      <c r="B13" s="46" t="s">
        <v>21</v>
      </c>
      <c r="C13" s="36"/>
      <c r="D13" s="36"/>
      <c r="E13" s="23"/>
      <c r="F13" s="23">
        <v>0</v>
      </c>
      <c r="G13" s="23">
        <v>0</v>
      </c>
      <c r="H13" s="56"/>
    </row>
    <row r="14" spans="1:9" s="30" customFormat="1" ht="18" customHeight="1">
      <c r="A14" s="14" t="s">
        <v>29</v>
      </c>
      <c r="B14" s="46" t="s">
        <v>19</v>
      </c>
      <c r="C14" s="36"/>
      <c r="D14" s="36"/>
      <c r="E14" s="23"/>
      <c r="F14" s="23">
        <v>0</v>
      </c>
      <c r="G14" s="23">
        <v>0</v>
      </c>
      <c r="H14" s="56"/>
    </row>
    <row r="15" spans="1:9" s="30" customFormat="1" ht="18" customHeight="1">
      <c r="A15" s="14" t="s">
        <v>30</v>
      </c>
      <c r="B15" s="46" t="s">
        <v>17</v>
      </c>
      <c r="C15" s="36"/>
      <c r="D15" s="36">
        <v>7</v>
      </c>
      <c r="E15" s="23"/>
      <c r="F15" s="23">
        <v>19000</v>
      </c>
      <c r="G15" s="23">
        <v>19000</v>
      </c>
      <c r="H15" s="23"/>
    </row>
    <row r="16" spans="1:9" s="30" customFormat="1">
      <c r="A16" s="32">
        <v>1</v>
      </c>
      <c r="B16" s="31" t="s">
        <v>317</v>
      </c>
      <c r="C16" s="56" t="s">
        <v>326</v>
      </c>
      <c r="D16" s="37" t="s">
        <v>323</v>
      </c>
      <c r="E16" s="44"/>
      <c r="F16" s="78">
        <f>G16</f>
        <v>5000</v>
      </c>
      <c r="G16" s="78">
        <v>5000</v>
      </c>
      <c r="H16" s="44"/>
    </row>
    <row r="17" spans="1:9" s="30" customFormat="1">
      <c r="A17" s="32">
        <v>2</v>
      </c>
      <c r="B17" s="31" t="s">
        <v>318</v>
      </c>
      <c r="C17" s="56" t="s">
        <v>282</v>
      </c>
      <c r="D17" s="37" t="s">
        <v>324</v>
      </c>
      <c r="E17" s="44"/>
      <c r="F17" s="78">
        <f>+G17</f>
        <v>1000</v>
      </c>
      <c r="G17" s="78">
        <v>1000</v>
      </c>
      <c r="H17" s="44"/>
    </row>
    <row r="18" spans="1:9" s="30" customFormat="1" ht="26">
      <c r="A18" s="32">
        <v>3</v>
      </c>
      <c r="B18" s="31" t="s">
        <v>319</v>
      </c>
      <c r="C18" s="56" t="s">
        <v>290</v>
      </c>
      <c r="D18" s="37" t="s">
        <v>323</v>
      </c>
      <c r="E18" s="44"/>
      <c r="F18" s="78">
        <f>+G18</f>
        <v>1000</v>
      </c>
      <c r="G18" s="78">
        <v>1000</v>
      </c>
      <c r="H18" s="44"/>
    </row>
    <row r="19" spans="1:9" s="30" customFormat="1">
      <c r="A19" s="32">
        <v>4</v>
      </c>
      <c r="B19" s="31" t="s">
        <v>320</v>
      </c>
      <c r="C19" s="56" t="s">
        <v>283</v>
      </c>
      <c r="D19" s="37" t="s">
        <v>323</v>
      </c>
      <c r="E19" s="44"/>
      <c r="F19" s="78">
        <f>+G19</f>
        <v>1000</v>
      </c>
      <c r="G19" s="78">
        <v>1000</v>
      </c>
      <c r="H19" s="44"/>
    </row>
    <row r="20" spans="1:9" s="30" customFormat="1">
      <c r="A20" s="32">
        <v>5</v>
      </c>
      <c r="B20" s="31" t="s">
        <v>321</v>
      </c>
      <c r="C20" s="56" t="s">
        <v>284</v>
      </c>
      <c r="D20" s="37" t="s">
        <v>325</v>
      </c>
      <c r="E20" s="44"/>
      <c r="F20" s="78">
        <v>5000</v>
      </c>
      <c r="G20" s="78">
        <v>5000</v>
      </c>
      <c r="H20" s="44"/>
    </row>
    <row r="21" spans="1:9" s="30" customFormat="1">
      <c r="A21" s="32">
        <v>6</v>
      </c>
      <c r="B21" s="31" t="s">
        <v>322</v>
      </c>
      <c r="C21" s="56" t="s">
        <v>304</v>
      </c>
      <c r="D21" s="37" t="s">
        <v>324</v>
      </c>
      <c r="E21" s="44"/>
      <c r="F21" s="16">
        <f>G21</f>
        <v>5000</v>
      </c>
      <c r="G21" s="16">
        <v>5000</v>
      </c>
      <c r="H21" s="44"/>
    </row>
    <row r="22" spans="1:9" s="30" customFormat="1">
      <c r="A22" s="32">
        <v>7</v>
      </c>
      <c r="B22" s="31" t="s">
        <v>327</v>
      </c>
      <c r="C22" s="56" t="s">
        <v>286</v>
      </c>
      <c r="D22" s="53" t="s">
        <v>328</v>
      </c>
      <c r="E22" s="44"/>
      <c r="F22" s="89">
        <f t="shared" ref="F22" si="0">SUM(G22:I22)</f>
        <v>1000</v>
      </c>
      <c r="G22" s="78">
        <v>1000</v>
      </c>
      <c r="H22" s="44"/>
    </row>
    <row r="23" spans="1:9" s="30" customFormat="1" ht="18" customHeight="1">
      <c r="A23" s="14" t="s">
        <v>31</v>
      </c>
      <c r="B23" s="46" t="s">
        <v>15</v>
      </c>
      <c r="C23" s="36"/>
      <c r="D23" s="36">
        <v>4</v>
      </c>
      <c r="E23" s="23"/>
      <c r="F23" s="23">
        <v>14000</v>
      </c>
      <c r="G23" s="23">
        <f>SUM(G24:G27)</f>
        <v>14000</v>
      </c>
      <c r="H23" s="23"/>
    </row>
    <row r="24" spans="1:9" s="30" customFormat="1" ht="18" customHeight="1">
      <c r="A24" s="32">
        <v>1</v>
      </c>
      <c r="B24" s="31" t="s">
        <v>258</v>
      </c>
      <c r="C24" s="56" t="s">
        <v>262</v>
      </c>
      <c r="D24" s="56" t="s">
        <v>264</v>
      </c>
      <c r="E24" s="56" t="s">
        <v>118</v>
      </c>
      <c r="F24" s="44">
        <v>3000</v>
      </c>
      <c r="G24" s="44">
        <v>3000</v>
      </c>
      <c r="H24" s="44"/>
      <c r="I24" s="30" t="s">
        <v>715</v>
      </c>
    </row>
    <row r="25" spans="1:9" s="30" customFormat="1" ht="18" customHeight="1">
      <c r="A25" s="32">
        <v>2</v>
      </c>
      <c r="B25" s="31" t="s">
        <v>259</v>
      </c>
      <c r="C25" s="56" t="s">
        <v>220</v>
      </c>
      <c r="D25" s="56" t="s">
        <v>264</v>
      </c>
      <c r="E25" s="56" t="s">
        <v>118</v>
      </c>
      <c r="F25" s="44">
        <v>5000</v>
      </c>
      <c r="G25" s="44">
        <v>5000</v>
      </c>
      <c r="H25" s="44"/>
      <c r="I25" s="30" t="s">
        <v>715</v>
      </c>
    </row>
    <row r="26" spans="1:9" s="30" customFormat="1" ht="18" customHeight="1">
      <c r="A26" s="32">
        <v>3</v>
      </c>
      <c r="B26" s="31" t="s">
        <v>260</v>
      </c>
      <c r="C26" s="56" t="s">
        <v>263</v>
      </c>
      <c r="D26" s="56" t="s">
        <v>264</v>
      </c>
      <c r="E26" s="56" t="s">
        <v>118</v>
      </c>
      <c r="F26" s="44">
        <v>5000</v>
      </c>
      <c r="G26" s="44">
        <v>5000</v>
      </c>
      <c r="H26" s="44"/>
      <c r="I26" s="30" t="s">
        <v>715</v>
      </c>
    </row>
    <row r="27" spans="1:9" s="30" customFormat="1" ht="39">
      <c r="A27" s="32">
        <v>4</v>
      </c>
      <c r="B27" s="31" t="s">
        <v>261</v>
      </c>
      <c r="C27" s="56" t="s">
        <v>215</v>
      </c>
      <c r="D27" s="56" t="s">
        <v>265</v>
      </c>
      <c r="E27" s="56" t="s">
        <v>118</v>
      </c>
      <c r="F27" s="44">
        <v>1000</v>
      </c>
      <c r="G27" s="44">
        <v>1000</v>
      </c>
      <c r="H27" s="44"/>
    </row>
    <row r="28" spans="1:9" s="30" customFormat="1" ht="18" customHeight="1">
      <c r="A28" s="14" t="s">
        <v>80</v>
      </c>
      <c r="B28" s="46" t="s">
        <v>13</v>
      </c>
      <c r="C28" s="36"/>
      <c r="D28" s="36"/>
      <c r="E28" s="23"/>
      <c r="F28" s="23">
        <v>0</v>
      </c>
      <c r="G28" s="23">
        <v>0</v>
      </c>
      <c r="H28" s="56"/>
      <c r="I28" s="80"/>
    </row>
    <row r="29" spans="1:9" s="30" customFormat="1" ht="18" customHeight="1">
      <c r="A29" s="14" t="s">
        <v>81</v>
      </c>
      <c r="B29" s="46" t="s">
        <v>11</v>
      </c>
      <c r="C29" s="36"/>
      <c r="D29" s="36">
        <v>2</v>
      </c>
      <c r="E29" s="23"/>
      <c r="F29" s="23">
        <v>6000</v>
      </c>
      <c r="G29" s="23">
        <v>6000</v>
      </c>
      <c r="H29" s="23"/>
    </row>
    <row r="30" spans="1:9" s="30" customFormat="1" ht="18" customHeight="1">
      <c r="A30" s="32">
        <v>1</v>
      </c>
      <c r="B30" s="31" t="s">
        <v>505</v>
      </c>
      <c r="C30" s="56" t="s">
        <v>508</v>
      </c>
      <c r="D30" s="56" t="s">
        <v>507</v>
      </c>
      <c r="E30" s="44"/>
      <c r="F30" s="44">
        <v>3000</v>
      </c>
      <c r="G30" s="44">
        <v>3000</v>
      </c>
      <c r="H30" s="44"/>
    </row>
    <row r="31" spans="1:9" s="30" customFormat="1" ht="18" customHeight="1">
      <c r="A31" s="32">
        <v>2</v>
      </c>
      <c r="B31" s="31" t="s">
        <v>506</v>
      </c>
      <c r="C31" s="56" t="s">
        <v>509</v>
      </c>
      <c r="D31" s="56" t="s">
        <v>507</v>
      </c>
      <c r="E31" s="44"/>
      <c r="F31" s="44">
        <v>3000</v>
      </c>
      <c r="G31" s="44">
        <v>3000</v>
      </c>
      <c r="H31" s="44"/>
    </row>
    <row r="32" spans="1:9" ht="18" customHeight="1">
      <c r="A32" s="42"/>
      <c r="B32" s="42"/>
      <c r="C32" s="42"/>
      <c r="D32" s="42"/>
      <c r="E32" s="42"/>
      <c r="F32" s="42"/>
      <c r="G32" s="42"/>
      <c r="H32" s="42"/>
    </row>
    <row r="33" spans="1:8" ht="18" customHeight="1">
      <c r="A33" s="1819" t="s">
        <v>40</v>
      </c>
      <c r="B33" s="1819"/>
      <c r="C33" s="1819"/>
      <c r="D33" s="1819"/>
      <c r="E33" s="1819"/>
      <c r="F33" s="1819"/>
      <c r="G33" s="1819"/>
      <c r="H33" s="1819"/>
    </row>
    <row r="34" spans="1:8" ht="30" customHeight="1">
      <c r="A34" s="1817" t="s">
        <v>75</v>
      </c>
      <c r="B34" s="1817"/>
      <c r="C34" s="1817"/>
      <c r="D34" s="1817"/>
      <c r="E34" s="1817"/>
      <c r="F34" s="1817"/>
      <c r="G34" s="1817"/>
      <c r="H34" s="1817"/>
    </row>
    <row r="35" spans="1:8" ht="30" customHeight="1">
      <c r="A35" s="1818" t="s">
        <v>73</v>
      </c>
      <c r="B35" s="1817"/>
      <c r="C35" s="1817"/>
      <c r="D35" s="1817"/>
      <c r="E35" s="1817"/>
      <c r="F35" s="1817"/>
      <c r="G35" s="1817"/>
      <c r="H35" s="1817"/>
    </row>
    <row r="36" spans="1:8" ht="30" customHeight="1">
      <c r="A36" s="1818" t="s">
        <v>74</v>
      </c>
      <c r="B36" s="1817"/>
      <c r="C36" s="1817"/>
      <c r="D36" s="1817"/>
      <c r="E36" s="1817"/>
      <c r="F36" s="1817"/>
      <c r="G36" s="1817"/>
      <c r="H36" s="1817"/>
    </row>
    <row r="37" spans="1:8" ht="18" customHeight="1"/>
    <row r="38" spans="1:8" ht="18" customHeight="1"/>
    <row r="39" spans="1:8" ht="18" customHeight="1"/>
    <row r="40" spans="1:8" ht="18" customHeight="1"/>
    <row r="41" spans="1:8" ht="18" customHeight="1"/>
    <row r="42" spans="1:8" ht="18" customHeight="1"/>
    <row r="43" spans="1:8" ht="18" customHeight="1"/>
    <row r="44" spans="1:8" ht="18" customHeight="1"/>
    <row r="45" spans="1:8" ht="18" customHeight="1"/>
  </sheetData>
  <mergeCells count="7">
    <mergeCell ref="A35:H35"/>
    <mergeCell ref="A36:H36"/>
    <mergeCell ref="A1:B1"/>
    <mergeCell ref="A2:H2"/>
    <mergeCell ref="A3:H3"/>
    <mergeCell ref="A33:H33"/>
    <mergeCell ref="A34:H34"/>
  </mergeCells>
  <pageMargins left="0.5" right="0.2" top="0.5" bottom="0.5" header="0.3" footer="0.3"/>
  <pageSetup paperSize="9" scale="9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zoomScaleNormal="100" zoomScaleSheetLayoutView="115" workbookViewId="0">
      <pane xSplit="2" ySplit="4" topLeftCell="C32" activePane="bottomRight" state="frozen"/>
      <selection pane="topRight" activeCell="C1" sqref="C1"/>
      <selection pane="bottomLeft" activeCell="A5" sqref="A5"/>
      <selection pane="bottomRight" sqref="A1:H34"/>
    </sheetView>
  </sheetViews>
  <sheetFormatPr defaultColWidth="9.08203125" defaultRowHeight="13"/>
  <cols>
    <col min="1" max="1" width="4.9140625" style="8" customWidth="1"/>
    <col min="2" max="2" width="33.9140625" style="8" customWidth="1"/>
    <col min="3" max="3" width="13.6640625" style="8" customWidth="1"/>
    <col min="4" max="4" width="9.33203125" style="8" customWidth="1"/>
    <col min="5" max="5" width="10.4140625" style="8" customWidth="1"/>
    <col min="6" max="6" width="9.6640625" style="8" customWidth="1"/>
    <col min="7" max="7" width="10.6640625" style="8" customWidth="1"/>
    <col min="8" max="8" width="12" style="8" customWidth="1"/>
    <col min="9" max="16384" width="9.08203125" style="8"/>
  </cols>
  <sheetData>
    <row r="1" spans="1:8" ht="21" customHeight="1">
      <c r="A1" s="1794" t="s">
        <v>72</v>
      </c>
      <c r="B1" s="1794"/>
      <c r="C1" s="38"/>
      <c r="D1" s="38"/>
      <c r="E1" s="38"/>
      <c r="F1" s="38"/>
      <c r="G1" s="7"/>
      <c r="H1" s="7"/>
    </row>
    <row r="2" spans="1:8" ht="36.75" customHeight="1">
      <c r="A2" s="1777" t="s">
        <v>400</v>
      </c>
      <c r="B2" s="1777"/>
      <c r="C2" s="1777"/>
      <c r="D2" s="1777"/>
      <c r="E2" s="1777"/>
      <c r="F2" s="1777"/>
      <c r="G2" s="1777"/>
      <c r="H2" s="1777"/>
    </row>
    <row r="3" spans="1:8" ht="18" customHeight="1">
      <c r="A3" s="1773" t="s">
        <v>3</v>
      </c>
      <c r="B3" s="1773"/>
      <c r="C3" s="1773"/>
      <c r="D3" s="1773"/>
      <c r="E3" s="1773"/>
      <c r="F3" s="1773"/>
      <c r="G3" s="1773"/>
      <c r="H3" s="1773"/>
    </row>
    <row r="4" spans="1:8" ht="30" customHeight="1">
      <c r="A4" s="66" t="s">
        <v>4</v>
      </c>
      <c r="B4" s="66" t="s">
        <v>5</v>
      </c>
      <c r="C4" s="66" t="s">
        <v>55</v>
      </c>
      <c r="D4" s="66" t="s">
        <v>606</v>
      </c>
      <c r="E4" s="65" t="s">
        <v>35</v>
      </c>
      <c r="F4" s="65" t="s">
        <v>79</v>
      </c>
      <c r="G4" s="65" t="s">
        <v>68</v>
      </c>
      <c r="H4" s="66" t="s">
        <v>33</v>
      </c>
    </row>
    <row r="5" spans="1:8" ht="18" customHeight="1">
      <c r="A5" s="22" t="s">
        <v>10</v>
      </c>
      <c r="B5" s="22" t="s">
        <v>12</v>
      </c>
      <c r="C5" s="22" t="s">
        <v>14</v>
      </c>
      <c r="D5" s="22" t="s">
        <v>16</v>
      </c>
      <c r="E5" s="22" t="s">
        <v>18</v>
      </c>
      <c r="F5" s="22" t="s">
        <v>20</v>
      </c>
      <c r="G5" s="22" t="s">
        <v>22</v>
      </c>
      <c r="H5" s="22" t="s">
        <v>24</v>
      </c>
    </row>
    <row r="6" spans="1:8" s="30" customFormat="1" ht="18" customHeight="1">
      <c r="A6" s="40"/>
      <c r="B6" s="40" t="s">
        <v>6</v>
      </c>
      <c r="C6" s="40"/>
      <c r="D6" s="36">
        <f>D7+D8+D10+D11+D13+D23+D30+D32</f>
        <v>307</v>
      </c>
      <c r="E6" s="40"/>
      <c r="F6" s="23">
        <f>F7+F8+F10+F11+F13+F23+F30+F32</f>
        <v>1626830</v>
      </c>
      <c r="G6" s="23">
        <f>G7+G8+G10+G11+G13+G23+G30+G32</f>
        <v>1625470</v>
      </c>
      <c r="H6" s="40"/>
    </row>
    <row r="7" spans="1:8" s="30" customFormat="1" ht="18" customHeight="1">
      <c r="A7" s="14" t="s">
        <v>8</v>
      </c>
      <c r="B7" s="46" t="s">
        <v>25</v>
      </c>
      <c r="C7" s="36"/>
      <c r="D7" s="36"/>
      <c r="E7" s="23"/>
      <c r="F7" s="23">
        <v>0</v>
      </c>
      <c r="G7" s="23">
        <v>0</v>
      </c>
      <c r="H7" s="56"/>
    </row>
    <row r="8" spans="1:8" s="30" customFormat="1" ht="18" customHeight="1">
      <c r="A8" s="14" t="s">
        <v>26</v>
      </c>
      <c r="B8" s="46" t="s">
        <v>23</v>
      </c>
      <c r="C8" s="36"/>
      <c r="D8" s="36">
        <v>17</v>
      </c>
      <c r="E8" s="23"/>
      <c r="F8" s="23">
        <v>28560</v>
      </c>
      <c r="G8" s="23">
        <f>SUM(G9:G9)</f>
        <v>27200</v>
      </c>
      <c r="H8" s="23"/>
    </row>
    <row r="9" spans="1:8" s="30" customFormat="1" ht="26">
      <c r="A9" s="32">
        <v>1</v>
      </c>
      <c r="B9" s="31" t="s">
        <v>401</v>
      </c>
      <c r="C9" s="87" t="s">
        <v>402</v>
      </c>
      <c r="D9" s="53">
        <v>17</v>
      </c>
      <c r="E9" s="56" t="s">
        <v>118</v>
      </c>
      <c r="F9" s="44">
        <v>28560</v>
      </c>
      <c r="G9" s="44">
        <v>27200</v>
      </c>
      <c r="H9" s="44"/>
    </row>
    <row r="10" spans="1:8" s="30" customFormat="1" ht="18" customHeight="1">
      <c r="A10" s="14" t="s">
        <v>28</v>
      </c>
      <c r="B10" s="46" t="s">
        <v>21</v>
      </c>
      <c r="C10" s="36"/>
      <c r="D10" s="36"/>
      <c r="E10" s="23"/>
      <c r="F10" s="23">
        <v>0</v>
      </c>
      <c r="G10" s="23">
        <v>0</v>
      </c>
      <c r="H10" s="56"/>
    </row>
    <row r="11" spans="1:8" s="30" customFormat="1" ht="18" customHeight="1">
      <c r="A11" s="14" t="s">
        <v>29</v>
      </c>
      <c r="B11" s="46" t="s">
        <v>19</v>
      </c>
      <c r="C11" s="36"/>
      <c r="D11" s="36">
        <v>5</v>
      </c>
      <c r="E11" s="23"/>
      <c r="F11" s="23">
        <v>8000</v>
      </c>
      <c r="G11" s="23">
        <v>8000</v>
      </c>
      <c r="H11" s="56"/>
    </row>
    <row r="12" spans="1:8" ht="52">
      <c r="A12" s="52"/>
      <c r="B12" s="31" t="s">
        <v>624</v>
      </c>
      <c r="C12" s="56" t="s">
        <v>702</v>
      </c>
      <c r="D12" s="56">
        <v>5</v>
      </c>
      <c r="E12" s="56" t="s">
        <v>383</v>
      </c>
      <c r="F12" s="44">
        <v>8000</v>
      </c>
      <c r="G12" s="44">
        <v>8000</v>
      </c>
      <c r="H12" s="56"/>
    </row>
    <row r="13" spans="1:8" s="30" customFormat="1" ht="18" customHeight="1">
      <c r="A13" s="14" t="s">
        <v>30</v>
      </c>
      <c r="B13" s="46" t="s">
        <v>17</v>
      </c>
      <c r="C13" s="36"/>
      <c r="D13" s="36">
        <v>98</v>
      </c>
      <c r="E13" s="23"/>
      <c r="F13" s="23">
        <v>970000</v>
      </c>
      <c r="G13" s="23">
        <v>970000</v>
      </c>
      <c r="H13" s="23"/>
    </row>
    <row r="14" spans="1:8" s="30" customFormat="1" ht="39">
      <c r="A14" s="32">
        <v>1</v>
      </c>
      <c r="B14" s="31" t="s">
        <v>427</v>
      </c>
      <c r="C14" s="56" t="s">
        <v>630</v>
      </c>
      <c r="D14" s="37">
        <v>25</v>
      </c>
      <c r="E14" s="32" t="s">
        <v>118</v>
      </c>
      <c r="F14" s="78">
        <v>190000</v>
      </c>
      <c r="G14" s="78">
        <v>190000</v>
      </c>
      <c r="H14" s="44"/>
    </row>
    <row r="15" spans="1:8" s="30" customFormat="1" ht="52">
      <c r="A15" s="32">
        <v>2</v>
      </c>
      <c r="B15" s="31" t="s">
        <v>428</v>
      </c>
      <c r="C15" s="56" t="s">
        <v>631</v>
      </c>
      <c r="D15" s="37">
        <v>8</v>
      </c>
      <c r="E15" s="32" t="s">
        <v>118</v>
      </c>
      <c r="F15" s="78">
        <v>200000</v>
      </c>
      <c r="G15" s="78">
        <v>200000</v>
      </c>
      <c r="H15" s="44"/>
    </row>
    <row r="16" spans="1:8" s="30" customFormat="1" ht="39">
      <c r="A16" s="32">
        <v>3</v>
      </c>
      <c r="B16" s="31" t="s">
        <v>429</v>
      </c>
      <c r="C16" s="56" t="s">
        <v>632</v>
      </c>
      <c r="D16" s="37">
        <v>9</v>
      </c>
      <c r="E16" s="32" t="s">
        <v>118</v>
      </c>
      <c r="F16" s="78">
        <v>70000</v>
      </c>
      <c r="G16" s="78">
        <v>70000</v>
      </c>
      <c r="H16" s="44"/>
    </row>
    <row r="17" spans="1:9" s="30" customFormat="1" ht="26">
      <c r="A17" s="32">
        <v>4</v>
      </c>
      <c r="B17" s="31" t="s">
        <v>628</v>
      </c>
      <c r="C17" s="32" t="s">
        <v>633</v>
      </c>
      <c r="D17" s="37" t="s">
        <v>629</v>
      </c>
      <c r="E17" s="32" t="s">
        <v>118</v>
      </c>
      <c r="F17" s="16">
        <f>G17</f>
        <v>100000</v>
      </c>
      <c r="G17" s="78">
        <v>100000</v>
      </c>
      <c r="H17" s="44"/>
    </row>
    <row r="18" spans="1:9" s="30" customFormat="1" ht="39">
      <c r="A18" s="32">
        <v>5</v>
      </c>
      <c r="B18" s="31" t="s">
        <v>430</v>
      </c>
      <c r="C18" s="56" t="s">
        <v>634</v>
      </c>
      <c r="D18" s="37">
        <v>8</v>
      </c>
      <c r="E18" s="32" t="s">
        <v>118</v>
      </c>
      <c r="F18" s="78">
        <v>20000</v>
      </c>
      <c r="G18" s="78">
        <v>20000</v>
      </c>
      <c r="H18" s="44"/>
    </row>
    <row r="19" spans="1:9" s="30" customFormat="1" ht="39">
      <c r="A19" s="32">
        <v>6</v>
      </c>
      <c r="B19" s="31" t="s">
        <v>431</v>
      </c>
      <c r="C19" s="56" t="s">
        <v>635</v>
      </c>
      <c r="D19" s="37" t="s">
        <v>607</v>
      </c>
      <c r="E19" s="32" t="s">
        <v>118</v>
      </c>
      <c r="F19" s="78">
        <v>70000</v>
      </c>
      <c r="G19" s="78">
        <v>70000</v>
      </c>
      <c r="H19" s="44"/>
    </row>
    <row r="20" spans="1:9" s="30" customFormat="1" ht="26">
      <c r="A20" s="32">
        <v>7</v>
      </c>
      <c r="B20" s="31" t="s">
        <v>432</v>
      </c>
      <c r="C20" s="56" t="s">
        <v>304</v>
      </c>
      <c r="D20" s="37" t="s">
        <v>608</v>
      </c>
      <c r="E20" s="32" t="s">
        <v>118</v>
      </c>
      <c r="F20" s="78">
        <v>150000</v>
      </c>
      <c r="G20" s="78">
        <v>150000</v>
      </c>
      <c r="H20" s="44"/>
    </row>
    <row r="21" spans="1:9" s="30" customFormat="1" ht="26">
      <c r="A21" s="32">
        <v>8</v>
      </c>
      <c r="B21" s="31" t="s">
        <v>433</v>
      </c>
      <c r="C21" s="56" t="s">
        <v>636</v>
      </c>
      <c r="D21" s="37" t="s">
        <v>609</v>
      </c>
      <c r="E21" s="32" t="s">
        <v>118</v>
      </c>
      <c r="F21" s="78">
        <v>70000</v>
      </c>
      <c r="G21" s="78">
        <v>70000</v>
      </c>
      <c r="H21" s="44"/>
    </row>
    <row r="22" spans="1:9" s="30" customFormat="1" ht="26">
      <c r="A22" s="32">
        <v>9</v>
      </c>
      <c r="B22" s="31" t="s">
        <v>434</v>
      </c>
      <c r="C22" s="56" t="s">
        <v>304</v>
      </c>
      <c r="D22" s="37" t="s">
        <v>607</v>
      </c>
      <c r="E22" s="32" t="s">
        <v>118</v>
      </c>
      <c r="F22" s="78">
        <v>100000</v>
      </c>
      <c r="G22" s="78">
        <v>100000</v>
      </c>
      <c r="H22" s="44"/>
    </row>
    <row r="23" spans="1:9" s="30" customFormat="1" ht="18" customHeight="1">
      <c r="A23" s="14" t="s">
        <v>31</v>
      </c>
      <c r="B23" s="46" t="s">
        <v>15</v>
      </c>
      <c r="C23" s="36"/>
      <c r="D23" s="36">
        <v>109.3</v>
      </c>
      <c r="E23" s="23"/>
      <c r="F23" s="23">
        <v>480650</v>
      </c>
      <c r="G23" s="23">
        <f>SUM(G24:G29)</f>
        <v>480650</v>
      </c>
      <c r="H23" s="23"/>
    </row>
    <row r="24" spans="1:9" s="30" customFormat="1">
      <c r="A24" s="32">
        <v>1</v>
      </c>
      <c r="B24" s="31" t="s">
        <v>246</v>
      </c>
      <c r="C24" s="56" t="s">
        <v>252</v>
      </c>
      <c r="D24" s="53">
        <v>13.5</v>
      </c>
      <c r="E24" s="56" t="s">
        <v>118</v>
      </c>
      <c r="F24" s="10">
        <v>47250</v>
      </c>
      <c r="G24" s="10">
        <v>47250</v>
      </c>
      <c r="H24" s="44"/>
    </row>
    <row r="25" spans="1:9" s="30" customFormat="1" ht="26">
      <c r="A25" s="32">
        <v>2</v>
      </c>
      <c r="B25" s="31" t="s">
        <v>247</v>
      </c>
      <c r="C25" s="56" t="s">
        <v>253</v>
      </c>
      <c r="D25" s="53">
        <v>13.8</v>
      </c>
      <c r="E25" s="56" t="s">
        <v>118</v>
      </c>
      <c r="F25" s="10">
        <v>41400</v>
      </c>
      <c r="G25" s="10">
        <v>41400</v>
      </c>
      <c r="H25" s="44"/>
    </row>
    <row r="26" spans="1:9" s="30" customFormat="1" ht="26">
      <c r="A26" s="32">
        <v>3</v>
      </c>
      <c r="B26" s="31" t="s">
        <v>248</v>
      </c>
      <c r="C26" s="56" t="s">
        <v>254</v>
      </c>
      <c r="D26" s="53">
        <v>9</v>
      </c>
      <c r="E26" s="56" t="s">
        <v>118</v>
      </c>
      <c r="F26" s="10">
        <v>27000</v>
      </c>
      <c r="G26" s="10">
        <v>27000</v>
      </c>
      <c r="H26" s="44"/>
    </row>
    <row r="27" spans="1:9" s="30" customFormat="1" ht="26">
      <c r="A27" s="32">
        <v>4</v>
      </c>
      <c r="B27" s="31" t="s">
        <v>249</v>
      </c>
      <c r="C27" s="56" t="s">
        <v>255</v>
      </c>
      <c r="D27" s="53">
        <v>30</v>
      </c>
      <c r="E27" s="56" t="s">
        <v>118</v>
      </c>
      <c r="F27" s="10">
        <v>135000</v>
      </c>
      <c r="G27" s="10">
        <v>135000</v>
      </c>
      <c r="H27" s="44"/>
    </row>
    <row r="28" spans="1:9" s="30" customFormat="1" ht="26">
      <c r="A28" s="32">
        <v>5</v>
      </c>
      <c r="B28" s="31" t="s">
        <v>250</v>
      </c>
      <c r="C28" s="56" t="s">
        <v>256</v>
      </c>
      <c r="D28" s="53">
        <v>20</v>
      </c>
      <c r="E28" s="56" t="s">
        <v>118</v>
      </c>
      <c r="F28" s="10">
        <v>110000</v>
      </c>
      <c r="G28" s="10">
        <v>110000</v>
      </c>
      <c r="H28" s="44"/>
    </row>
    <row r="29" spans="1:9" s="30" customFormat="1" ht="26">
      <c r="A29" s="32">
        <v>6</v>
      </c>
      <c r="B29" s="31" t="s">
        <v>251</v>
      </c>
      <c r="C29" s="56" t="s">
        <v>257</v>
      </c>
      <c r="D29" s="53">
        <v>23</v>
      </c>
      <c r="E29" s="56" t="s">
        <v>118</v>
      </c>
      <c r="F29" s="10">
        <v>120000</v>
      </c>
      <c r="G29" s="10">
        <v>120000</v>
      </c>
      <c r="H29" s="44"/>
    </row>
    <row r="30" spans="1:9" s="30" customFormat="1" ht="18" customHeight="1">
      <c r="A30" s="14" t="s">
        <v>80</v>
      </c>
      <c r="B30" s="46" t="s">
        <v>13</v>
      </c>
      <c r="C30" s="36"/>
      <c r="D30" s="36">
        <v>17</v>
      </c>
      <c r="E30" s="23"/>
      <c r="F30" s="23">
        <v>42500</v>
      </c>
      <c r="G30" s="23">
        <f>SUM(G31:G31)</f>
        <v>42500</v>
      </c>
      <c r="H30" s="56"/>
      <c r="I30" s="80"/>
    </row>
    <row r="31" spans="1:9" s="30" customFormat="1" ht="39">
      <c r="A31" s="32">
        <v>1</v>
      </c>
      <c r="B31" s="31" t="s">
        <v>413</v>
      </c>
      <c r="C31" s="56" t="s">
        <v>414</v>
      </c>
      <c r="D31" s="56">
        <v>17</v>
      </c>
      <c r="E31" s="56" t="s">
        <v>118</v>
      </c>
      <c r="F31" s="44">
        <v>42500</v>
      </c>
      <c r="G31" s="44">
        <v>42500</v>
      </c>
      <c r="H31" s="44"/>
    </row>
    <row r="32" spans="1:9" s="30" customFormat="1" ht="18" customHeight="1">
      <c r="A32" s="14" t="s">
        <v>81</v>
      </c>
      <c r="B32" s="46" t="s">
        <v>11</v>
      </c>
      <c r="C32" s="36"/>
      <c r="D32" s="36">
        <v>60.7</v>
      </c>
      <c r="E32" s="23"/>
      <c r="F32" s="23">
        <v>97120</v>
      </c>
      <c r="G32" s="23">
        <v>97120</v>
      </c>
      <c r="H32" s="23"/>
    </row>
    <row r="33" spans="1:8" s="30" customFormat="1" ht="26">
      <c r="A33" s="32">
        <v>1</v>
      </c>
      <c r="B33" s="31" t="s">
        <v>510</v>
      </c>
      <c r="C33" s="56" t="s">
        <v>512</v>
      </c>
      <c r="D33" s="53">
        <v>44.7</v>
      </c>
      <c r="E33" s="56" t="s">
        <v>118</v>
      </c>
      <c r="F33" s="44">
        <v>71520</v>
      </c>
      <c r="G33" s="44">
        <v>71520</v>
      </c>
      <c r="H33" s="44"/>
    </row>
    <row r="34" spans="1:8" s="30" customFormat="1" ht="26">
      <c r="A34" s="77">
        <v>2</v>
      </c>
      <c r="B34" s="67" t="s">
        <v>511</v>
      </c>
      <c r="C34" s="60" t="s">
        <v>513</v>
      </c>
      <c r="D34" s="60">
        <v>16</v>
      </c>
      <c r="E34" s="60" t="s">
        <v>118</v>
      </c>
      <c r="F34" s="45">
        <v>25600</v>
      </c>
      <c r="G34" s="45">
        <v>25600</v>
      </c>
      <c r="H34" s="45"/>
    </row>
    <row r="35" spans="1:8" ht="18" customHeight="1">
      <c r="A35" s="42"/>
      <c r="B35" s="42"/>
      <c r="C35" s="42"/>
      <c r="D35" s="42"/>
      <c r="E35" s="42"/>
      <c r="F35" s="42"/>
      <c r="G35" s="42"/>
      <c r="H35" s="42"/>
    </row>
    <row r="36" spans="1:8" ht="18" customHeight="1">
      <c r="A36" s="1819" t="s">
        <v>40</v>
      </c>
      <c r="B36" s="1819"/>
      <c r="C36" s="1819"/>
      <c r="D36" s="1819"/>
      <c r="E36" s="1819"/>
      <c r="F36" s="1819"/>
      <c r="G36" s="1819"/>
      <c r="H36" s="1819"/>
    </row>
    <row r="37" spans="1:8" ht="18" customHeight="1"/>
    <row r="38" spans="1:8" ht="18" customHeight="1"/>
    <row r="39" spans="1:8" ht="18" customHeight="1"/>
    <row r="40" spans="1:8" ht="18" customHeight="1"/>
    <row r="41" spans="1:8" ht="18" customHeight="1"/>
    <row r="42" spans="1:8" ht="18" customHeight="1"/>
    <row r="43" spans="1:8" ht="18" customHeight="1"/>
    <row r="44" spans="1:8" ht="18" customHeight="1"/>
    <row r="45" spans="1:8" ht="18" customHeight="1"/>
  </sheetData>
  <mergeCells count="4">
    <mergeCell ref="A1:B1"/>
    <mergeCell ref="A2:H2"/>
    <mergeCell ref="A3:H3"/>
    <mergeCell ref="A36:H36"/>
  </mergeCells>
  <pageMargins left="0.5" right="0.2" top="0.5" bottom="0.5" header="0.3" footer="0.3"/>
  <pageSetup paperSize="9" scale="9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6"/>
  <sheetViews>
    <sheetView zoomScaleNormal="100" zoomScaleSheetLayoutView="115" workbookViewId="0">
      <pane xSplit="2" ySplit="4" topLeftCell="C44" activePane="bottomRight" state="frozen"/>
      <selection pane="topRight" activeCell="C1" sqref="C1"/>
      <selection pane="bottomLeft" activeCell="A5" sqref="A5"/>
      <selection pane="bottomRight" activeCell="L63" sqref="L63"/>
    </sheetView>
  </sheetViews>
  <sheetFormatPr defaultColWidth="9.08203125" defaultRowHeight="13"/>
  <cols>
    <col min="1" max="1" width="4.9140625" style="8" customWidth="1"/>
    <col min="2" max="2" width="33.9140625" style="8" customWidth="1"/>
    <col min="3" max="3" width="12.08203125" style="8" customWidth="1"/>
    <col min="4" max="4" width="10.9140625" style="8" customWidth="1"/>
    <col min="5" max="5" width="10.4140625" style="8" customWidth="1"/>
    <col min="6" max="6" width="9.6640625" style="8" customWidth="1"/>
    <col min="7" max="7" width="10.6640625" style="8" customWidth="1"/>
    <col min="8" max="8" width="12.4140625" style="8" customWidth="1"/>
    <col min="9" max="16384" width="9.08203125" style="8"/>
  </cols>
  <sheetData>
    <row r="1" spans="1:8" ht="21" customHeight="1">
      <c r="A1" s="1794" t="s">
        <v>398</v>
      </c>
      <c r="B1" s="1794"/>
      <c r="C1" s="38"/>
      <c r="D1" s="38"/>
      <c r="E1" s="38"/>
      <c r="F1" s="38"/>
      <c r="G1" s="7"/>
      <c r="H1" s="7"/>
    </row>
    <row r="2" spans="1:8" ht="18" customHeight="1">
      <c r="A2" s="1777" t="s">
        <v>399</v>
      </c>
      <c r="B2" s="1777"/>
      <c r="C2" s="1777"/>
      <c r="D2" s="1777"/>
      <c r="E2" s="1777"/>
      <c r="F2" s="1777"/>
      <c r="G2" s="1777"/>
      <c r="H2" s="1777"/>
    </row>
    <row r="3" spans="1:8" ht="18" customHeight="1">
      <c r="A3" s="1773" t="s">
        <v>3</v>
      </c>
      <c r="B3" s="1773"/>
      <c r="C3" s="1773"/>
      <c r="D3" s="1773"/>
      <c r="E3" s="1773"/>
      <c r="F3" s="1773"/>
      <c r="G3" s="1773"/>
      <c r="H3" s="1773"/>
    </row>
    <row r="4" spans="1:8" ht="30" customHeight="1">
      <c r="A4" s="66" t="s">
        <v>4</v>
      </c>
      <c r="B4" s="66" t="s">
        <v>5</v>
      </c>
      <c r="C4" s="66" t="s">
        <v>55</v>
      </c>
      <c r="D4" s="66" t="s">
        <v>611</v>
      </c>
      <c r="E4" s="65" t="s">
        <v>35</v>
      </c>
      <c r="F4" s="65" t="s">
        <v>79</v>
      </c>
      <c r="G4" s="65" t="s">
        <v>68</v>
      </c>
      <c r="H4" s="66" t="s">
        <v>33</v>
      </c>
    </row>
    <row r="5" spans="1:8" ht="18" customHeight="1">
      <c r="A5" s="22" t="s">
        <v>10</v>
      </c>
      <c r="B5" s="22" t="s">
        <v>12</v>
      </c>
      <c r="C5" s="22" t="s">
        <v>14</v>
      </c>
      <c r="D5" s="22" t="s">
        <v>16</v>
      </c>
      <c r="E5" s="22" t="s">
        <v>18</v>
      </c>
      <c r="F5" s="22" t="s">
        <v>20</v>
      </c>
      <c r="G5" s="22" t="s">
        <v>22</v>
      </c>
      <c r="H5" s="22" t="s">
        <v>24</v>
      </c>
    </row>
    <row r="6" spans="1:8" s="30" customFormat="1" ht="18" customHeight="1">
      <c r="A6" s="40"/>
      <c r="B6" s="40" t="s">
        <v>6</v>
      </c>
      <c r="C6" s="40"/>
      <c r="D6" s="36">
        <f>D7+D8+D14+D15+D16+D28+D34+D36</f>
        <v>51</v>
      </c>
      <c r="E6" s="40"/>
      <c r="F6" s="23">
        <f>F7+F8+F14+F15+F16+F28+F34+F36</f>
        <v>298829</v>
      </c>
      <c r="G6" s="23">
        <f>G7+G8+G14+G15+G16+G28+G34+G36</f>
        <v>297986</v>
      </c>
      <c r="H6" s="40"/>
    </row>
    <row r="7" spans="1:8" s="30" customFormat="1" ht="18" customHeight="1">
      <c r="A7" s="14" t="s">
        <v>8</v>
      </c>
      <c r="B7" s="46" t="s">
        <v>25</v>
      </c>
      <c r="C7" s="36"/>
      <c r="D7" s="36"/>
      <c r="E7" s="23"/>
      <c r="F7" s="23">
        <v>0</v>
      </c>
      <c r="G7" s="23">
        <v>0</v>
      </c>
      <c r="H7" s="56"/>
    </row>
    <row r="8" spans="1:8" s="30" customFormat="1" ht="18" customHeight="1">
      <c r="A8" s="14" t="s">
        <v>26</v>
      </c>
      <c r="B8" s="46" t="s">
        <v>23</v>
      </c>
      <c r="C8" s="36"/>
      <c r="D8" s="36">
        <v>5</v>
      </c>
      <c r="E8" s="23"/>
      <c r="F8" s="23">
        <v>17734</v>
      </c>
      <c r="G8" s="23">
        <f>SUM(G9:G13)</f>
        <v>16891</v>
      </c>
      <c r="H8" s="23"/>
    </row>
    <row r="9" spans="1:8" s="30" customFormat="1" ht="26">
      <c r="A9" s="32">
        <v>1</v>
      </c>
      <c r="B9" s="31" t="s">
        <v>403</v>
      </c>
      <c r="C9" s="56" t="s">
        <v>368</v>
      </c>
      <c r="D9" s="53" t="s">
        <v>408</v>
      </c>
      <c r="E9" s="56" t="s">
        <v>118</v>
      </c>
      <c r="F9" s="44">
        <v>3675</v>
      </c>
      <c r="G9" s="44">
        <v>3500</v>
      </c>
      <c r="H9" s="44"/>
    </row>
    <row r="10" spans="1:8" s="30" customFormat="1" ht="26">
      <c r="A10" s="32">
        <v>2</v>
      </c>
      <c r="B10" s="31" t="s">
        <v>404</v>
      </c>
      <c r="C10" s="56" t="s">
        <v>368</v>
      </c>
      <c r="D10" s="53" t="s">
        <v>409</v>
      </c>
      <c r="E10" s="56" t="s">
        <v>118</v>
      </c>
      <c r="F10" s="44">
        <v>3491</v>
      </c>
      <c r="G10" s="44">
        <v>3325</v>
      </c>
      <c r="H10" s="44"/>
    </row>
    <row r="11" spans="1:8" s="30" customFormat="1" ht="26">
      <c r="A11" s="32">
        <v>3</v>
      </c>
      <c r="B11" s="31" t="s">
        <v>405</v>
      </c>
      <c r="C11" s="56" t="s">
        <v>345</v>
      </c>
      <c r="D11" s="53" t="s">
        <v>410</v>
      </c>
      <c r="E11" s="56" t="s">
        <v>118</v>
      </c>
      <c r="F11" s="44">
        <v>2756</v>
      </c>
      <c r="G11" s="44">
        <v>2625</v>
      </c>
      <c r="H11" s="44"/>
    </row>
    <row r="12" spans="1:8" s="30" customFormat="1" ht="26">
      <c r="A12" s="32">
        <v>4</v>
      </c>
      <c r="B12" s="31" t="s">
        <v>406</v>
      </c>
      <c r="C12" s="56" t="s">
        <v>412</v>
      </c>
      <c r="D12" s="53" t="s">
        <v>408</v>
      </c>
      <c r="E12" s="56" t="s">
        <v>118</v>
      </c>
      <c r="F12" s="44">
        <v>3324</v>
      </c>
      <c r="G12" s="44">
        <v>3166</v>
      </c>
      <c r="H12" s="44"/>
    </row>
    <row r="13" spans="1:8" s="30" customFormat="1" ht="26">
      <c r="A13" s="32">
        <v>5</v>
      </c>
      <c r="B13" s="31" t="s">
        <v>407</v>
      </c>
      <c r="C13" s="56" t="s">
        <v>412</v>
      </c>
      <c r="D13" s="53" t="s">
        <v>411</v>
      </c>
      <c r="E13" s="56" t="s">
        <v>118</v>
      </c>
      <c r="F13" s="44">
        <v>4488</v>
      </c>
      <c r="G13" s="44">
        <v>4275</v>
      </c>
      <c r="H13" s="44"/>
    </row>
    <row r="14" spans="1:8" s="30" customFormat="1" ht="18" customHeight="1">
      <c r="A14" s="14" t="s">
        <v>28</v>
      </c>
      <c r="B14" s="46" t="s">
        <v>21</v>
      </c>
      <c r="C14" s="36"/>
      <c r="D14" s="36"/>
      <c r="E14" s="23"/>
      <c r="F14" s="23">
        <v>0</v>
      </c>
      <c r="G14" s="23">
        <v>0</v>
      </c>
      <c r="H14" s="56"/>
    </row>
    <row r="15" spans="1:8" s="30" customFormat="1" ht="18" customHeight="1">
      <c r="A15" s="14" t="s">
        <v>29</v>
      </c>
      <c r="B15" s="46" t="s">
        <v>19</v>
      </c>
      <c r="C15" s="36"/>
      <c r="D15" s="36"/>
      <c r="E15" s="23"/>
      <c r="F15" s="23">
        <v>0</v>
      </c>
      <c r="G15" s="23">
        <v>0</v>
      </c>
      <c r="H15" s="56"/>
    </row>
    <row r="16" spans="1:8" s="30" customFormat="1" ht="18" customHeight="1">
      <c r="A16" s="14" t="s">
        <v>30</v>
      </c>
      <c r="B16" s="46" t="s">
        <v>17</v>
      </c>
      <c r="C16" s="36"/>
      <c r="D16" s="36">
        <v>11</v>
      </c>
      <c r="E16" s="23"/>
      <c r="F16" s="23">
        <v>91000</v>
      </c>
      <c r="G16" s="23">
        <v>91000</v>
      </c>
      <c r="H16" s="23"/>
    </row>
    <row r="17" spans="1:8" s="30" customFormat="1">
      <c r="A17" s="32">
        <v>1</v>
      </c>
      <c r="B17" s="31" t="s">
        <v>435</v>
      </c>
      <c r="C17" s="56" t="s">
        <v>453</v>
      </c>
      <c r="D17" s="37" t="s">
        <v>446</v>
      </c>
      <c r="E17" s="56" t="s">
        <v>118</v>
      </c>
      <c r="F17" s="78">
        <v>10000</v>
      </c>
      <c r="G17" s="78">
        <v>10000</v>
      </c>
      <c r="H17" s="44"/>
    </row>
    <row r="18" spans="1:8" s="30" customFormat="1">
      <c r="A18" s="32">
        <v>2</v>
      </c>
      <c r="B18" s="31" t="s">
        <v>436</v>
      </c>
      <c r="C18" s="56" t="s">
        <v>459</v>
      </c>
      <c r="D18" s="37" t="s">
        <v>446</v>
      </c>
      <c r="E18" s="56" t="s">
        <v>118</v>
      </c>
      <c r="F18" s="78">
        <v>25000</v>
      </c>
      <c r="G18" s="78">
        <v>25000</v>
      </c>
      <c r="H18" s="44"/>
    </row>
    <row r="19" spans="1:8" s="30" customFormat="1" ht="26">
      <c r="A19" s="32">
        <v>3</v>
      </c>
      <c r="B19" s="31" t="s">
        <v>437</v>
      </c>
      <c r="C19" s="56" t="s">
        <v>454</v>
      </c>
      <c r="D19" s="37" t="s">
        <v>447</v>
      </c>
      <c r="E19" s="56" t="s">
        <v>118</v>
      </c>
      <c r="F19" s="78">
        <v>1500</v>
      </c>
      <c r="G19" s="78">
        <v>1500</v>
      </c>
      <c r="H19" s="44"/>
    </row>
    <row r="20" spans="1:8" s="30" customFormat="1">
      <c r="A20" s="32">
        <v>4</v>
      </c>
      <c r="B20" s="31" t="s">
        <v>438</v>
      </c>
      <c r="C20" s="56" t="s">
        <v>455</v>
      </c>
      <c r="D20" s="37" t="s">
        <v>448</v>
      </c>
      <c r="E20" s="56" t="s">
        <v>118</v>
      </c>
      <c r="F20" s="78">
        <v>7500</v>
      </c>
      <c r="G20" s="78">
        <v>7500</v>
      </c>
      <c r="H20" s="44"/>
    </row>
    <row r="21" spans="1:8" s="30" customFormat="1">
      <c r="A21" s="32">
        <v>5</v>
      </c>
      <c r="B21" s="31" t="s">
        <v>439</v>
      </c>
      <c r="C21" s="56" t="s">
        <v>455</v>
      </c>
      <c r="D21" s="37" t="s">
        <v>449</v>
      </c>
      <c r="E21" s="56" t="s">
        <v>118</v>
      </c>
      <c r="F21" s="78">
        <v>5000</v>
      </c>
      <c r="G21" s="78">
        <v>5000</v>
      </c>
      <c r="H21" s="44"/>
    </row>
    <row r="22" spans="1:8" s="30" customFormat="1">
      <c r="A22" s="32">
        <v>6</v>
      </c>
      <c r="B22" s="31" t="s">
        <v>440</v>
      </c>
      <c r="C22" s="56" t="s">
        <v>455</v>
      </c>
      <c r="D22" s="37" t="s">
        <v>450</v>
      </c>
      <c r="E22" s="56" t="s">
        <v>118</v>
      </c>
      <c r="F22" s="78">
        <v>8000</v>
      </c>
      <c r="G22" s="78">
        <v>8000</v>
      </c>
      <c r="H22" s="44"/>
    </row>
    <row r="23" spans="1:8" s="30" customFormat="1">
      <c r="A23" s="32">
        <v>7</v>
      </c>
      <c r="B23" s="31" t="s">
        <v>441</v>
      </c>
      <c r="C23" s="56" t="s">
        <v>456</v>
      </c>
      <c r="D23" s="37" t="s">
        <v>449</v>
      </c>
      <c r="E23" s="56" t="s">
        <v>118</v>
      </c>
      <c r="F23" s="78">
        <v>15000</v>
      </c>
      <c r="G23" s="78">
        <v>15000</v>
      </c>
      <c r="H23" s="44"/>
    </row>
    <row r="24" spans="1:8" s="30" customFormat="1">
      <c r="A24" s="32">
        <v>8</v>
      </c>
      <c r="B24" s="31" t="s">
        <v>442</v>
      </c>
      <c r="C24" s="56" t="s">
        <v>457</v>
      </c>
      <c r="D24" s="37" t="s">
        <v>451</v>
      </c>
      <c r="E24" s="56" t="s">
        <v>118</v>
      </c>
      <c r="F24" s="78">
        <v>4000</v>
      </c>
      <c r="G24" s="78">
        <v>4000</v>
      </c>
      <c r="H24" s="44"/>
    </row>
    <row r="25" spans="1:8" s="30" customFormat="1">
      <c r="A25" s="32">
        <v>9</v>
      </c>
      <c r="B25" s="31" t="s">
        <v>443</v>
      </c>
      <c r="C25" s="56" t="s">
        <v>457</v>
      </c>
      <c r="D25" s="37" t="s">
        <v>451</v>
      </c>
      <c r="E25" s="56" t="s">
        <v>118</v>
      </c>
      <c r="F25" s="78">
        <v>4000</v>
      </c>
      <c r="G25" s="78">
        <v>4000</v>
      </c>
      <c r="H25" s="44"/>
    </row>
    <row r="26" spans="1:8" s="30" customFormat="1">
      <c r="A26" s="32">
        <v>10</v>
      </c>
      <c r="B26" s="31" t="s">
        <v>444</v>
      </c>
      <c r="C26" s="56" t="s">
        <v>458</v>
      </c>
      <c r="D26" s="37" t="s">
        <v>449</v>
      </c>
      <c r="E26" s="56" t="s">
        <v>118</v>
      </c>
      <c r="F26" s="78">
        <v>5000</v>
      </c>
      <c r="G26" s="78">
        <v>5000</v>
      </c>
      <c r="H26" s="44"/>
    </row>
    <row r="27" spans="1:8" s="30" customFormat="1">
      <c r="A27" s="32">
        <v>11</v>
      </c>
      <c r="B27" s="31" t="s">
        <v>445</v>
      </c>
      <c r="C27" s="56" t="s">
        <v>460</v>
      </c>
      <c r="D27" s="37" t="s">
        <v>452</v>
      </c>
      <c r="E27" s="56" t="s">
        <v>118</v>
      </c>
      <c r="F27" s="16">
        <v>6000</v>
      </c>
      <c r="G27" s="16">
        <v>6000</v>
      </c>
      <c r="H27" s="44"/>
    </row>
    <row r="28" spans="1:8" s="30" customFormat="1" ht="18" customHeight="1">
      <c r="A28" s="14" t="s">
        <v>31</v>
      </c>
      <c r="B28" s="46" t="s">
        <v>15</v>
      </c>
      <c r="C28" s="36"/>
      <c r="D28" s="36">
        <v>5</v>
      </c>
      <c r="E28" s="23"/>
      <c r="F28" s="23">
        <v>33500</v>
      </c>
      <c r="G28" s="23">
        <f>SUM(G29:G33)</f>
        <v>33500</v>
      </c>
      <c r="H28" s="23"/>
    </row>
    <row r="29" spans="1:8" s="30" customFormat="1" ht="26">
      <c r="A29" s="32">
        <v>1</v>
      </c>
      <c r="B29" s="31" t="s">
        <v>417</v>
      </c>
      <c r="C29" s="56" t="s">
        <v>219</v>
      </c>
      <c r="D29" s="56" t="s">
        <v>421</v>
      </c>
      <c r="E29" s="56" t="s">
        <v>118</v>
      </c>
      <c r="F29" s="44">
        <v>1500</v>
      </c>
      <c r="G29" s="44">
        <f>+F29</f>
        <v>1500</v>
      </c>
      <c r="H29" s="44"/>
    </row>
    <row r="30" spans="1:8" s="30" customFormat="1" ht="26">
      <c r="A30" s="32">
        <v>2</v>
      </c>
      <c r="B30" s="31" t="s">
        <v>418</v>
      </c>
      <c r="C30" s="56" t="s">
        <v>219</v>
      </c>
      <c r="D30" s="56" t="s">
        <v>422</v>
      </c>
      <c r="E30" s="56" t="s">
        <v>118</v>
      </c>
      <c r="F30" s="44">
        <v>5000</v>
      </c>
      <c r="G30" s="44">
        <f t="shared" ref="G30:G33" si="0">+F30</f>
        <v>5000</v>
      </c>
      <c r="H30" s="44"/>
    </row>
    <row r="31" spans="1:8" s="30" customFormat="1" ht="26">
      <c r="A31" s="32">
        <v>3</v>
      </c>
      <c r="B31" s="31" t="s">
        <v>426</v>
      </c>
      <c r="C31" s="56" t="s">
        <v>219</v>
      </c>
      <c r="D31" s="56" t="s">
        <v>423</v>
      </c>
      <c r="E31" s="56" t="s">
        <v>118</v>
      </c>
      <c r="F31" s="44">
        <v>5000</v>
      </c>
      <c r="G31" s="44">
        <f t="shared" si="0"/>
        <v>5000</v>
      </c>
      <c r="H31" s="44"/>
    </row>
    <row r="32" spans="1:8" s="30" customFormat="1" ht="26">
      <c r="A32" s="32">
        <v>4</v>
      </c>
      <c r="B32" s="31" t="s">
        <v>419</v>
      </c>
      <c r="C32" s="56" t="s">
        <v>209</v>
      </c>
      <c r="D32" s="56" t="s">
        <v>424</v>
      </c>
      <c r="E32" s="56" t="s">
        <v>118</v>
      </c>
      <c r="F32" s="44">
        <v>10000</v>
      </c>
      <c r="G32" s="44">
        <f t="shared" si="0"/>
        <v>10000</v>
      </c>
      <c r="H32" s="44"/>
    </row>
    <row r="33" spans="1:9" s="30" customFormat="1" ht="26">
      <c r="A33" s="32"/>
      <c r="B33" s="31" t="s">
        <v>420</v>
      </c>
      <c r="C33" s="56" t="s">
        <v>210</v>
      </c>
      <c r="D33" s="56" t="s">
        <v>425</v>
      </c>
      <c r="E33" s="56" t="s">
        <v>118</v>
      </c>
      <c r="F33" s="44">
        <v>12000</v>
      </c>
      <c r="G33" s="44">
        <f t="shared" si="0"/>
        <v>12000</v>
      </c>
      <c r="H33" s="44"/>
    </row>
    <row r="34" spans="1:9" s="30" customFormat="1" ht="18" customHeight="1">
      <c r="A34" s="14" t="s">
        <v>80</v>
      </c>
      <c r="B34" s="46" t="s">
        <v>13</v>
      </c>
      <c r="C34" s="36"/>
      <c r="D34" s="36">
        <v>1</v>
      </c>
      <c r="E34" s="23"/>
      <c r="F34" s="23">
        <v>20000</v>
      </c>
      <c r="G34" s="23">
        <f>SUM(G35:G35)</f>
        <v>20000</v>
      </c>
      <c r="H34" s="56"/>
      <c r="I34" s="80"/>
    </row>
    <row r="35" spans="1:9" s="30" customFormat="1" ht="26">
      <c r="A35" s="32">
        <v>1</v>
      </c>
      <c r="B35" s="31" t="s">
        <v>415</v>
      </c>
      <c r="C35" s="56"/>
      <c r="D35" s="56" t="s">
        <v>416</v>
      </c>
      <c r="E35" s="44"/>
      <c r="F35" s="25">
        <v>20000</v>
      </c>
      <c r="G35" s="25">
        <f>F35</f>
        <v>20000</v>
      </c>
      <c r="H35" s="44"/>
    </row>
    <row r="36" spans="1:9" s="30" customFormat="1" ht="18" customHeight="1">
      <c r="A36" s="14" t="s">
        <v>81</v>
      </c>
      <c r="B36" s="46" t="s">
        <v>11</v>
      </c>
      <c r="C36" s="36"/>
      <c r="D36" s="36">
        <v>29</v>
      </c>
      <c r="E36" s="23"/>
      <c r="F36" s="23">
        <v>136595</v>
      </c>
      <c r="G36" s="23">
        <v>136595</v>
      </c>
      <c r="H36" s="23"/>
    </row>
    <row r="37" spans="1:9" s="30" customFormat="1" ht="26">
      <c r="A37" s="32">
        <v>1</v>
      </c>
      <c r="B37" s="31" t="s">
        <v>514</v>
      </c>
      <c r="C37" s="56" t="s">
        <v>663</v>
      </c>
      <c r="D37" s="56" t="s">
        <v>542</v>
      </c>
      <c r="E37" s="56" t="s">
        <v>118</v>
      </c>
      <c r="F37" s="44">
        <v>5610</v>
      </c>
      <c r="G37" s="44">
        <v>5610</v>
      </c>
      <c r="H37" s="44"/>
      <c r="I37" s="79"/>
    </row>
    <row r="38" spans="1:9" s="30" customFormat="1" ht="26">
      <c r="A38" s="32">
        <v>2</v>
      </c>
      <c r="B38" s="31" t="s">
        <v>515</v>
      </c>
      <c r="C38" s="56" t="s">
        <v>664</v>
      </c>
      <c r="D38" s="56" t="s">
        <v>543</v>
      </c>
      <c r="E38" s="56" t="s">
        <v>118</v>
      </c>
      <c r="F38" s="44">
        <v>1360</v>
      </c>
      <c r="G38" s="44">
        <v>1360</v>
      </c>
      <c r="H38" s="44"/>
      <c r="I38" s="79"/>
    </row>
    <row r="39" spans="1:9" s="30" customFormat="1" ht="26">
      <c r="A39" s="32">
        <v>3</v>
      </c>
      <c r="B39" s="31" t="s">
        <v>643</v>
      </c>
      <c r="C39" s="56" t="s">
        <v>467</v>
      </c>
      <c r="D39" s="56" t="s">
        <v>544</v>
      </c>
      <c r="E39" s="56" t="s">
        <v>118</v>
      </c>
      <c r="F39" s="44">
        <v>2040</v>
      </c>
      <c r="G39" s="44">
        <v>2040</v>
      </c>
      <c r="H39" s="44"/>
      <c r="I39" s="79"/>
    </row>
    <row r="40" spans="1:9" s="30" customFormat="1" ht="26">
      <c r="A40" s="32">
        <v>4</v>
      </c>
      <c r="B40" s="31" t="s">
        <v>516</v>
      </c>
      <c r="C40" s="56" t="s">
        <v>665</v>
      </c>
      <c r="D40" s="56" t="s">
        <v>545</v>
      </c>
      <c r="E40" s="56" t="s">
        <v>118</v>
      </c>
      <c r="F40" s="44">
        <v>4080</v>
      </c>
      <c r="G40" s="44">
        <v>4080</v>
      </c>
      <c r="H40" s="44"/>
      <c r="I40" s="79"/>
    </row>
    <row r="41" spans="1:9" s="30" customFormat="1" ht="26">
      <c r="A41" s="32">
        <v>5</v>
      </c>
      <c r="B41" s="31" t="s">
        <v>517</v>
      </c>
      <c r="C41" s="56" t="s">
        <v>665</v>
      </c>
      <c r="D41" s="56" t="s">
        <v>545</v>
      </c>
      <c r="E41" s="56" t="s">
        <v>118</v>
      </c>
      <c r="F41" s="44">
        <v>4080</v>
      </c>
      <c r="G41" s="44">
        <v>4080</v>
      </c>
      <c r="H41" s="44"/>
      <c r="I41" s="79"/>
    </row>
    <row r="42" spans="1:9" s="30" customFormat="1" ht="26">
      <c r="A42" s="32">
        <v>6</v>
      </c>
      <c r="B42" s="31" t="s">
        <v>518</v>
      </c>
      <c r="C42" s="56" t="s">
        <v>467</v>
      </c>
      <c r="D42" s="56" t="s">
        <v>546</v>
      </c>
      <c r="E42" s="56" t="s">
        <v>118</v>
      </c>
      <c r="F42" s="44">
        <v>4590</v>
      </c>
      <c r="G42" s="44">
        <v>4590</v>
      </c>
      <c r="H42" s="44"/>
      <c r="I42" s="79"/>
    </row>
    <row r="43" spans="1:9" s="30" customFormat="1" ht="26">
      <c r="A43" s="32">
        <v>7</v>
      </c>
      <c r="B43" s="31" t="s">
        <v>519</v>
      </c>
      <c r="C43" s="56" t="s">
        <v>666</v>
      </c>
      <c r="D43" s="56" t="s">
        <v>547</v>
      </c>
      <c r="E43" s="56" t="s">
        <v>118</v>
      </c>
      <c r="F43" s="44">
        <v>5610</v>
      </c>
      <c r="G43" s="44">
        <v>5610</v>
      </c>
      <c r="H43" s="44"/>
      <c r="I43" s="79"/>
    </row>
    <row r="44" spans="1:9" s="30" customFormat="1" ht="26">
      <c r="A44" s="32">
        <v>8</v>
      </c>
      <c r="B44" s="31" t="s">
        <v>520</v>
      </c>
      <c r="C44" s="56" t="s">
        <v>667</v>
      </c>
      <c r="D44" s="56" t="s">
        <v>546</v>
      </c>
      <c r="E44" s="56" t="s">
        <v>118</v>
      </c>
      <c r="F44" s="44">
        <v>4590</v>
      </c>
      <c r="G44" s="44">
        <v>4590</v>
      </c>
      <c r="H44" s="44"/>
      <c r="I44" s="79"/>
    </row>
    <row r="45" spans="1:9" s="30" customFormat="1" ht="26">
      <c r="A45" s="32">
        <v>9</v>
      </c>
      <c r="B45" s="31" t="s">
        <v>521</v>
      </c>
      <c r="C45" s="56" t="s">
        <v>667</v>
      </c>
      <c r="D45" s="56" t="s">
        <v>546</v>
      </c>
      <c r="E45" s="56" t="s">
        <v>118</v>
      </c>
      <c r="F45" s="44">
        <v>4590</v>
      </c>
      <c r="G45" s="44">
        <v>4590</v>
      </c>
      <c r="H45" s="44"/>
      <c r="I45" s="79"/>
    </row>
    <row r="46" spans="1:9" s="30" customFormat="1" ht="26">
      <c r="A46" s="32">
        <v>10</v>
      </c>
      <c r="B46" s="31" t="s">
        <v>522</v>
      </c>
      <c r="C46" s="56" t="s">
        <v>668</v>
      </c>
      <c r="D46" s="56" t="s">
        <v>548</v>
      </c>
      <c r="E46" s="56" t="s">
        <v>118</v>
      </c>
      <c r="F46" s="44">
        <v>11220</v>
      </c>
      <c r="G46" s="44">
        <v>11220</v>
      </c>
      <c r="H46" s="44"/>
      <c r="I46" s="81"/>
    </row>
    <row r="47" spans="1:9" s="30" customFormat="1" ht="26">
      <c r="A47" s="32">
        <v>11</v>
      </c>
      <c r="B47" s="31" t="s">
        <v>523</v>
      </c>
      <c r="C47" s="56" t="s">
        <v>669</v>
      </c>
      <c r="D47" s="56" t="s">
        <v>549</v>
      </c>
      <c r="E47" s="56" t="s">
        <v>118</v>
      </c>
      <c r="F47" s="44">
        <v>8415</v>
      </c>
      <c r="G47" s="44">
        <v>8415</v>
      </c>
      <c r="H47" s="44"/>
      <c r="I47" s="79"/>
    </row>
    <row r="48" spans="1:9" s="30" customFormat="1" ht="39">
      <c r="A48" s="32">
        <v>12</v>
      </c>
      <c r="B48" s="31" t="s">
        <v>524</v>
      </c>
      <c r="C48" s="56" t="s">
        <v>669</v>
      </c>
      <c r="D48" s="56" t="s">
        <v>550</v>
      </c>
      <c r="E48" s="56" t="s">
        <v>118</v>
      </c>
      <c r="F48" s="44">
        <v>4080</v>
      </c>
      <c r="G48" s="44">
        <v>4080</v>
      </c>
      <c r="H48" s="44"/>
      <c r="I48" s="79"/>
    </row>
    <row r="49" spans="1:9" s="30" customFormat="1" ht="26">
      <c r="A49" s="32">
        <v>13</v>
      </c>
      <c r="B49" s="31" t="s">
        <v>525</v>
      </c>
      <c r="C49" s="56" t="s">
        <v>670</v>
      </c>
      <c r="D49" s="56" t="s">
        <v>551</v>
      </c>
      <c r="E49" s="56" t="s">
        <v>118</v>
      </c>
      <c r="F49" s="44">
        <v>2805</v>
      </c>
      <c r="G49" s="44">
        <v>2805</v>
      </c>
      <c r="H49" s="44"/>
      <c r="I49" s="79"/>
    </row>
    <row r="50" spans="1:9" s="30" customFormat="1" ht="26">
      <c r="A50" s="32">
        <v>14</v>
      </c>
      <c r="B50" s="31" t="s">
        <v>526</v>
      </c>
      <c r="C50" s="56" t="s">
        <v>671</v>
      </c>
      <c r="D50" s="56" t="s">
        <v>547</v>
      </c>
      <c r="E50" s="56" t="s">
        <v>118</v>
      </c>
      <c r="F50" s="44">
        <v>5610</v>
      </c>
      <c r="G50" s="44">
        <v>5610</v>
      </c>
      <c r="H50" s="44"/>
      <c r="I50" s="79"/>
    </row>
    <row r="51" spans="1:9" s="30" customFormat="1" ht="26">
      <c r="A51" s="32">
        <v>15</v>
      </c>
      <c r="B51" s="31" t="s">
        <v>527</v>
      </c>
      <c r="C51" s="56" t="s">
        <v>672</v>
      </c>
      <c r="D51" s="56" t="s">
        <v>547</v>
      </c>
      <c r="E51" s="56" t="s">
        <v>118</v>
      </c>
      <c r="F51" s="44">
        <v>5610</v>
      </c>
      <c r="G51" s="44">
        <v>5610</v>
      </c>
      <c r="H51" s="44"/>
      <c r="I51" s="79"/>
    </row>
    <row r="52" spans="1:9" s="30" customFormat="1" ht="26">
      <c r="A52" s="32">
        <v>16</v>
      </c>
      <c r="B52" s="31" t="s">
        <v>528</v>
      </c>
      <c r="C52" s="56" t="s">
        <v>468</v>
      </c>
      <c r="D52" s="56" t="s">
        <v>551</v>
      </c>
      <c r="E52" s="56" t="s">
        <v>118</v>
      </c>
      <c r="F52" s="44">
        <v>2805</v>
      </c>
      <c r="G52" s="44">
        <v>2805</v>
      </c>
      <c r="H52" s="44"/>
      <c r="I52" s="79"/>
    </row>
    <row r="53" spans="1:9" s="30" customFormat="1" ht="26">
      <c r="A53" s="32">
        <v>17</v>
      </c>
      <c r="B53" s="31" t="s">
        <v>529</v>
      </c>
      <c r="C53" s="56" t="s">
        <v>673</v>
      </c>
      <c r="D53" s="56" t="s">
        <v>551</v>
      </c>
      <c r="E53" s="56" t="s">
        <v>118</v>
      </c>
      <c r="F53" s="44">
        <v>2805</v>
      </c>
      <c r="G53" s="44">
        <v>2805</v>
      </c>
      <c r="H53" s="44"/>
      <c r="I53" s="79"/>
    </row>
    <row r="54" spans="1:9" s="30" customFormat="1" ht="26">
      <c r="A54" s="32">
        <v>18</v>
      </c>
      <c r="B54" s="31" t="s">
        <v>530</v>
      </c>
      <c r="C54" s="56" t="s">
        <v>674</v>
      </c>
      <c r="D54" s="56" t="s">
        <v>544</v>
      </c>
      <c r="E54" s="56" t="s">
        <v>118</v>
      </c>
      <c r="F54" s="44">
        <v>2040</v>
      </c>
      <c r="G54" s="44">
        <v>2040</v>
      </c>
      <c r="H54" s="44"/>
      <c r="I54" s="79"/>
    </row>
    <row r="55" spans="1:9" s="30" customFormat="1" ht="26">
      <c r="A55" s="32">
        <v>19</v>
      </c>
      <c r="B55" s="31" t="s">
        <v>531</v>
      </c>
      <c r="C55" s="56" t="s">
        <v>675</v>
      </c>
      <c r="D55" s="56" t="s">
        <v>544</v>
      </c>
      <c r="E55" s="56" t="s">
        <v>118</v>
      </c>
      <c r="F55" s="44">
        <v>2040</v>
      </c>
      <c r="G55" s="44">
        <v>2040</v>
      </c>
      <c r="H55" s="44"/>
      <c r="I55" s="79"/>
    </row>
    <row r="56" spans="1:9" s="30" customFormat="1" ht="26">
      <c r="A56" s="32">
        <v>20</v>
      </c>
      <c r="B56" s="31" t="s">
        <v>532</v>
      </c>
      <c r="C56" s="56" t="s">
        <v>676</v>
      </c>
      <c r="D56" s="56" t="s">
        <v>552</v>
      </c>
      <c r="E56" s="56" t="s">
        <v>118</v>
      </c>
      <c r="F56" s="44">
        <v>6120</v>
      </c>
      <c r="G56" s="44">
        <v>6120</v>
      </c>
      <c r="H56" s="44"/>
      <c r="I56" s="79"/>
    </row>
    <row r="57" spans="1:9" s="30" customFormat="1" ht="26">
      <c r="A57" s="32">
        <v>21</v>
      </c>
      <c r="B57" s="31" t="s">
        <v>533</v>
      </c>
      <c r="C57" s="56" t="s">
        <v>677</v>
      </c>
      <c r="D57" s="56" t="s">
        <v>548</v>
      </c>
      <c r="E57" s="56" t="s">
        <v>118</v>
      </c>
      <c r="F57" s="44">
        <v>11220</v>
      </c>
      <c r="G57" s="44">
        <v>11220</v>
      </c>
      <c r="H57" s="44"/>
      <c r="I57" s="79"/>
    </row>
    <row r="58" spans="1:9" s="30" customFormat="1" ht="26">
      <c r="A58" s="32">
        <v>22</v>
      </c>
      <c r="B58" s="31" t="s">
        <v>534</v>
      </c>
      <c r="C58" s="56" t="s">
        <v>678</v>
      </c>
      <c r="D58" s="56" t="s">
        <v>549</v>
      </c>
      <c r="E58" s="56" t="s">
        <v>118</v>
      </c>
      <c r="F58" s="44">
        <v>8415</v>
      </c>
      <c r="G58" s="44">
        <v>8415</v>
      </c>
      <c r="H58" s="44"/>
      <c r="I58" s="79"/>
    </row>
    <row r="59" spans="1:9" s="30" customFormat="1" ht="26">
      <c r="A59" s="32">
        <v>23</v>
      </c>
      <c r="B59" s="31" t="s">
        <v>535</v>
      </c>
      <c r="C59" s="56" t="s">
        <v>679</v>
      </c>
      <c r="D59" s="56" t="s">
        <v>552</v>
      </c>
      <c r="E59" s="56" t="s">
        <v>118</v>
      </c>
      <c r="F59" s="44">
        <v>6120</v>
      </c>
      <c r="G59" s="44">
        <v>6120</v>
      </c>
      <c r="H59" s="44"/>
      <c r="I59" s="79"/>
    </row>
    <row r="60" spans="1:9" s="30" customFormat="1" ht="26">
      <c r="A60" s="32">
        <v>24</v>
      </c>
      <c r="B60" s="31" t="s">
        <v>536</v>
      </c>
      <c r="C60" s="56" t="s">
        <v>680</v>
      </c>
      <c r="D60" s="56" t="s">
        <v>545</v>
      </c>
      <c r="E60" s="56" t="s">
        <v>118</v>
      </c>
      <c r="F60" s="44">
        <v>4080</v>
      </c>
      <c r="G60" s="44">
        <v>4080</v>
      </c>
      <c r="H60" s="44"/>
      <c r="I60" s="79"/>
    </row>
    <row r="61" spans="1:9" s="30" customFormat="1" ht="26">
      <c r="A61" s="32">
        <v>25</v>
      </c>
      <c r="B61" s="31" t="s">
        <v>537</v>
      </c>
      <c r="C61" s="56" t="s">
        <v>681</v>
      </c>
      <c r="D61" s="56" t="s">
        <v>545</v>
      </c>
      <c r="E61" s="56" t="s">
        <v>118</v>
      </c>
      <c r="F61" s="44">
        <v>4080</v>
      </c>
      <c r="G61" s="44">
        <v>4080</v>
      </c>
      <c r="H61" s="44"/>
      <c r="I61" s="79"/>
    </row>
    <row r="62" spans="1:9" s="30" customFormat="1" ht="26">
      <c r="A62" s="32">
        <v>26</v>
      </c>
      <c r="B62" s="31" t="s">
        <v>538</v>
      </c>
      <c r="C62" s="56" t="s">
        <v>682</v>
      </c>
      <c r="D62" s="56" t="s">
        <v>544</v>
      </c>
      <c r="E62" s="56" t="s">
        <v>118</v>
      </c>
      <c r="F62" s="44">
        <v>2040</v>
      </c>
      <c r="G62" s="44">
        <v>2040</v>
      </c>
      <c r="H62" s="44"/>
      <c r="I62" s="79"/>
    </row>
    <row r="63" spans="1:9" s="30" customFormat="1" ht="26">
      <c r="A63" s="32">
        <v>27</v>
      </c>
      <c r="B63" s="31" t="s">
        <v>539</v>
      </c>
      <c r="C63" s="56" t="s">
        <v>683</v>
      </c>
      <c r="D63" s="56" t="s">
        <v>544</v>
      </c>
      <c r="E63" s="56" t="s">
        <v>118</v>
      </c>
      <c r="F63" s="44">
        <v>2040</v>
      </c>
      <c r="G63" s="44">
        <v>2040</v>
      </c>
      <c r="H63" s="44"/>
      <c r="I63" s="79"/>
    </row>
    <row r="64" spans="1:9" s="30" customFormat="1" ht="26">
      <c r="A64" s="32">
        <v>28</v>
      </c>
      <c r="B64" s="31" t="s">
        <v>540</v>
      </c>
      <c r="C64" s="56" t="s">
        <v>684</v>
      </c>
      <c r="D64" s="56" t="s">
        <v>553</v>
      </c>
      <c r="E64" s="56" t="s">
        <v>118</v>
      </c>
      <c r="F64" s="44">
        <v>4250</v>
      </c>
      <c r="G64" s="44">
        <v>4250</v>
      </c>
      <c r="H64" s="44"/>
      <c r="I64" s="79"/>
    </row>
    <row r="65" spans="1:9" s="30" customFormat="1" ht="39">
      <c r="A65" s="77">
        <v>29</v>
      </c>
      <c r="B65" s="67" t="s">
        <v>541</v>
      </c>
      <c r="C65" s="60" t="s">
        <v>685</v>
      </c>
      <c r="D65" s="60" t="s">
        <v>553</v>
      </c>
      <c r="E65" s="60" t="s">
        <v>118</v>
      </c>
      <c r="F65" s="45">
        <v>4250</v>
      </c>
      <c r="G65" s="45">
        <v>4250</v>
      </c>
      <c r="H65" s="45"/>
      <c r="I65" s="79"/>
    </row>
    <row r="66" spans="1:9" ht="18" customHeight="1">
      <c r="A66" s="42"/>
      <c r="B66" s="42"/>
      <c r="C66" s="42"/>
      <c r="D66" s="42"/>
      <c r="E66" s="42"/>
      <c r="F66" s="42"/>
      <c r="G66" s="42"/>
      <c r="H66" s="42"/>
    </row>
    <row r="67" spans="1:9" ht="18" customHeight="1">
      <c r="A67" s="1819" t="s">
        <v>40</v>
      </c>
      <c r="B67" s="1819"/>
      <c r="C67" s="1819"/>
      <c r="D67" s="1819"/>
      <c r="E67" s="1819"/>
      <c r="F67" s="1819"/>
      <c r="G67" s="1819"/>
      <c r="H67" s="1819"/>
    </row>
    <row r="68" spans="1:9" ht="18" customHeight="1"/>
    <row r="69" spans="1:9" ht="18" customHeight="1"/>
    <row r="70" spans="1:9" ht="18" customHeight="1"/>
    <row r="71" spans="1:9" ht="18" customHeight="1"/>
    <row r="72" spans="1:9" ht="18" customHeight="1"/>
    <row r="73" spans="1:9" ht="18" customHeight="1"/>
    <row r="74" spans="1:9" ht="18" customHeight="1"/>
    <row r="75" spans="1:9" ht="18" customHeight="1"/>
    <row r="76" spans="1:9" ht="18" customHeight="1"/>
  </sheetData>
  <mergeCells count="4">
    <mergeCell ref="A1:B1"/>
    <mergeCell ref="A2:H2"/>
    <mergeCell ref="A3:H3"/>
    <mergeCell ref="A67:H67"/>
  </mergeCells>
  <pageMargins left="0.5" right="0.2" top="0.5" bottom="0.5" header="0.3" footer="0.3"/>
  <pageSetup paperSize="9" scale="90" orientation="portrait" r:id="rId1"/>
  <ignoredErrors>
    <ignoredError sqref="F8:G8" formulaRange="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P228"/>
  <sheetViews>
    <sheetView workbookViewId="0">
      <selection activeCell="N13" sqref="N13"/>
    </sheetView>
  </sheetViews>
  <sheetFormatPr defaultColWidth="9.08203125" defaultRowHeight="13"/>
  <cols>
    <col min="1" max="1" width="4.9140625" style="105" customWidth="1"/>
    <col min="2" max="2" width="49.9140625" style="105" customWidth="1"/>
    <col min="3" max="3" width="7.9140625" style="105" hidden="1" customWidth="1"/>
    <col min="4" max="4" width="9.4140625" style="105" hidden="1" customWidth="1"/>
    <col min="5" max="5" width="8.9140625" style="105" hidden="1" customWidth="1"/>
    <col min="6" max="6" width="10" style="105" customWidth="1"/>
    <col min="7" max="7" width="8.4140625" style="105" hidden="1" customWidth="1"/>
    <col min="8" max="8" width="12.08203125" style="105" customWidth="1"/>
    <col min="9" max="9" width="8" style="105" hidden="1" customWidth="1"/>
    <col min="10" max="10" width="10.4140625" style="105" customWidth="1"/>
    <col min="11" max="11" width="9" style="105" hidden="1" customWidth="1"/>
    <col min="12" max="12" width="9.08203125" style="105" customWidth="1"/>
    <col min="13" max="13" width="9.08203125" style="105"/>
    <col min="14" max="14" width="35" style="105" customWidth="1"/>
    <col min="15" max="16384" width="9.08203125" style="105"/>
  </cols>
  <sheetData>
    <row r="1" spans="1:14" ht="18" customHeight="1">
      <c r="A1" s="1830"/>
      <c r="B1" s="1830"/>
      <c r="C1" s="776"/>
      <c r="D1" s="776"/>
      <c r="E1" s="776"/>
      <c r="F1" s="776"/>
      <c r="G1" s="433"/>
      <c r="H1" s="433"/>
      <c r="I1" s="1823" t="s">
        <v>71</v>
      </c>
      <c r="J1" s="1823"/>
      <c r="K1" s="1823"/>
      <c r="L1" s="1823"/>
    </row>
    <row r="2" spans="1:14" ht="18" customHeight="1">
      <c r="A2" s="1831" t="s">
        <v>2110</v>
      </c>
      <c r="B2" s="1831"/>
      <c r="C2" s="1831"/>
      <c r="D2" s="1831"/>
      <c r="E2" s="1831"/>
      <c r="F2" s="1831"/>
      <c r="G2" s="1831"/>
      <c r="H2" s="1831"/>
      <c r="I2" s="1831"/>
      <c r="J2" s="1831"/>
      <c r="K2" s="1831"/>
      <c r="L2" s="1831"/>
    </row>
    <row r="3" spans="1:14" ht="32.25" customHeight="1">
      <c r="A3" s="1831" t="s">
        <v>1527</v>
      </c>
      <c r="B3" s="1831"/>
      <c r="C3" s="1831"/>
      <c r="D3" s="1831"/>
      <c r="E3" s="1831"/>
      <c r="F3" s="1831"/>
      <c r="G3" s="1831"/>
      <c r="H3" s="1831"/>
      <c r="I3" s="1831"/>
      <c r="J3" s="1831"/>
      <c r="K3" s="1831"/>
      <c r="L3" s="1831"/>
    </row>
    <row r="4" spans="1:14" ht="18" customHeight="1">
      <c r="A4" s="1835" t="s">
        <v>3</v>
      </c>
      <c r="B4" s="1835"/>
      <c r="C4" s="1835"/>
      <c r="D4" s="1835"/>
      <c r="E4" s="1823"/>
      <c r="F4" s="1823"/>
      <c r="G4" s="1835"/>
      <c r="H4" s="1835"/>
      <c r="I4" s="1835"/>
      <c r="J4" s="1835"/>
      <c r="K4" s="1835"/>
      <c r="L4" s="1835"/>
    </row>
    <row r="5" spans="1:14" ht="30" customHeight="1">
      <c r="A5" s="701" t="s">
        <v>4</v>
      </c>
      <c r="B5" s="701" t="s">
        <v>5</v>
      </c>
      <c r="C5" s="701" t="s">
        <v>1140</v>
      </c>
      <c r="D5" s="701" t="s">
        <v>738</v>
      </c>
      <c r="E5" s="1833" t="s">
        <v>727</v>
      </c>
      <c r="F5" s="1834"/>
      <c r="G5" s="1832" t="s">
        <v>1600</v>
      </c>
      <c r="H5" s="1832"/>
      <c r="I5" s="1832" t="s">
        <v>724</v>
      </c>
      <c r="J5" s="1832"/>
      <c r="K5" s="701"/>
      <c r="L5" s="701" t="s">
        <v>33</v>
      </c>
      <c r="N5" s="106"/>
    </row>
    <row r="6" spans="1:14" ht="18" customHeight="1">
      <c r="A6" s="484">
        <v>1</v>
      </c>
      <c r="B6" s="484">
        <v>2</v>
      </c>
      <c r="C6" s="484">
        <v>3</v>
      </c>
      <c r="D6" s="484">
        <v>3</v>
      </c>
      <c r="E6" s="484"/>
      <c r="F6" s="484" t="s">
        <v>14</v>
      </c>
      <c r="G6" s="484" t="s">
        <v>18</v>
      </c>
      <c r="H6" s="484" t="s">
        <v>16</v>
      </c>
      <c r="I6" s="484" t="s">
        <v>22</v>
      </c>
      <c r="J6" s="484" t="s">
        <v>18</v>
      </c>
      <c r="K6" s="484">
        <v>9</v>
      </c>
      <c r="L6" s="484" t="s">
        <v>20</v>
      </c>
    </row>
    <row r="7" spans="1:14" ht="18" customHeight="1">
      <c r="A7" s="983"/>
      <c r="B7" s="983" t="s">
        <v>7</v>
      </c>
      <c r="C7" s="777"/>
      <c r="D7" s="777">
        <f t="shared" ref="D7:K7" si="0">+D8</f>
        <v>0</v>
      </c>
      <c r="E7" s="777" t="e">
        <f t="shared" si="0"/>
        <v>#REF!</v>
      </c>
      <c r="F7" s="6">
        <f>+F8</f>
        <v>85109</v>
      </c>
      <c r="G7" s="23">
        <f t="shared" si="0"/>
        <v>0</v>
      </c>
      <c r="H7" s="6">
        <f>+H8</f>
        <v>80854</v>
      </c>
      <c r="I7" s="23" t="e">
        <f t="shared" si="0"/>
        <v>#REF!</v>
      </c>
      <c r="J7" s="6">
        <f t="shared" si="0"/>
        <v>4255</v>
      </c>
      <c r="K7" s="777">
        <f t="shared" si="0"/>
        <v>0</v>
      </c>
      <c r="L7" s="777"/>
    </row>
    <row r="8" spans="1:14" ht="26">
      <c r="A8" s="983" t="s">
        <v>37</v>
      </c>
      <c r="B8" s="991" t="s">
        <v>64</v>
      </c>
      <c r="C8" s="777"/>
      <c r="D8" s="777"/>
      <c r="E8" s="777" t="e">
        <f>+E32+E34+E36+E38+E40+E47+E45+#REF!</f>
        <v>#REF!</v>
      </c>
      <c r="F8" s="6">
        <f>+F9+F31</f>
        <v>85109</v>
      </c>
      <c r="G8" s="23"/>
      <c r="H8" s="6">
        <f t="shared" ref="H8" si="1">+H9+H31</f>
        <v>80854</v>
      </c>
      <c r="I8" s="23" t="e">
        <f t="shared" ref="I8:K8" si="2">+I9+I31</f>
        <v>#REF!</v>
      </c>
      <c r="J8" s="6">
        <f t="shared" si="2"/>
        <v>4255</v>
      </c>
      <c r="K8" s="777">
        <f t="shared" si="2"/>
        <v>0</v>
      </c>
      <c r="L8" s="777"/>
    </row>
    <row r="9" spans="1:14" ht="18" customHeight="1">
      <c r="A9" s="984" t="s">
        <v>8</v>
      </c>
      <c r="B9" s="991" t="s">
        <v>733</v>
      </c>
      <c r="C9" s="777"/>
      <c r="D9" s="777"/>
      <c r="E9" s="777"/>
      <c r="F9" s="6">
        <f>+F10</f>
        <v>4212</v>
      </c>
      <c r="G9" s="23"/>
      <c r="H9" s="6">
        <f t="shared" ref="H9" si="3">+H10</f>
        <v>4000</v>
      </c>
      <c r="I9" s="23">
        <f t="shared" ref="I9:J9" si="4">+I10</f>
        <v>0</v>
      </c>
      <c r="J9" s="6">
        <f t="shared" si="4"/>
        <v>212</v>
      </c>
      <c r="K9" s="777"/>
      <c r="L9" s="777"/>
    </row>
    <row r="10" spans="1:14" s="106" customFormat="1" ht="18" customHeight="1">
      <c r="A10" s="13">
        <v>1</v>
      </c>
      <c r="B10" s="12" t="s">
        <v>1503</v>
      </c>
      <c r="C10" s="95"/>
      <c r="D10" s="779"/>
      <c r="E10" s="779"/>
      <c r="F10" s="20">
        <f>+F11+F26</f>
        <v>4212</v>
      </c>
      <c r="G10" s="20"/>
      <c r="H10" s="993">
        <f t="shared" ref="H10" si="5">+H11+H26</f>
        <v>4000</v>
      </c>
      <c r="I10" s="20">
        <f t="shared" ref="I10:J10" si="6">+I11+I26</f>
        <v>0</v>
      </c>
      <c r="J10" s="20">
        <f t="shared" si="6"/>
        <v>212</v>
      </c>
      <c r="K10" s="779"/>
      <c r="L10" s="781"/>
      <c r="N10" s="782"/>
    </row>
    <row r="11" spans="1:14" s="106" customFormat="1" ht="18" customHeight="1">
      <c r="A11" s="13" t="s">
        <v>710</v>
      </c>
      <c r="B11" s="12" t="s">
        <v>1504</v>
      </c>
      <c r="C11" s="95"/>
      <c r="D11" s="779"/>
      <c r="E11" s="779"/>
      <c r="F11" s="20">
        <f>+F12+F15+F17+F21</f>
        <v>3160</v>
      </c>
      <c r="G11" s="20"/>
      <c r="H11" s="993">
        <f t="shared" ref="H11" si="7">+H12+H15+H17+H21</f>
        <v>3000</v>
      </c>
      <c r="I11" s="20">
        <f t="shared" ref="I11:J11" si="8">+I12+I15+I17+I21</f>
        <v>0</v>
      </c>
      <c r="J11" s="20">
        <f t="shared" si="8"/>
        <v>160</v>
      </c>
      <c r="K11" s="779"/>
      <c r="L11" s="781"/>
      <c r="N11" s="782"/>
    </row>
    <row r="12" spans="1:14" s="106" customFormat="1" ht="18" customHeight="1">
      <c r="A12" s="13" t="s">
        <v>742</v>
      </c>
      <c r="B12" s="12" t="s">
        <v>1505</v>
      </c>
      <c r="C12" s="95"/>
      <c r="D12" s="779"/>
      <c r="E12" s="779"/>
      <c r="F12" s="20">
        <f>SUM(F13:F14)</f>
        <v>632</v>
      </c>
      <c r="G12" s="20"/>
      <c r="H12" s="20">
        <v>600</v>
      </c>
      <c r="I12" s="20">
        <f t="shared" ref="I12:J12" si="9">SUM(I13:I14)</f>
        <v>0</v>
      </c>
      <c r="J12" s="20">
        <f t="shared" si="9"/>
        <v>32</v>
      </c>
      <c r="K12" s="779"/>
      <c r="L12" s="781"/>
      <c r="N12" s="782"/>
    </row>
    <row r="13" spans="1:14" s="106" customFormat="1" ht="18" customHeight="1">
      <c r="A13" s="13"/>
      <c r="B13" s="12" t="s">
        <v>1506</v>
      </c>
      <c r="C13" s="95"/>
      <c r="D13" s="779"/>
      <c r="E13" s="779"/>
      <c r="F13" s="20">
        <f>ROUND(H13*100%/95%,0)</f>
        <v>316</v>
      </c>
      <c r="G13" s="20"/>
      <c r="H13" s="20">
        <v>300</v>
      </c>
      <c r="I13" s="20"/>
      <c r="J13" s="20">
        <f>+F13-H13</f>
        <v>16</v>
      </c>
      <c r="K13" s="779"/>
      <c r="L13" s="781"/>
    </row>
    <row r="14" spans="1:14" s="106" customFormat="1" ht="18" customHeight="1">
      <c r="A14" s="13"/>
      <c r="B14" s="12" t="s">
        <v>1507</v>
      </c>
      <c r="C14" s="95"/>
      <c r="D14" s="779"/>
      <c r="E14" s="779"/>
      <c r="F14" s="20">
        <f t="shared" ref="F14:F25" si="10">ROUND(H14*100%/95%,0)</f>
        <v>316</v>
      </c>
      <c r="G14" s="20"/>
      <c r="H14" s="20">
        <v>300</v>
      </c>
      <c r="I14" s="20"/>
      <c r="J14" s="20">
        <f t="shared" ref="J14:J25" si="11">+F14-H14</f>
        <v>16</v>
      </c>
      <c r="K14" s="779"/>
      <c r="L14" s="781"/>
    </row>
    <row r="15" spans="1:14" s="106" customFormat="1" ht="18" customHeight="1">
      <c r="A15" s="13" t="s">
        <v>742</v>
      </c>
      <c r="B15" s="12" t="s">
        <v>1508</v>
      </c>
      <c r="C15" s="95"/>
      <c r="D15" s="779"/>
      <c r="E15" s="779"/>
      <c r="F15" s="20">
        <f>+F16</f>
        <v>316</v>
      </c>
      <c r="G15" s="20"/>
      <c r="H15" s="20">
        <v>300</v>
      </c>
      <c r="I15" s="20">
        <f t="shared" ref="I15:J15" si="12">+I16</f>
        <v>0</v>
      </c>
      <c r="J15" s="20">
        <f t="shared" si="12"/>
        <v>16</v>
      </c>
      <c r="K15" s="779"/>
      <c r="L15" s="781"/>
    </row>
    <row r="16" spans="1:14" s="106" customFormat="1" ht="18" customHeight="1">
      <c r="A16" s="13"/>
      <c r="B16" s="12" t="s">
        <v>1509</v>
      </c>
      <c r="C16" s="95"/>
      <c r="D16" s="779"/>
      <c r="E16" s="779"/>
      <c r="F16" s="20">
        <f t="shared" si="10"/>
        <v>316</v>
      </c>
      <c r="G16" s="20"/>
      <c r="H16" s="20">
        <v>300</v>
      </c>
      <c r="I16" s="20"/>
      <c r="J16" s="20">
        <f t="shared" si="11"/>
        <v>16</v>
      </c>
      <c r="K16" s="779"/>
      <c r="L16" s="781"/>
    </row>
    <row r="17" spans="1:16" s="106" customFormat="1" ht="18" customHeight="1">
      <c r="A17" s="13" t="s">
        <v>742</v>
      </c>
      <c r="B17" s="12" t="s">
        <v>1510</v>
      </c>
      <c r="C17" s="95"/>
      <c r="D17" s="779"/>
      <c r="E17" s="779"/>
      <c r="F17" s="20">
        <f>SUM(F18:F20)</f>
        <v>948</v>
      </c>
      <c r="G17" s="20"/>
      <c r="H17" s="20">
        <v>900</v>
      </c>
      <c r="I17" s="20">
        <f t="shared" ref="I17:K17" si="13">SUM(I18:I20)</f>
        <v>0</v>
      </c>
      <c r="J17" s="20">
        <f t="shared" ref="J17" si="14">SUM(J18:J20)</f>
        <v>48</v>
      </c>
      <c r="K17" s="779">
        <f t="shared" si="13"/>
        <v>0</v>
      </c>
      <c r="L17" s="781"/>
    </row>
    <row r="18" spans="1:16" s="106" customFormat="1" ht="18" customHeight="1">
      <c r="A18" s="13"/>
      <c r="B18" s="12" t="s">
        <v>1511</v>
      </c>
      <c r="C18" s="95"/>
      <c r="D18" s="779"/>
      <c r="E18" s="779"/>
      <c r="F18" s="20">
        <f t="shared" si="10"/>
        <v>316</v>
      </c>
      <c r="G18" s="20"/>
      <c r="H18" s="20">
        <v>300</v>
      </c>
      <c r="I18" s="20"/>
      <c r="J18" s="20">
        <f t="shared" si="11"/>
        <v>16</v>
      </c>
      <c r="K18" s="779"/>
      <c r="L18" s="781"/>
    </row>
    <row r="19" spans="1:16" s="106" customFormat="1" ht="18" customHeight="1">
      <c r="A19" s="13"/>
      <c r="B19" s="12" t="s">
        <v>1512</v>
      </c>
      <c r="C19" s="95"/>
      <c r="D19" s="779"/>
      <c r="E19" s="779"/>
      <c r="F19" s="20">
        <f t="shared" si="10"/>
        <v>316</v>
      </c>
      <c r="G19" s="20"/>
      <c r="H19" s="20">
        <v>300</v>
      </c>
      <c r="I19" s="20"/>
      <c r="J19" s="20">
        <f t="shared" si="11"/>
        <v>16</v>
      </c>
      <c r="K19" s="779"/>
      <c r="L19" s="781"/>
    </row>
    <row r="20" spans="1:16" s="106" customFormat="1" ht="18" customHeight="1">
      <c r="A20" s="13"/>
      <c r="B20" s="12" t="s">
        <v>1513</v>
      </c>
      <c r="C20" s="95"/>
      <c r="D20" s="779"/>
      <c r="E20" s="779"/>
      <c r="F20" s="20">
        <f t="shared" si="10"/>
        <v>316</v>
      </c>
      <c r="G20" s="20"/>
      <c r="H20" s="20">
        <v>300</v>
      </c>
      <c r="I20" s="20"/>
      <c r="J20" s="20">
        <f t="shared" si="11"/>
        <v>16</v>
      </c>
      <c r="K20" s="779"/>
      <c r="L20" s="781"/>
      <c r="P20" s="782"/>
    </row>
    <row r="21" spans="1:16" s="106" customFormat="1" ht="18" customHeight="1">
      <c r="A21" s="13" t="s">
        <v>742</v>
      </c>
      <c r="B21" s="12" t="s">
        <v>1514</v>
      </c>
      <c r="C21" s="95"/>
      <c r="D21" s="779"/>
      <c r="E21" s="779"/>
      <c r="F21" s="20">
        <f>SUM(F22:F25)</f>
        <v>1264</v>
      </c>
      <c r="G21" s="20"/>
      <c r="H21" s="20">
        <v>1200</v>
      </c>
      <c r="I21" s="20">
        <f t="shared" ref="I21:K21" si="15">SUM(I22:I25)</f>
        <v>0</v>
      </c>
      <c r="J21" s="20">
        <f t="shared" ref="J21" si="16">SUM(J22:J25)</f>
        <v>64</v>
      </c>
      <c r="K21" s="779">
        <f t="shared" si="15"/>
        <v>0</v>
      </c>
      <c r="L21" s="781"/>
      <c r="P21" s="782"/>
    </row>
    <row r="22" spans="1:16" s="106" customFormat="1" ht="18" customHeight="1">
      <c r="A22" s="13"/>
      <c r="B22" s="12" t="s">
        <v>1515</v>
      </c>
      <c r="C22" s="95"/>
      <c r="D22" s="779"/>
      <c r="E22" s="779"/>
      <c r="F22" s="20">
        <f t="shared" si="10"/>
        <v>316</v>
      </c>
      <c r="G22" s="20"/>
      <c r="H22" s="20">
        <v>300</v>
      </c>
      <c r="I22" s="20"/>
      <c r="J22" s="20">
        <f t="shared" si="11"/>
        <v>16</v>
      </c>
      <c r="K22" s="779"/>
      <c r="L22" s="781"/>
    </row>
    <row r="23" spans="1:16" s="106" customFormat="1" ht="18" customHeight="1">
      <c r="A23" s="13"/>
      <c r="B23" s="12" t="s">
        <v>1516</v>
      </c>
      <c r="C23" s="95"/>
      <c r="D23" s="779"/>
      <c r="E23" s="779"/>
      <c r="F23" s="20">
        <f t="shared" si="10"/>
        <v>316</v>
      </c>
      <c r="G23" s="20"/>
      <c r="H23" s="20">
        <v>300</v>
      </c>
      <c r="I23" s="20"/>
      <c r="J23" s="20">
        <f t="shared" si="11"/>
        <v>16</v>
      </c>
      <c r="K23" s="779"/>
      <c r="L23" s="781"/>
    </row>
    <row r="24" spans="1:16" s="106" customFormat="1" ht="18" customHeight="1">
      <c r="A24" s="13"/>
      <c r="B24" s="12" t="s">
        <v>1517</v>
      </c>
      <c r="C24" s="95"/>
      <c r="D24" s="779"/>
      <c r="E24" s="779"/>
      <c r="F24" s="20">
        <f t="shared" si="10"/>
        <v>316</v>
      </c>
      <c r="G24" s="20"/>
      <c r="H24" s="20">
        <v>300</v>
      </c>
      <c r="I24" s="20"/>
      <c r="J24" s="20">
        <f t="shared" si="11"/>
        <v>16</v>
      </c>
      <c r="K24" s="779"/>
      <c r="L24" s="781"/>
    </row>
    <row r="25" spans="1:16" s="106" customFormat="1" ht="18" customHeight="1">
      <c r="A25" s="13"/>
      <c r="B25" s="12" t="s">
        <v>1518</v>
      </c>
      <c r="C25" s="95"/>
      <c r="D25" s="779"/>
      <c r="E25" s="779"/>
      <c r="F25" s="20">
        <f t="shared" si="10"/>
        <v>316</v>
      </c>
      <c r="G25" s="20"/>
      <c r="H25" s="20">
        <v>300</v>
      </c>
      <c r="I25" s="20"/>
      <c r="J25" s="20">
        <f t="shared" si="11"/>
        <v>16</v>
      </c>
      <c r="K25" s="779"/>
      <c r="L25" s="781"/>
    </row>
    <row r="26" spans="1:16" s="106" customFormat="1" ht="18" customHeight="1">
      <c r="A26" s="13" t="s">
        <v>711</v>
      </c>
      <c r="B26" s="12" t="s">
        <v>1519</v>
      </c>
      <c r="C26" s="95"/>
      <c r="D26" s="779"/>
      <c r="E26" s="779"/>
      <c r="F26" s="20">
        <f>+F27+F29</f>
        <v>1052</v>
      </c>
      <c r="G26" s="20"/>
      <c r="H26" s="993">
        <f t="shared" ref="H26" si="17">+H27+H29</f>
        <v>1000</v>
      </c>
      <c r="I26" s="20">
        <f t="shared" ref="I26:J26" si="18">+I27+I29</f>
        <v>0</v>
      </c>
      <c r="J26" s="20">
        <f t="shared" si="18"/>
        <v>52</v>
      </c>
      <c r="K26" s="779"/>
      <c r="L26" s="781"/>
      <c r="P26" s="782"/>
    </row>
    <row r="27" spans="1:16" s="106" customFormat="1" ht="18" customHeight="1">
      <c r="A27" s="13" t="s">
        <v>742</v>
      </c>
      <c r="B27" s="12" t="s">
        <v>1520</v>
      </c>
      <c r="C27" s="95"/>
      <c r="D27" s="779"/>
      <c r="E27" s="779"/>
      <c r="F27" s="20">
        <f>+F28</f>
        <v>526</v>
      </c>
      <c r="G27" s="20"/>
      <c r="H27" s="20">
        <v>500</v>
      </c>
      <c r="I27" s="20">
        <f t="shared" ref="I27:K27" si="19">+I28</f>
        <v>0</v>
      </c>
      <c r="J27" s="20">
        <f t="shared" si="19"/>
        <v>26</v>
      </c>
      <c r="K27" s="779">
        <f t="shared" si="19"/>
        <v>0</v>
      </c>
      <c r="L27" s="781"/>
      <c r="P27" s="782"/>
    </row>
    <row r="28" spans="1:16" s="106" customFormat="1" ht="18" customHeight="1">
      <c r="A28" s="13"/>
      <c r="B28" s="12" t="s">
        <v>1521</v>
      </c>
      <c r="C28" s="95"/>
      <c r="D28" s="779"/>
      <c r="E28" s="779"/>
      <c r="F28" s="20">
        <f t="shared" ref="F28" si="20">ROUND(H28*100%/95%,0)</f>
        <v>526</v>
      </c>
      <c r="G28" s="20"/>
      <c r="H28" s="20">
        <v>500</v>
      </c>
      <c r="I28" s="20"/>
      <c r="J28" s="20">
        <f t="shared" ref="J28" si="21">+F28-H28</f>
        <v>26</v>
      </c>
      <c r="K28" s="779"/>
      <c r="L28" s="781"/>
    </row>
    <row r="29" spans="1:16" s="106" customFormat="1" ht="18" customHeight="1">
      <c r="A29" s="13" t="s">
        <v>927</v>
      </c>
      <c r="B29" s="12" t="s">
        <v>1510</v>
      </c>
      <c r="C29" s="95"/>
      <c r="D29" s="779"/>
      <c r="E29" s="779"/>
      <c r="F29" s="20">
        <f>+F30</f>
        <v>526</v>
      </c>
      <c r="G29" s="20"/>
      <c r="H29" s="20">
        <v>500</v>
      </c>
      <c r="I29" s="20">
        <f t="shared" ref="I29:J29" si="22">+I30</f>
        <v>0</v>
      </c>
      <c r="J29" s="20">
        <f t="shared" si="22"/>
        <v>26</v>
      </c>
      <c r="K29" s="779"/>
      <c r="L29" s="781"/>
    </row>
    <row r="30" spans="1:16" s="106" customFormat="1" ht="18" customHeight="1">
      <c r="A30" s="13"/>
      <c r="B30" s="12" t="s">
        <v>1522</v>
      </c>
      <c r="C30" s="95"/>
      <c r="D30" s="779"/>
      <c r="E30" s="779"/>
      <c r="F30" s="20">
        <f t="shared" ref="F30" si="23">ROUND(H30*100%/95%,0)</f>
        <v>526</v>
      </c>
      <c r="G30" s="20"/>
      <c r="H30" s="20">
        <v>500</v>
      </c>
      <c r="I30" s="20"/>
      <c r="J30" s="20">
        <f t="shared" ref="J30" si="24">+F30-H30</f>
        <v>26</v>
      </c>
      <c r="K30" s="779"/>
      <c r="L30" s="781"/>
    </row>
    <row r="31" spans="1:16" ht="18" customHeight="1">
      <c r="A31" s="984" t="s">
        <v>26</v>
      </c>
      <c r="B31" s="991" t="s">
        <v>901</v>
      </c>
      <c r="C31" s="777"/>
      <c r="D31" s="777"/>
      <c r="E31" s="777"/>
      <c r="F31" s="990">
        <f>+F32+F34+F36+F38+F40+F42+F44+F46</f>
        <v>80897</v>
      </c>
      <c r="G31" s="940"/>
      <c r="H31" s="990">
        <f>+H32+H34+H36+H38+H40+H42+H44+H46</f>
        <v>76854</v>
      </c>
      <c r="I31" s="940" t="e">
        <f>+I32+I34+I36+I38+I40+I45+I47+#REF!</f>
        <v>#REF!</v>
      </c>
      <c r="J31" s="990">
        <f>+J32+J34+J36+J38+J40+J42+J44+J46</f>
        <v>4043</v>
      </c>
      <c r="K31" s="777"/>
      <c r="L31" s="777"/>
    </row>
    <row r="32" spans="1:16" s="106" customFormat="1" ht="18" customHeight="1">
      <c r="A32" s="13">
        <v>1</v>
      </c>
      <c r="B32" s="12" t="s">
        <v>25</v>
      </c>
      <c r="C32" s="96"/>
      <c r="D32" s="96"/>
      <c r="E32" s="779"/>
      <c r="F32" s="25">
        <f>+F33</f>
        <v>849</v>
      </c>
      <c r="G32" s="25"/>
      <c r="H32" s="25">
        <f>+H33</f>
        <v>806</v>
      </c>
      <c r="I32" s="25">
        <f t="shared" ref="I32:K32" si="25">+I33</f>
        <v>0</v>
      </c>
      <c r="J32" s="25">
        <f t="shared" si="25"/>
        <v>43</v>
      </c>
      <c r="K32" s="779">
        <f t="shared" si="25"/>
        <v>849</v>
      </c>
      <c r="L32" s="783"/>
    </row>
    <row r="33" spans="1:12" s="106" customFormat="1">
      <c r="A33" s="13"/>
      <c r="B33" s="12" t="s">
        <v>1523</v>
      </c>
      <c r="C33" s="96"/>
      <c r="D33" s="96"/>
      <c r="E33" s="779"/>
      <c r="F33" s="25">
        <f>+H33+J33</f>
        <v>849</v>
      </c>
      <c r="G33" s="25"/>
      <c r="H33" s="25">
        <f>-1+807</f>
        <v>806</v>
      </c>
      <c r="I33" s="25"/>
      <c r="J33" s="25">
        <v>43</v>
      </c>
      <c r="K33" s="779">
        <f>SUM(G33:J33)</f>
        <v>849</v>
      </c>
      <c r="L33" s="445"/>
    </row>
    <row r="34" spans="1:12" s="106" customFormat="1" ht="18" customHeight="1">
      <c r="A34" s="13">
        <v>2</v>
      </c>
      <c r="B34" s="12" t="s">
        <v>23</v>
      </c>
      <c r="C34" s="95"/>
      <c r="D34" s="779"/>
      <c r="E34" s="779"/>
      <c r="F34" s="25">
        <f>+F35</f>
        <v>7968</v>
      </c>
      <c r="G34" s="25"/>
      <c r="H34" s="25">
        <f>+H35</f>
        <v>7570</v>
      </c>
      <c r="I34" s="25">
        <f t="shared" ref="I34:K34" si="26">+I35</f>
        <v>0</v>
      </c>
      <c r="J34" s="25">
        <f t="shared" si="26"/>
        <v>398</v>
      </c>
      <c r="K34" s="779">
        <f t="shared" si="26"/>
        <v>7968</v>
      </c>
      <c r="L34" s="781"/>
    </row>
    <row r="35" spans="1:12" s="106" customFormat="1" ht="27.75" customHeight="1">
      <c r="A35" s="13"/>
      <c r="B35" s="12" t="s">
        <v>1523</v>
      </c>
      <c r="C35" s="95"/>
      <c r="D35" s="779"/>
      <c r="E35" s="779"/>
      <c r="F35" s="25">
        <f>+H35+J35</f>
        <v>7968</v>
      </c>
      <c r="G35" s="25"/>
      <c r="H35" s="25">
        <v>7570</v>
      </c>
      <c r="I35" s="25"/>
      <c r="J35" s="25">
        <v>398</v>
      </c>
      <c r="K35" s="779">
        <f t="shared" ref="K35" si="27">SUM(G35:J35)</f>
        <v>7968</v>
      </c>
      <c r="L35" s="781"/>
    </row>
    <row r="36" spans="1:12" s="106" customFormat="1" ht="18" customHeight="1">
      <c r="A36" s="13">
        <v>3</v>
      </c>
      <c r="B36" s="12" t="s">
        <v>21</v>
      </c>
      <c r="C36" s="95"/>
      <c r="D36" s="96"/>
      <c r="E36" s="779"/>
      <c r="F36" s="25">
        <f t="shared" ref="F36" si="28">SUM(F37:F37)</f>
        <v>3187</v>
      </c>
      <c r="G36" s="25"/>
      <c r="H36" s="25">
        <f t="shared" ref="H36" si="29">SUM(H37:H37)</f>
        <v>3028</v>
      </c>
      <c r="I36" s="25">
        <f t="shared" ref="I36:K36" si="30">SUM(I37:I37)</f>
        <v>0</v>
      </c>
      <c r="J36" s="25">
        <f t="shared" ref="J36" si="31">SUM(J37:J37)</f>
        <v>159</v>
      </c>
      <c r="K36" s="779">
        <f t="shared" si="30"/>
        <v>3187</v>
      </c>
      <c r="L36" s="783"/>
    </row>
    <row r="37" spans="1:12" ht="30" customHeight="1">
      <c r="A37" s="13"/>
      <c r="B37" s="12" t="s">
        <v>1523</v>
      </c>
      <c r="C37" s="95"/>
      <c r="D37" s="96"/>
      <c r="E37" s="779"/>
      <c r="F37" s="25">
        <f>+H37+J37</f>
        <v>3187</v>
      </c>
      <c r="G37" s="25"/>
      <c r="H37" s="25">
        <v>3028</v>
      </c>
      <c r="I37" s="25"/>
      <c r="J37" s="25">
        <v>159</v>
      </c>
      <c r="K37" s="779">
        <f>SUM(G37:J37)</f>
        <v>3187</v>
      </c>
      <c r="L37" s="779"/>
    </row>
    <row r="38" spans="1:12" s="106" customFormat="1" ht="18" customHeight="1">
      <c r="A38" s="13">
        <v>4</v>
      </c>
      <c r="B38" s="12" t="s">
        <v>19</v>
      </c>
      <c r="C38" s="96"/>
      <c r="D38" s="96"/>
      <c r="E38" s="779"/>
      <c r="F38" s="25">
        <f>+F39</f>
        <v>11364</v>
      </c>
      <c r="G38" s="25"/>
      <c r="H38" s="25">
        <f>+H39</f>
        <v>10796</v>
      </c>
      <c r="I38" s="25">
        <f t="shared" ref="I38:K38" si="32">+I39</f>
        <v>0</v>
      </c>
      <c r="J38" s="25">
        <f t="shared" si="32"/>
        <v>568</v>
      </c>
      <c r="K38" s="779">
        <f t="shared" si="32"/>
        <v>11364</v>
      </c>
      <c r="L38" s="781"/>
    </row>
    <row r="39" spans="1:12" s="106" customFormat="1" ht="29.25" customHeight="1">
      <c r="A39" s="13"/>
      <c r="B39" s="12" t="s">
        <v>1523</v>
      </c>
      <c r="C39" s="95"/>
      <c r="D39" s="96"/>
      <c r="E39" s="779"/>
      <c r="F39" s="25">
        <f>+H39+J39</f>
        <v>11364</v>
      </c>
      <c r="G39" s="25"/>
      <c r="H39" s="25">
        <v>10796</v>
      </c>
      <c r="I39" s="25"/>
      <c r="J39" s="25">
        <v>568</v>
      </c>
      <c r="K39" s="779">
        <f>SUM(G39:J39)</f>
        <v>11364</v>
      </c>
      <c r="L39" s="781"/>
    </row>
    <row r="40" spans="1:12" s="106" customFormat="1" ht="18" customHeight="1">
      <c r="A40" s="13">
        <v>5</v>
      </c>
      <c r="B40" s="12" t="s">
        <v>17</v>
      </c>
      <c r="C40" s="784"/>
      <c r="D40" s="784"/>
      <c r="E40" s="779"/>
      <c r="F40" s="986">
        <f>+F41</f>
        <v>15951</v>
      </c>
      <c r="G40" s="941"/>
      <c r="H40" s="986">
        <f>+H41</f>
        <v>15154</v>
      </c>
      <c r="I40" s="941">
        <f t="shared" ref="I40:K40" si="33">+I41</f>
        <v>0</v>
      </c>
      <c r="J40" s="986">
        <f t="shared" si="33"/>
        <v>797</v>
      </c>
      <c r="K40" s="784">
        <f t="shared" si="33"/>
        <v>15154</v>
      </c>
      <c r="L40" s="785"/>
    </row>
    <row r="41" spans="1:12" s="106" customFormat="1">
      <c r="A41" s="13"/>
      <c r="B41" s="12" t="s">
        <v>1523</v>
      </c>
      <c r="C41" s="784"/>
      <c r="D41" s="784"/>
      <c r="E41" s="779"/>
      <c r="F41" s="25">
        <f>+H41+J41</f>
        <v>15951</v>
      </c>
      <c r="G41" s="941"/>
      <c r="H41" s="986">
        <v>15154</v>
      </c>
      <c r="I41" s="941"/>
      <c r="J41" s="986">
        <v>797</v>
      </c>
      <c r="K41" s="784">
        <f>+H41</f>
        <v>15154</v>
      </c>
      <c r="L41" s="785"/>
    </row>
    <row r="42" spans="1:12" s="106" customFormat="1" ht="18" customHeight="1">
      <c r="A42" s="13">
        <v>6</v>
      </c>
      <c r="B42" s="12" t="s">
        <v>15</v>
      </c>
      <c r="C42" s="784"/>
      <c r="D42" s="784"/>
      <c r="E42" s="779"/>
      <c r="F42" s="986">
        <f>+F43</f>
        <v>20191</v>
      </c>
      <c r="G42" s="941"/>
      <c r="H42" s="986">
        <f>+H43</f>
        <v>19182</v>
      </c>
      <c r="I42" s="941"/>
      <c r="J42" s="986">
        <f t="shared" ref="J42" si="34">+J43</f>
        <v>1009</v>
      </c>
      <c r="K42" s="784"/>
      <c r="L42" s="785"/>
    </row>
    <row r="43" spans="1:12" s="106" customFormat="1" ht="28.5" customHeight="1">
      <c r="A43" s="13"/>
      <c r="B43" s="12" t="s">
        <v>1523</v>
      </c>
      <c r="C43" s="784"/>
      <c r="D43" s="784"/>
      <c r="E43" s="779"/>
      <c r="F43" s="25">
        <f>+H43+J43</f>
        <v>20191</v>
      </c>
      <c r="G43" s="941"/>
      <c r="H43" s="25">
        <v>19182</v>
      </c>
      <c r="I43" s="941"/>
      <c r="J43" s="25">
        <v>1009</v>
      </c>
      <c r="K43" s="784"/>
      <c r="L43" s="785"/>
    </row>
    <row r="44" spans="1:12" s="106" customFormat="1" ht="18" customHeight="1">
      <c r="A44" s="13">
        <v>7</v>
      </c>
      <c r="B44" s="12" t="s">
        <v>13</v>
      </c>
      <c r="C44" s="784"/>
      <c r="D44" s="784"/>
      <c r="E44" s="779"/>
      <c r="F44" s="987">
        <f>+F45</f>
        <v>8317</v>
      </c>
      <c r="G44" s="941"/>
      <c r="H44" s="987">
        <f>+H45</f>
        <v>7901</v>
      </c>
      <c r="I44" s="941"/>
      <c r="J44" s="987">
        <f t="shared" ref="J44" si="35">+J45</f>
        <v>416</v>
      </c>
      <c r="K44" s="784"/>
      <c r="L44" s="785"/>
    </row>
    <row r="45" spans="1:12" s="106" customFormat="1">
      <c r="A45" s="13"/>
      <c r="B45" s="12" t="s">
        <v>1523</v>
      </c>
      <c r="C45" s="784"/>
      <c r="D45" s="784"/>
      <c r="E45" s="779"/>
      <c r="F45" s="25">
        <f>+H45+J45</f>
        <v>8317</v>
      </c>
      <c r="G45" s="941"/>
      <c r="H45" s="987">
        <v>7901</v>
      </c>
      <c r="I45" s="941">
        <f t="shared" ref="I45:K45" si="36">+I46</f>
        <v>0</v>
      </c>
      <c r="J45" s="987">
        <v>416</v>
      </c>
      <c r="K45" s="784">
        <f t="shared" si="36"/>
        <v>13070</v>
      </c>
      <c r="L45" s="785"/>
    </row>
    <row r="46" spans="1:12" s="106" customFormat="1" ht="18" customHeight="1">
      <c r="A46" s="13">
        <v>8</v>
      </c>
      <c r="B46" s="12" t="s">
        <v>11</v>
      </c>
      <c r="C46" s="95"/>
      <c r="D46" s="784"/>
      <c r="E46" s="779"/>
      <c r="F46" s="986">
        <f>+F47</f>
        <v>13070</v>
      </c>
      <c r="G46" s="941"/>
      <c r="H46" s="986">
        <f t="shared" ref="H46" si="37">+H47</f>
        <v>12417</v>
      </c>
      <c r="I46" s="25"/>
      <c r="J46" s="986">
        <f t="shared" ref="J46" si="38">+J47</f>
        <v>653</v>
      </c>
      <c r="K46" s="779">
        <f>SUM(G46:J46)</f>
        <v>13070</v>
      </c>
      <c r="L46" s="785"/>
    </row>
    <row r="47" spans="1:12" s="106" customFormat="1">
      <c r="A47" s="985"/>
      <c r="B47" s="705" t="s">
        <v>1523</v>
      </c>
      <c r="C47" s="939"/>
      <c r="D47" s="939"/>
      <c r="E47" s="788"/>
      <c r="F47" s="47">
        <f>+H47+J47</f>
        <v>13070</v>
      </c>
      <c r="G47" s="47"/>
      <c r="H47" s="47">
        <v>12417</v>
      </c>
      <c r="I47" s="988" t="e">
        <f>+#REF!</f>
        <v>#REF!</v>
      </c>
      <c r="J47" s="989">
        <v>653</v>
      </c>
      <c r="K47" s="786" t="e">
        <f>+#REF!</f>
        <v>#REF!</v>
      </c>
      <c r="L47" s="451"/>
    </row>
    <row r="48" spans="1:12" ht="18" customHeight="1"/>
    <row r="49" spans="1:9" ht="18" customHeight="1">
      <c r="A49" s="1827" t="s">
        <v>2505</v>
      </c>
      <c r="B49" s="1827"/>
      <c r="C49" s="1827"/>
      <c r="D49" s="1827"/>
      <c r="E49" s="1827"/>
      <c r="F49" s="1827"/>
      <c r="G49" s="1827"/>
      <c r="H49" s="1827"/>
      <c r="I49" s="1827"/>
    </row>
    <row r="50" spans="1:9" ht="18" customHeight="1"/>
    <row r="51" spans="1:9" ht="18" customHeight="1"/>
    <row r="52" spans="1:9" ht="18" customHeight="1"/>
    <row r="53" spans="1:9" ht="18" customHeight="1"/>
    <row r="54" spans="1:9" ht="18" customHeight="1"/>
    <row r="55" spans="1:9" ht="18" customHeight="1"/>
    <row r="56" spans="1:9" ht="18" customHeight="1"/>
    <row r="57" spans="1:9" ht="18" customHeight="1"/>
    <row r="58" spans="1:9" ht="21" customHeight="1"/>
    <row r="59" spans="1:9" ht="21" customHeight="1"/>
    <row r="60" spans="1:9" ht="21" customHeight="1"/>
    <row r="61" spans="1:9" ht="21" customHeight="1"/>
    <row r="62" spans="1:9" ht="21" customHeight="1"/>
    <row r="63" spans="1:9" ht="21" customHeight="1"/>
    <row r="64" spans="1:9"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sheetData>
  <autoFilter ref="A6:L47"/>
  <mergeCells count="9">
    <mergeCell ref="A1:B1"/>
    <mergeCell ref="I1:L1"/>
    <mergeCell ref="A2:L2"/>
    <mergeCell ref="A3:L3"/>
    <mergeCell ref="A49:I49"/>
    <mergeCell ref="I5:J5"/>
    <mergeCell ref="E5:F5"/>
    <mergeCell ref="G5:H5"/>
    <mergeCell ref="A4:L4"/>
  </mergeCells>
  <pageMargins left="0.5" right="0.2" top="0.5" bottom="0.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234"/>
  <sheetViews>
    <sheetView topLeftCell="A16" workbookViewId="0">
      <selection activeCell="F6" sqref="F6:F10"/>
    </sheetView>
  </sheetViews>
  <sheetFormatPr defaultColWidth="9.08203125" defaultRowHeight="13"/>
  <cols>
    <col min="1" max="1" width="7.4140625" style="105" customWidth="1"/>
    <col min="2" max="2" width="52.4140625" style="105" customWidth="1"/>
    <col min="3" max="3" width="17" style="105" customWidth="1"/>
    <col min="4" max="9" width="9.33203125" style="105" hidden="1" customWidth="1"/>
    <col min="10" max="10" width="18.4140625" style="105" customWidth="1"/>
    <col min="11" max="11" width="13.4140625" style="105" customWidth="1"/>
    <col min="12" max="16384" width="9.08203125" style="105"/>
  </cols>
  <sheetData>
    <row r="1" spans="1:10" ht="20.25" customHeight="1">
      <c r="A1" s="1831" t="s">
        <v>2788</v>
      </c>
      <c r="B1" s="1831"/>
      <c r="C1" s="1831"/>
      <c r="D1" s="1831"/>
      <c r="E1" s="1831"/>
      <c r="F1" s="1831"/>
      <c r="G1" s="1831"/>
      <c r="H1" s="1831"/>
      <c r="I1" s="1831"/>
      <c r="J1" s="1831"/>
    </row>
    <row r="2" spans="1:10" ht="18" hidden="1" customHeight="1">
      <c r="A2" s="1830"/>
      <c r="B2" s="1830"/>
      <c r="C2" s="433"/>
      <c r="D2" s="433"/>
      <c r="E2" s="433"/>
      <c r="F2" s="433"/>
      <c r="G2" s="433"/>
      <c r="H2" s="1823" t="s">
        <v>2078</v>
      </c>
      <c r="I2" s="1823"/>
      <c r="J2" s="1823"/>
    </row>
    <row r="3" spans="1:10" ht="18" customHeight="1">
      <c r="A3" s="1831" t="s">
        <v>43</v>
      </c>
      <c r="B3" s="1831"/>
      <c r="C3" s="1831"/>
      <c r="D3" s="1831"/>
      <c r="E3" s="1831"/>
      <c r="F3" s="1831"/>
      <c r="G3" s="1831"/>
      <c r="H3" s="1831"/>
      <c r="I3" s="1831"/>
      <c r="J3" s="1831"/>
    </row>
    <row r="4" spans="1:10" ht="18" customHeight="1">
      <c r="A4" s="1831" t="s">
        <v>44</v>
      </c>
      <c r="B4" s="1831"/>
      <c r="C4" s="1831"/>
      <c r="D4" s="1831"/>
      <c r="E4" s="1831"/>
      <c r="F4" s="1831"/>
      <c r="G4" s="1831"/>
      <c r="H4" s="1831"/>
      <c r="I4" s="1831"/>
      <c r="J4" s="1831"/>
    </row>
    <row r="5" spans="1:10" s="444" customFormat="1" ht="24" customHeight="1">
      <c r="A5" s="1837" t="e">
        <f>#REF!</f>
        <v>#REF!</v>
      </c>
      <c r="B5" s="1837"/>
      <c r="C5" s="1837"/>
      <c r="D5" s="1837"/>
      <c r="E5" s="1837"/>
      <c r="F5" s="1837"/>
      <c r="G5" s="1837"/>
      <c r="H5" s="1837"/>
      <c r="I5" s="1837"/>
      <c r="J5" s="1837"/>
    </row>
    <row r="6" spans="1:10" ht="24" customHeight="1">
      <c r="A6" s="1835" t="s">
        <v>3</v>
      </c>
      <c r="B6" s="1835"/>
      <c r="C6" s="1835"/>
      <c r="D6" s="1835"/>
      <c r="E6" s="1835"/>
      <c r="F6" s="1835"/>
      <c r="G6" s="1835"/>
      <c r="H6" s="1835"/>
      <c r="I6" s="1835"/>
      <c r="J6" s="1835"/>
    </row>
    <row r="7" spans="1:10" ht="18" customHeight="1">
      <c r="A7" s="1825" t="s">
        <v>4</v>
      </c>
      <c r="B7" s="1825" t="s">
        <v>5</v>
      </c>
      <c r="C7" s="1833" t="s">
        <v>2537</v>
      </c>
      <c r="D7" s="1049"/>
      <c r="E7" s="1050"/>
      <c r="F7" s="1832" t="s">
        <v>724</v>
      </c>
      <c r="G7" s="1832"/>
      <c r="H7" s="1832"/>
      <c r="I7" s="1832" t="s">
        <v>727</v>
      </c>
      <c r="J7" s="1825" t="s">
        <v>33</v>
      </c>
    </row>
    <row r="8" spans="1:10" ht="30" customHeight="1">
      <c r="A8" s="1826"/>
      <c r="B8" s="1826"/>
      <c r="C8" s="1836"/>
      <c r="D8" s="789" t="s">
        <v>720</v>
      </c>
      <c r="E8" s="789" t="s">
        <v>6</v>
      </c>
      <c r="F8" s="789" t="s">
        <v>880</v>
      </c>
      <c r="G8" s="789" t="s">
        <v>720</v>
      </c>
      <c r="H8" s="789" t="s">
        <v>6</v>
      </c>
      <c r="I8" s="1832"/>
      <c r="J8" s="1826"/>
    </row>
    <row r="9" spans="1:10" ht="18" hidden="1" customHeight="1">
      <c r="A9" s="484">
        <v>1</v>
      </c>
      <c r="B9" s="484">
        <v>2</v>
      </c>
      <c r="C9" s="484">
        <v>3</v>
      </c>
      <c r="D9" s="484">
        <v>4</v>
      </c>
      <c r="E9" s="484">
        <v>5</v>
      </c>
      <c r="F9" s="484" t="s">
        <v>22</v>
      </c>
      <c r="G9" s="484" t="s">
        <v>24</v>
      </c>
      <c r="H9" s="484" t="s">
        <v>882</v>
      </c>
      <c r="I9" s="484">
        <v>6</v>
      </c>
      <c r="J9" s="484">
        <v>7</v>
      </c>
    </row>
    <row r="10" spans="1:10" ht="18" customHeight="1">
      <c r="A10" s="721"/>
      <c r="B10" s="721" t="s">
        <v>7</v>
      </c>
      <c r="C10" s="778">
        <f t="shared" ref="C10:H10" si="0">+C11+C24+C41+C54</f>
        <v>425258</v>
      </c>
      <c r="D10" s="778">
        <f>+D11+D24+D41+D54</f>
        <v>364659</v>
      </c>
      <c r="E10" s="778">
        <f t="shared" si="0"/>
        <v>789917</v>
      </c>
      <c r="F10" s="778">
        <f t="shared" si="0"/>
        <v>0</v>
      </c>
      <c r="G10" s="778">
        <f t="shared" si="0"/>
        <v>18877</v>
      </c>
      <c r="H10" s="778">
        <f t="shared" si="0"/>
        <v>18877</v>
      </c>
      <c r="I10" s="778">
        <f>+I11+I24+I41+I54</f>
        <v>792264</v>
      </c>
      <c r="J10" s="721"/>
    </row>
    <row r="11" spans="1:10" ht="62.25" customHeight="1">
      <c r="A11" s="40" t="s">
        <v>8</v>
      </c>
      <c r="B11" s="54" t="s">
        <v>883</v>
      </c>
      <c r="C11" s="778">
        <f>+C12+C15</f>
        <v>425258</v>
      </c>
      <c r="D11" s="778">
        <f t="shared" ref="D11:I11" si="1">+D12+D15</f>
        <v>64075</v>
      </c>
      <c r="E11" s="778">
        <f t="shared" si="1"/>
        <v>489333</v>
      </c>
      <c r="F11" s="778">
        <f t="shared" si="1"/>
        <v>0</v>
      </c>
      <c r="G11" s="778">
        <f t="shared" si="1"/>
        <v>3138.6</v>
      </c>
      <c r="H11" s="778">
        <f t="shared" si="1"/>
        <v>3138.6</v>
      </c>
      <c r="I11" s="778">
        <f t="shared" si="1"/>
        <v>489333</v>
      </c>
      <c r="J11" s="1046" t="s">
        <v>2081</v>
      </c>
    </row>
    <row r="12" spans="1:10" s="444" customFormat="1" ht="18.75" customHeight="1">
      <c r="A12" s="125">
        <v>1</v>
      </c>
      <c r="B12" s="712" t="s">
        <v>733</v>
      </c>
      <c r="C12" s="792">
        <f>SUM(C13:C14)</f>
        <v>339894</v>
      </c>
      <c r="D12" s="792">
        <f>SUM(D13:D14)</f>
        <v>9245</v>
      </c>
      <c r="E12" s="792">
        <f>SUM(E13:E14)</f>
        <v>349139</v>
      </c>
      <c r="F12" s="792">
        <f t="shared" ref="F12:H12" si="2">+F13</f>
        <v>0</v>
      </c>
      <c r="G12" s="792">
        <f t="shared" si="2"/>
        <v>275</v>
      </c>
      <c r="H12" s="792">
        <f t="shared" si="2"/>
        <v>275</v>
      </c>
      <c r="I12" s="792">
        <f>SUM(I13:I14)</f>
        <v>349139</v>
      </c>
      <c r="J12" s="443"/>
    </row>
    <row r="13" spans="1:10" ht="18.75" customHeight="1">
      <c r="A13" s="13"/>
      <c r="B13" s="638" t="s">
        <v>884</v>
      </c>
      <c r="C13" s="793"/>
      <c r="D13" s="793">
        <f>+'5.1-SN'!G9</f>
        <v>9245</v>
      </c>
      <c r="E13" s="793">
        <f>+D13+C13</f>
        <v>9245</v>
      </c>
      <c r="F13" s="793"/>
      <c r="G13" s="793">
        <f>+'[2]5-1'!H10</f>
        <v>275</v>
      </c>
      <c r="H13" s="793">
        <f>+G13+F13</f>
        <v>275</v>
      </c>
      <c r="I13" s="793">
        <f>E13</f>
        <v>9245</v>
      </c>
      <c r="J13" s="714"/>
    </row>
    <row r="14" spans="1:10" ht="30" customHeight="1">
      <c r="A14" s="13"/>
      <c r="B14" s="638" t="s">
        <v>1483</v>
      </c>
      <c r="C14" s="793">
        <f>+'5.1-DT'!G9</f>
        <v>339894</v>
      </c>
      <c r="D14" s="793"/>
      <c r="E14" s="793">
        <f>+D14+C14</f>
        <v>339894</v>
      </c>
      <c r="F14" s="793"/>
      <c r="G14" s="793"/>
      <c r="H14" s="793"/>
      <c r="I14" s="793">
        <f>E14</f>
        <v>339894</v>
      </c>
      <c r="J14" s="714"/>
    </row>
    <row r="15" spans="1:10" s="444" customFormat="1" ht="18.75" customHeight="1">
      <c r="A15" s="125">
        <v>2</v>
      </c>
      <c r="B15" s="712" t="s">
        <v>736</v>
      </c>
      <c r="C15" s="792">
        <f>SUM(C16:C23)</f>
        <v>85364</v>
      </c>
      <c r="D15" s="792">
        <f>SUM(D16:D23)</f>
        <v>54830</v>
      </c>
      <c r="E15" s="792">
        <f t="shared" ref="E15:G15" si="3">SUM(E16:E23)</f>
        <v>140194</v>
      </c>
      <c r="F15" s="792">
        <f t="shared" si="3"/>
        <v>0</v>
      </c>
      <c r="G15" s="792">
        <f t="shared" si="3"/>
        <v>2863.6</v>
      </c>
      <c r="H15" s="792">
        <f>SUM(H16:H23)</f>
        <v>2863.6</v>
      </c>
      <c r="I15" s="792">
        <f t="shared" ref="I15" si="4">SUM(I16:I23)</f>
        <v>140194</v>
      </c>
      <c r="J15" s="443"/>
    </row>
    <row r="16" spans="1:10" s="106" customFormat="1" ht="18" customHeight="1">
      <c r="A16" s="13"/>
      <c r="B16" s="12" t="s">
        <v>25</v>
      </c>
      <c r="C16" s="780">
        <f>VLOOKUP(B16,'5.1-DT'!$B$9:$H$63,5,0)</f>
        <v>0</v>
      </c>
      <c r="D16" s="780">
        <f>VLOOKUP(B16,'5.1-SN'!$B$12:$G$51,6,0)</f>
        <v>2521</v>
      </c>
      <c r="E16" s="780">
        <f>+D16+C16</f>
        <v>2521</v>
      </c>
      <c r="F16" s="780"/>
      <c r="G16" s="780">
        <f>+'[2]5-1'!H35</f>
        <v>220</v>
      </c>
      <c r="H16" s="780">
        <f>+G16+F16</f>
        <v>220</v>
      </c>
      <c r="I16" s="780">
        <f>E16</f>
        <v>2521</v>
      </c>
      <c r="J16" s="445"/>
    </row>
    <row r="17" spans="1:13" ht="18" customHeight="1">
      <c r="A17" s="13"/>
      <c r="B17" s="12" t="s">
        <v>23</v>
      </c>
      <c r="C17" s="780">
        <f>VLOOKUP(B17,'5.1-DT'!$B$9:$H$63,5,0)</f>
        <v>7883</v>
      </c>
      <c r="D17" s="780">
        <f>VLOOKUP(B17,'5.1-SN'!$B$12:$G$51,6,0)</f>
        <v>9798</v>
      </c>
      <c r="E17" s="780">
        <f t="shared" ref="E17:E23" si="5">+D17+C17</f>
        <v>17681</v>
      </c>
      <c r="F17" s="780"/>
      <c r="G17" s="780">
        <f>+'[2]5-1'!H41</f>
        <v>430.8</v>
      </c>
      <c r="H17" s="780">
        <f t="shared" ref="H17:H23" si="6">+G17+F17</f>
        <v>430.8</v>
      </c>
      <c r="I17" s="780">
        <f t="shared" ref="I17:I23" si="7">E17</f>
        <v>17681</v>
      </c>
      <c r="J17" s="714"/>
      <c r="K17" s="96"/>
    </row>
    <row r="18" spans="1:13" ht="18" customHeight="1">
      <c r="A18" s="13"/>
      <c r="B18" s="12" t="s">
        <v>21</v>
      </c>
      <c r="C18" s="780">
        <f>VLOOKUP(B18,'5.1-DT'!$B$9:$H$63,5,0)</f>
        <v>3837</v>
      </c>
      <c r="D18" s="780">
        <f>VLOOKUP(B18,'5.1-SN'!$B$12:$G$51,6,0)</f>
        <v>6710</v>
      </c>
      <c r="E18" s="780">
        <f t="shared" si="5"/>
        <v>10547</v>
      </c>
      <c r="F18" s="780"/>
      <c r="G18" s="780">
        <f>+'[2]5-1'!H47</f>
        <v>377</v>
      </c>
      <c r="H18" s="780">
        <f t="shared" si="6"/>
        <v>377</v>
      </c>
      <c r="I18" s="780">
        <f t="shared" si="7"/>
        <v>10547</v>
      </c>
      <c r="J18" s="714"/>
    </row>
    <row r="19" spans="1:13" ht="18" customHeight="1">
      <c r="A19" s="13"/>
      <c r="B19" s="12" t="s">
        <v>19</v>
      </c>
      <c r="C19" s="780">
        <f>VLOOKUP(B19,'5.1-DT'!$B$9:$H$63,5,0)</f>
        <v>8192</v>
      </c>
      <c r="D19" s="780">
        <f>VLOOKUP(B19,'5.1-SN'!$B$12:$G$51,6,0)</f>
        <v>5489</v>
      </c>
      <c r="E19" s="780">
        <f t="shared" si="5"/>
        <v>13681</v>
      </c>
      <c r="F19" s="780"/>
      <c r="G19" s="780">
        <f>+'[2]5-1'!H53</f>
        <v>222.4</v>
      </c>
      <c r="H19" s="780">
        <f t="shared" si="6"/>
        <v>222.4</v>
      </c>
      <c r="I19" s="780">
        <f t="shared" si="7"/>
        <v>13681</v>
      </c>
      <c r="J19" s="714"/>
    </row>
    <row r="20" spans="1:13" ht="18" customHeight="1">
      <c r="A20" s="13"/>
      <c r="B20" s="12" t="s">
        <v>17</v>
      </c>
      <c r="C20" s="780">
        <f>VLOOKUP(B20,'5.1-DT'!$B$9:$H$63,5,0)</f>
        <v>14325</v>
      </c>
      <c r="D20" s="780">
        <f>VLOOKUP(B20,'5.1-SN'!$B$12:$G$51,6,0)</f>
        <v>6612</v>
      </c>
      <c r="E20" s="780">
        <f>+D20+C20</f>
        <v>20937</v>
      </c>
      <c r="F20" s="780"/>
      <c r="G20" s="780">
        <f>+'[2]5-1'!H59</f>
        <v>370.5</v>
      </c>
      <c r="H20" s="780">
        <f t="shared" si="6"/>
        <v>370.5</v>
      </c>
      <c r="I20" s="780">
        <f t="shared" si="7"/>
        <v>20937</v>
      </c>
      <c r="J20" s="714"/>
    </row>
    <row r="21" spans="1:13" ht="18" customHeight="1">
      <c r="A21" s="13"/>
      <c r="B21" s="12" t="s">
        <v>15</v>
      </c>
      <c r="C21" s="780">
        <f>VLOOKUP(B21,'5.1-DT'!$B$9:$H$63,5,0)</f>
        <v>13377</v>
      </c>
      <c r="D21" s="780">
        <f>VLOOKUP(B21,'5.1-SN'!$B$12:$G$51,6,0)</f>
        <v>8801</v>
      </c>
      <c r="E21" s="780">
        <f t="shared" si="5"/>
        <v>22178</v>
      </c>
      <c r="F21" s="780"/>
      <c r="G21" s="780">
        <f>+'[2]5-1'!H65</f>
        <v>442</v>
      </c>
      <c r="H21" s="780">
        <f t="shared" si="6"/>
        <v>442</v>
      </c>
      <c r="I21" s="780">
        <f t="shared" si="7"/>
        <v>22178</v>
      </c>
      <c r="J21" s="714"/>
    </row>
    <row r="22" spans="1:13" ht="18" customHeight="1">
      <c r="A22" s="13"/>
      <c r="B22" s="12" t="s">
        <v>13</v>
      </c>
      <c r="C22" s="780">
        <f>VLOOKUP(B22,'5.1-DT'!$B$9:$H$63,5,0)</f>
        <v>17514</v>
      </c>
      <c r="D22" s="780">
        <f>VLOOKUP(B22,'5.1-SN'!$B$12:$G$51,6,0)</f>
        <v>8079</v>
      </c>
      <c r="E22" s="780">
        <f t="shared" si="5"/>
        <v>25593</v>
      </c>
      <c r="F22" s="780"/>
      <c r="G22" s="780">
        <f>+'[2]5-1'!H71</f>
        <v>464.8</v>
      </c>
      <c r="H22" s="780">
        <f t="shared" si="6"/>
        <v>464.8</v>
      </c>
      <c r="I22" s="780">
        <f t="shared" si="7"/>
        <v>25593</v>
      </c>
      <c r="J22" s="714"/>
    </row>
    <row r="23" spans="1:13" ht="18" customHeight="1">
      <c r="A23" s="13"/>
      <c r="B23" s="12" t="s">
        <v>11</v>
      </c>
      <c r="C23" s="780">
        <f>VLOOKUP(B23,'5.1-DT'!$B$9:$H$63,5,0)</f>
        <v>20236</v>
      </c>
      <c r="D23" s="780">
        <f>VLOOKUP(B23,'5.1-SN'!$B$12:$G$51,6,0)</f>
        <v>6820</v>
      </c>
      <c r="E23" s="780">
        <f t="shared" si="5"/>
        <v>27056</v>
      </c>
      <c r="F23" s="780"/>
      <c r="G23" s="780">
        <f>+'[2]5-1'!H77</f>
        <v>336.1</v>
      </c>
      <c r="H23" s="780">
        <f t="shared" si="6"/>
        <v>336.1</v>
      </c>
      <c r="I23" s="780">
        <f t="shared" si="7"/>
        <v>27056</v>
      </c>
      <c r="J23" s="714"/>
      <c r="M23" s="105" t="s">
        <v>750</v>
      </c>
    </row>
    <row r="24" spans="1:13" s="106" customFormat="1" ht="59.25" hidden="1" customHeight="1">
      <c r="A24" s="26" t="s">
        <v>26</v>
      </c>
      <c r="B24" s="54" t="s">
        <v>885</v>
      </c>
      <c r="C24" s="1056">
        <f>SUM(C29:C36)</f>
        <v>0</v>
      </c>
      <c r="D24" s="778">
        <f>D25+D37</f>
        <v>41421</v>
      </c>
      <c r="E24" s="778">
        <f>E25+E37</f>
        <v>41421</v>
      </c>
      <c r="F24" s="778">
        <f t="shared" ref="F24:H24" si="8">+F26+F28</f>
        <v>0</v>
      </c>
      <c r="G24" s="778">
        <f t="shared" si="8"/>
        <v>2121</v>
      </c>
      <c r="H24" s="778">
        <f t="shared" si="8"/>
        <v>2121</v>
      </c>
      <c r="I24" s="778">
        <f>I25+I37</f>
        <v>41421</v>
      </c>
      <c r="J24" s="1046" t="s">
        <v>2088</v>
      </c>
    </row>
    <row r="25" spans="1:13" s="106" customFormat="1" ht="18" hidden="1" customHeight="1">
      <c r="A25" s="26" t="s">
        <v>1612</v>
      </c>
      <c r="B25" s="54" t="s">
        <v>1610</v>
      </c>
      <c r="C25" s="778"/>
      <c r="D25" s="778">
        <f>+D26+D28</f>
        <v>22349</v>
      </c>
      <c r="E25" s="778">
        <f t="shared" ref="E25:I25" si="9">+E26+E28</f>
        <v>22349</v>
      </c>
      <c r="F25" s="778">
        <f t="shared" si="9"/>
        <v>0</v>
      </c>
      <c r="G25" s="778">
        <f t="shared" si="9"/>
        <v>2121</v>
      </c>
      <c r="H25" s="778">
        <f t="shared" si="9"/>
        <v>2121</v>
      </c>
      <c r="I25" s="778">
        <f t="shared" si="9"/>
        <v>22349</v>
      </c>
      <c r="J25" s="1046"/>
    </row>
    <row r="26" spans="1:13" s="444" customFormat="1" ht="18" hidden="1" customHeight="1">
      <c r="A26" s="125">
        <v>1</v>
      </c>
      <c r="B26" s="712" t="s">
        <v>733</v>
      </c>
      <c r="C26" s="792"/>
      <c r="D26" s="792">
        <f>+D27</f>
        <v>180</v>
      </c>
      <c r="E26" s="792">
        <f t="shared" ref="E26:I26" si="10">+E27</f>
        <v>180</v>
      </c>
      <c r="F26" s="792">
        <f t="shared" si="10"/>
        <v>0</v>
      </c>
      <c r="G26" s="792">
        <f t="shared" si="10"/>
        <v>50</v>
      </c>
      <c r="H26" s="792">
        <f t="shared" si="10"/>
        <v>50</v>
      </c>
      <c r="I26" s="792">
        <f t="shared" si="10"/>
        <v>180</v>
      </c>
      <c r="J26" s="1051"/>
    </row>
    <row r="27" spans="1:13" ht="18" hidden="1" customHeight="1">
      <c r="A27" s="13"/>
      <c r="B27" s="638" t="s">
        <v>886</v>
      </c>
      <c r="C27" s="793"/>
      <c r="D27" s="793">
        <f>+'5-2.A'!G11</f>
        <v>180</v>
      </c>
      <c r="E27" s="793">
        <f>+D27+C27</f>
        <v>180</v>
      </c>
      <c r="F27" s="793"/>
      <c r="G27" s="793">
        <f>+'[2]5-2'!H10</f>
        <v>50</v>
      </c>
      <c r="H27" s="793">
        <f>+G27+F27</f>
        <v>50</v>
      </c>
      <c r="I27" s="793">
        <f>E27</f>
        <v>180</v>
      </c>
      <c r="J27" s="1052"/>
    </row>
    <row r="28" spans="1:13" s="444" customFormat="1" ht="18" hidden="1" customHeight="1">
      <c r="A28" s="125">
        <v>2</v>
      </c>
      <c r="B28" s="712" t="s">
        <v>736</v>
      </c>
      <c r="C28" s="792"/>
      <c r="D28" s="792">
        <f>SUM(D29:D36)</f>
        <v>22169</v>
      </c>
      <c r="E28" s="792">
        <f t="shared" ref="E28:I28" si="11">SUM(E29:E36)</f>
        <v>22169</v>
      </c>
      <c r="F28" s="792">
        <f t="shared" si="11"/>
        <v>0</v>
      </c>
      <c r="G28" s="792">
        <f t="shared" si="11"/>
        <v>2071</v>
      </c>
      <c r="H28" s="792">
        <f>SUM(H29:H36)</f>
        <v>2071</v>
      </c>
      <c r="I28" s="792">
        <f t="shared" si="11"/>
        <v>22169</v>
      </c>
      <c r="J28" s="1051"/>
    </row>
    <row r="29" spans="1:13" s="106" customFormat="1" ht="18" hidden="1" customHeight="1">
      <c r="A29" s="13"/>
      <c r="B29" s="12" t="s">
        <v>25</v>
      </c>
      <c r="C29" s="778"/>
      <c r="D29" s="793">
        <f>VLOOKUP(B29,'5-2.A'!$B$14:$G$45,6,0)</f>
        <v>1464</v>
      </c>
      <c r="E29" s="793">
        <f>+D29+C29</f>
        <v>1464</v>
      </c>
      <c r="F29" s="793"/>
      <c r="G29" s="793">
        <f>+'[2]5-2'!H15</f>
        <v>137</v>
      </c>
      <c r="H29" s="793">
        <f>+G29+F29</f>
        <v>137</v>
      </c>
      <c r="I29" s="793">
        <f t="shared" ref="I29:I35" si="12">E29</f>
        <v>1464</v>
      </c>
      <c r="J29" s="1053"/>
    </row>
    <row r="30" spans="1:13" s="106" customFormat="1" ht="18" hidden="1" customHeight="1">
      <c r="A30" s="13"/>
      <c r="B30" s="12" t="s">
        <v>23</v>
      </c>
      <c r="C30" s="778"/>
      <c r="D30" s="793">
        <f>VLOOKUP(B30,'5-2.A'!$B$14:$G$45,6,0)</f>
        <v>2510</v>
      </c>
      <c r="E30" s="793">
        <f t="shared" ref="E30:E36" si="13">+D30+C30</f>
        <v>2510</v>
      </c>
      <c r="F30" s="793"/>
      <c r="G30" s="793">
        <f>+'[2]5-2'!H19</f>
        <v>234</v>
      </c>
      <c r="H30" s="793">
        <f t="shared" ref="H30:H36" si="14">+G30+F30</f>
        <v>234</v>
      </c>
      <c r="I30" s="793">
        <f t="shared" si="12"/>
        <v>2510</v>
      </c>
      <c r="J30" s="1053"/>
    </row>
    <row r="31" spans="1:13" s="106" customFormat="1" ht="18" hidden="1" customHeight="1">
      <c r="A31" s="13"/>
      <c r="B31" s="12" t="s">
        <v>21</v>
      </c>
      <c r="C31" s="778"/>
      <c r="D31" s="793">
        <f>VLOOKUP(B31,'5-2.A'!$B$14:$G$45,6,0)</f>
        <v>2091</v>
      </c>
      <c r="E31" s="793">
        <f t="shared" si="13"/>
        <v>2091</v>
      </c>
      <c r="F31" s="793"/>
      <c r="G31" s="793">
        <f>+'[2]5-2'!H23</f>
        <v>195</v>
      </c>
      <c r="H31" s="793">
        <f t="shared" si="14"/>
        <v>195</v>
      </c>
      <c r="I31" s="793">
        <f t="shared" si="12"/>
        <v>2091</v>
      </c>
      <c r="J31" s="1053"/>
    </row>
    <row r="32" spans="1:13" s="106" customFormat="1" ht="18" hidden="1" customHeight="1">
      <c r="A32" s="13"/>
      <c r="B32" s="12" t="s">
        <v>19</v>
      </c>
      <c r="C32" s="778"/>
      <c r="D32" s="793">
        <f>VLOOKUP(B32,'5-2.A'!$B$14:$G$45,6,0)</f>
        <v>2719</v>
      </c>
      <c r="E32" s="793">
        <f t="shared" si="13"/>
        <v>2719</v>
      </c>
      <c r="F32" s="793"/>
      <c r="G32" s="793">
        <f>+'[2]5-2'!H27</f>
        <v>254</v>
      </c>
      <c r="H32" s="793">
        <f t="shared" si="14"/>
        <v>254</v>
      </c>
      <c r="I32" s="793">
        <f t="shared" si="12"/>
        <v>2719</v>
      </c>
      <c r="J32" s="1053"/>
    </row>
    <row r="33" spans="1:11" s="106" customFormat="1" ht="18" hidden="1" customHeight="1">
      <c r="A33" s="13"/>
      <c r="B33" s="12" t="s">
        <v>17</v>
      </c>
      <c r="C33" s="778"/>
      <c r="D33" s="793">
        <f>VLOOKUP(B33,'5-2.A'!$B$14:$G$45,6,0)</f>
        <v>3555</v>
      </c>
      <c r="E33" s="793">
        <f t="shared" si="13"/>
        <v>3555</v>
      </c>
      <c r="F33" s="793"/>
      <c r="G33" s="793">
        <f>+'[2]5-2'!H31</f>
        <v>332</v>
      </c>
      <c r="H33" s="793">
        <f t="shared" si="14"/>
        <v>332</v>
      </c>
      <c r="I33" s="793">
        <f t="shared" si="12"/>
        <v>3555</v>
      </c>
      <c r="J33" s="1053"/>
    </row>
    <row r="34" spans="1:11" s="106" customFormat="1" ht="18" hidden="1" customHeight="1">
      <c r="A34" s="13"/>
      <c r="B34" s="12" t="s">
        <v>15</v>
      </c>
      <c r="C34" s="778"/>
      <c r="D34" s="793">
        <f>VLOOKUP(B34,'5-2.A'!$B$14:$G$45,6,0)</f>
        <v>4601</v>
      </c>
      <c r="E34" s="793">
        <f t="shared" si="13"/>
        <v>4601</v>
      </c>
      <c r="F34" s="793"/>
      <c r="G34" s="793">
        <f>+'[2]5-2'!H35</f>
        <v>430</v>
      </c>
      <c r="H34" s="793">
        <f t="shared" si="14"/>
        <v>430</v>
      </c>
      <c r="I34" s="793">
        <f t="shared" si="12"/>
        <v>4601</v>
      </c>
      <c r="J34" s="1053"/>
    </row>
    <row r="35" spans="1:11" s="106" customFormat="1" ht="18" hidden="1" customHeight="1">
      <c r="A35" s="13"/>
      <c r="B35" s="12" t="s">
        <v>13</v>
      </c>
      <c r="C35" s="778"/>
      <c r="D35" s="793">
        <f>VLOOKUP(B35,'5-2.A'!$B$14:$G$45,6,0)</f>
        <v>2301</v>
      </c>
      <c r="E35" s="793">
        <f t="shared" si="13"/>
        <v>2301</v>
      </c>
      <c r="F35" s="793"/>
      <c r="G35" s="793">
        <f>+'[2]5-2'!H39</f>
        <v>215</v>
      </c>
      <c r="H35" s="793">
        <f t="shared" si="14"/>
        <v>215</v>
      </c>
      <c r="I35" s="793">
        <f t="shared" si="12"/>
        <v>2301</v>
      </c>
      <c r="J35" s="1053"/>
    </row>
    <row r="36" spans="1:11" s="106" customFormat="1" ht="18" hidden="1" customHeight="1">
      <c r="A36" s="13"/>
      <c r="B36" s="12" t="s">
        <v>11</v>
      </c>
      <c r="C36" s="778"/>
      <c r="D36" s="793">
        <f>VLOOKUP(B36,'5-2.A'!$B$14:$G$45,6,0)</f>
        <v>2928</v>
      </c>
      <c r="E36" s="793">
        <f t="shared" si="13"/>
        <v>2928</v>
      </c>
      <c r="F36" s="793"/>
      <c r="G36" s="793">
        <f>+'[2]5-2'!H43</f>
        <v>274</v>
      </c>
      <c r="H36" s="793">
        <f t="shared" si="14"/>
        <v>274</v>
      </c>
      <c r="I36" s="793">
        <f>E36</f>
        <v>2928</v>
      </c>
      <c r="J36" s="1053"/>
    </row>
    <row r="37" spans="1:11" s="106" customFormat="1" ht="30" hidden="1" customHeight="1">
      <c r="A37" s="13" t="s">
        <v>1612</v>
      </c>
      <c r="B37" s="54" t="s">
        <v>1611</v>
      </c>
      <c r="C37" s="778"/>
      <c r="D37" s="778">
        <f>+D38+D40</f>
        <v>19072</v>
      </c>
      <c r="E37" s="778">
        <f>+E38+E40</f>
        <v>19072</v>
      </c>
      <c r="F37" s="778"/>
      <c r="G37" s="778"/>
      <c r="H37" s="778"/>
      <c r="I37" s="778">
        <f>+I38+I40</f>
        <v>19072</v>
      </c>
      <c r="J37" s="1053"/>
    </row>
    <row r="38" spans="1:11" s="106" customFormat="1" ht="18" hidden="1" customHeight="1">
      <c r="A38" s="125">
        <v>1</v>
      </c>
      <c r="B38" s="712" t="s">
        <v>733</v>
      </c>
      <c r="C38" s="778"/>
      <c r="D38" s="713">
        <f>SUM(D39)</f>
        <v>19072</v>
      </c>
      <c r="E38" s="713">
        <f>SUM(E39)</f>
        <v>19072</v>
      </c>
      <c r="F38" s="713"/>
      <c r="G38" s="713"/>
      <c r="H38" s="713"/>
      <c r="I38" s="713">
        <f>SUM(I39)</f>
        <v>19072</v>
      </c>
      <c r="J38" s="1053"/>
    </row>
    <row r="39" spans="1:11" ht="18" hidden="1" customHeight="1">
      <c r="A39" s="13"/>
      <c r="B39" s="638" t="s">
        <v>884</v>
      </c>
      <c r="C39" s="793"/>
      <c r="D39" s="793">
        <f>+'5.2.B'!G9</f>
        <v>19072</v>
      </c>
      <c r="E39" s="793">
        <f>+D39+C39</f>
        <v>19072</v>
      </c>
      <c r="F39" s="793"/>
      <c r="G39" s="793"/>
      <c r="H39" s="793"/>
      <c r="I39" s="793">
        <f>+E39</f>
        <v>19072</v>
      </c>
      <c r="J39" s="697"/>
    </row>
    <row r="40" spans="1:11" s="106" customFormat="1" ht="18" hidden="1" customHeight="1">
      <c r="A40" s="125">
        <v>2</v>
      </c>
      <c r="B40" s="712" t="s">
        <v>736</v>
      </c>
      <c r="C40" s="778"/>
      <c r="D40" s="793"/>
      <c r="E40" s="793"/>
      <c r="F40" s="793"/>
      <c r="G40" s="793"/>
      <c r="H40" s="793"/>
      <c r="I40" s="793"/>
      <c r="J40" s="1053"/>
    </row>
    <row r="41" spans="1:11" s="106" customFormat="1" ht="40.5" hidden="1" customHeight="1">
      <c r="A41" s="26" t="s">
        <v>28</v>
      </c>
      <c r="B41" s="54" t="s">
        <v>887</v>
      </c>
      <c r="C41" s="1056">
        <f>SUM(C46:C53)</f>
        <v>0</v>
      </c>
      <c r="D41" s="778">
        <f>+D42+D45</f>
        <v>214545</v>
      </c>
      <c r="E41" s="778">
        <f t="shared" ref="E41:I41" si="15">+E42+E45</f>
        <v>214545</v>
      </c>
      <c r="F41" s="778">
        <f t="shared" si="15"/>
        <v>0</v>
      </c>
      <c r="G41" s="778">
        <f t="shared" si="15"/>
        <v>11270.4</v>
      </c>
      <c r="H41" s="778">
        <f t="shared" si="15"/>
        <v>11270.4</v>
      </c>
      <c r="I41" s="778">
        <f t="shared" si="15"/>
        <v>214545</v>
      </c>
      <c r="J41" s="1046" t="s">
        <v>888</v>
      </c>
      <c r="K41" s="106">
        <f>'[2]5-3'!F10-I41</f>
        <v>10999.399999999994</v>
      </c>
    </row>
    <row r="42" spans="1:11" s="444" customFormat="1" ht="18" hidden="1" customHeight="1">
      <c r="A42" s="125">
        <v>1</v>
      </c>
      <c r="B42" s="712" t="s">
        <v>733</v>
      </c>
      <c r="C42" s="792"/>
      <c r="D42" s="792">
        <f>SUM(D43:D44)</f>
        <v>54401</v>
      </c>
      <c r="E42" s="792">
        <f t="shared" ref="E42:I42" si="16">SUM(E43:E44)</f>
        <v>54401</v>
      </c>
      <c r="F42" s="792">
        <f t="shared" si="16"/>
        <v>0</v>
      </c>
      <c r="G42" s="792">
        <f t="shared" si="16"/>
        <v>3337.4</v>
      </c>
      <c r="H42" s="792">
        <f t="shared" si="16"/>
        <v>3337.4</v>
      </c>
      <c r="I42" s="792">
        <f t="shared" si="16"/>
        <v>54401</v>
      </c>
      <c r="J42" s="1051"/>
    </row>
    <row r="43" spans="1:11" ht="18" hidden="1" customHeight="1">
      <c r="A43" s="13"/>
      <c r="B43" s="638" t="s">
        <v>910</v>
      </c>
      <c r="C43" s="793"/>
      <c r="D43" s="793">
        <f>++'5-3'!G9</f>
        <v>12290</v>
      </c>
      <c r="E43" s="793">
        <f t="shared" ref="E43:E44" si="17">+D43+C43</f>
        <v>12290</v>
      </c>
      <c r="F43" s="793"/>
      <c r="G43" s="793">
        <f>+'[2]5-3'!H12</f>
        <v>1082.4000000000001</v>
      </c>
      <c r="H43" s="793">
        <f t="shared" ref="H43:H44" si="18">+G43+F43</f>
        <v>1082.4000000000001</v>
      </c>
      <c r="I43" s="780">
        <f>+E43</f>
        <v>12290</v>
      </c>
      <c r="J43" s="1052"/>
    </row>
    <row r="44" spans="1:11" ht="18" hidden="1" customHeight="1">
      <c r="A44" s="13"/>
      <c r="B44" s="638" t="s">
        <v>889</v>
      </c>
      <c r="C44" s="793"/>
      <c r="D44" s="793">
        <f>+'5-3'!G23</f>
        <v>42111</v>
      </c>
      <c r="E44" s="793">
        <f t="shared" si="17"/>
        <v>42111</v>
      </c>
      <c r="F44" s="793"/>
      <c r="G44" s="793">
        <f>+'[2]5-3'!H29</f>
        <v>2255</v>
      </c>
      <c r="H44" s="793">
        <f t="shared" si="18"/>
        <v>2255</v>
      </c>
      <c r="I44" s="780">
        <f>+E44</f>
        <v>42111</v>
      </c>
      <c r="J44" s="1052"/>
    </row>
    <row r="45" spans="1:11" s="444" customFormat="1" ht="18" hidden="1" customHeight="1">
      <c r="A45" s="125">
        <v>2</v>
      </c>
      <c r="B45" s="712" t="s">
        <v>890</v>
      </c>
      <c r="C45" s="792"/>
      <c r="D45" s="792">
        <f>SUM(D46:D53)</f>
        <v>160144</v>
      </c>
      <c r="E45" s="792">
        <f t="shared" ref="E45:I45" si="19">SUM(E46:E53)</f>
        <v>160144</v>
      </c>
      <c r="F45" s="792">
        <f t="shared" si="19"/>
        <v>0</v>
      </c>
      <c r="G45" s="792">
        <f t="shared" si="19"/>
        <v>7933</v>
      </c>
      <c r="H45" s="792">
        <f>SUM(H46:H53)</f>
        <v>7933</v>
      </c>
      <c r="I45" s="792">
        <f t="shared" si="19"/>
        <v>160144</v>
      </c>
      <c r="J45" s="1051"/>
    </row>
    <row r="46" spans="1:11" s="106" customFormat="1" ht="18" hidden="1" customHeight="1">
      <c r="A46" s="13"/>
      <c r="B46" s="12" t="s">
        <v>25</v>
      </c>
      <c r="C46" s="790"/>
      <c r="D46" s="780">
        <f>VLOOKUP(B46,'5-3'!$B$37:$G$149,6,0)</f>
        <v>7735</v>
      </c>
      <c r="E46" s="780">
        <f>+D46+C46</f>
        <v>7735</v>
      </c>
      <c r="F46" s="780"/>
      <c r="G46" s="780">
        <f>+'[2]5-3'!H43</f>
        <v>270</v>
      </c>
      <c r="H46" s="780">
        <f>+G46+F46</f>
        <v>270</v>
      </c>
      <c r="I46" s="780">
        <f>+E46</f>
        <v>7735</v>
      </c>
      <c r="J46" s="1054"/>
    </row>
    <row r="47" spans="1:11" ht="18" hidden="1" customHeight="1">
      <c r="A47" s="13"/>
      <c r="B47" s="12" t="s">
        <v>23</v>
      </c>
      <c r="C47" s="790"/>
      <c r="D47" s="780">
        <f>VLOOKUP(B47,'5-3'!$B$37:$G$149,6,0)</f>
        <v>23633</v>
      </c>
      <c r="E47" s="780">
        <f t="shared" ref="E47:E53" si="20">+D47+C47</f>
        <v>23633</v>
      </c>
      <c r="F47" s="780"/>
      <c r="G47" s="780">
        <f>+'[2]5-3'!H52</f>
        <v>1172</v>
      </c>
      <c r="H47" s="780">
        <f t="shared" ref="H47:H53" si="21">+G47+F47</f>
        <v>1172</v>
      </c>
      <c r="I47" s="780">
        <f t="shared" ref="I47:I53" si="22">+E47</f>
        <v>23633</v>
      </c>
      <c r="J47" s="1052"/>
    </row>
    <row r="48" spans="1:11" ht="18" hidden="1" customHeight="1">
      <c r="A48" s="13"/>
      <c r="B48" s="12" t="s">
        <v>21</v>
      </c>
      <c r="C48" s="780"/>
      <c r="D48" s="780">
        <f>VLOOKUP(B48,'5-3'!$B$37:$G$149,6,0)</f>
        <v>21484</v>
      </c>
      <c r="E48" s="780">
        <f t="shared" si="20"/>
        <v>21484</v>
      </c>
      <c r="F48" s="780"/>
      <c r="G48" s="780">
        <f>+'[2]5-3'!H66</f>
        <v>1065</v>
      </c>
      <c r="H48" s="780">
        <f t="shared" si="21"/>
        <v>1065</v>
      </c>
      <c r="I48" s="780">
        <f t="shared" si="22"/>
        <v>21484</v>
      </c>
      <c r="J48" s="1052"/>
    </row>
    <row r="49" spans="1:11" ht="18" hidden="1" customHeight="1">
      <c r="A49" s="13"/>
      <c r="B49" s="12" t="s">
        <v>19</v>
      </c>
      <c r="C49" s="780"/>
      <c r="D49" s="780">
        <f>VLOOKUP(B49,'5-3'!$B$37:$G$149,6,0)</f>
        <v>21484</v>
      </c>
      <c r="E49" s="780">
        <f t="shared" si="20"/>
        <v>21484</v>
      </c>
      <c r="F49" s="780"/>
      <c r="G49" s="780">
        <f>+'[2]5-3'!H80</f>
        <v>1065</v>
      </c>
      <c r="H49" s="780">
        <f t="shared" si="21"/>
        <v>1065</v>
      </c>
      <c r="I49" s="780">
        <f t="shared" si="22"/>
        <v>21484</v>
      </c>
      <c r="J49" s="1052"/>
    </row>
    <row r="50" spans="1:11" ht="18" hidden="1" customHeight="1">
      <c r="A50" s="13"/>
      <c r="B50" s="12" t="s">
        <v>17</v>
      </c>
      <c r="C50" s="780"/>
      <c r="D50" s="780">
        <f>VLOOKUP(B50,'5-3'!$B$37:$G$149,6,0)</f>
        <v>25652</v>
      </c>
      <c r="E50" s="780">
        <f t="shared" si="20"/>
        <v>25652</v>
      </c>
      <c r="F50" s="780"/>
      <c r="G50" s="780">
        <f>+'[2]5-3'!H94</f>
        <v>1272</v>
      </c>
      <c r="H50" s="780">
        <f t="shared" si="21"/>
        <v>1272</v>
      </c>
      <c r="I50" s="780">
        <f t="shared" si="22"/>
        <v>25652</v>
      </c>
      <c r="J50" s="1052"/>
    </row>
    <row r="51" spans="1:11" ht="18" hidden="1" customHeight="1">
      <c r="A51" s="13"/>
      <c r="B51" s="12" t="s">
        <v>15</v>
      </c>
      <c r="C51" s="780"/>
      <c r="D51" s="780">
        <f>VLOOKUP(B51,'5-3'!$B$37:$G$149,6,0)</f>
        <v>25781</v>
      </c>
      <c r="E51" s="780">
        <f t="shared" si="20"/>
        <v>25781</v>
      </c>
      <c r="F51" s="780"/>
      <c r="G51" s="780">
        <f>+'[2]5-3'!H108</f>
        <v>1278</v>
      </c>
      <c r="H51" s="780">
        <f t="shared" si="21"/>
        <v>1278</v>
      </c>
      <c r="I51" s="780">
        <f t="shared" si="22"/>
        <v>25781</v>
      </c>
      <c r="J51" s="1052"/>
    </row>
    <row r="52" spans="1:11" ht="18" hidden="1" customHeight="1">
      <c r="A52" s="13"/>
      <c r="B52" s="12" t="s">
        <v>13</v>
      </c>
      <c r="C52" s="780"/>
      <c r="D52" s="780">
        <f>VLOOKUP(B52,'5-3'!$B$37:$G$149,6,0)</f>
        <v>12891</v>
      </c>
      <c r="E52" s="780">
        <f t="shared" si="20"/>
        <v>12891</v>
      </c>
      <c r="F52" s="780"/>
      <c r="G52" s="780">
        <f>+'[2]5-3'!H122</f>
        <v>746</v>
      </c>
      <c r="H52" s="780">
        <f t="shared" si="21"/>
        <v>746</v>
      </c>
      <c r="I52" s="780">
        <f t="shared" si="22"/>
        <v>12891</v>
      </c>
      <c r="J52" s="1052"/>
    </row>
    <row r="53" spans="1:11" ht="18" hidden="1" customHeight="1">
      <c r="A53" s="13"/>
      <c r="B53" s="12" t="s">
        <v>11</v>
      </c>
      <c r="C53" s="780"/>
      <c r="D53" s="780">
        <f>VLOOKUP(B53,'5-3'!$B$37:$G$149,6,0)</f>
        <v>21484</v>
      </c>
      <c r="E53" s="780">
        <f t="shared" si="20"/>
        <v>21484</v>
      </c>
      <c r="F53" s="780"/>
      <c r="G53" s="780">
        <f>+'[2]5-3'!H136</f>
        <v>1065</v>
      </c>
      <c r="H53" s="780">
        <f t="shared" si="21"/>
        <v>1065</v>
      </c>
      <c r="I53" s="780">
        <f t="shared" si="22"/>
        <v>21484</v>
      </c>
      <c r="J53" s="1052"/>
    </row>
    <row r="54" spans="1:11" ht="39.75" hidden="1" customHeight="1">
      <c r="A54" s="446" t="s">
        <v>29</v>
      </c>
      <c r="B54" s="870" t="s">
        <v>891</v>
      </c>
      <c r="C54" s="1110">
        <f>SUM(C58:C65)</f>
        <v>0</v>
      </c>
      <c r="D54" s="1111">
        <f>SUM(D58:D65)</f>
        <v>44618</v>
      </c>
      <c r="E54" s="1111">
        <f>SUM(E58:E65)</f>
        <v>44618</v>
      </c>
      <c r="F54" s="1111">
        <f t="shared" ref="F54:I54" si="23">SUM(F58:F65)</f>
        <v>0</v>
      </c>
      <c r="G54" s="1111">
        <f t="shared" si="23"/>
        <v>2347</v>
      </c>
      <c r="H54" s="1111">
        <f t="shared" si="23"/>
        <v>2347</v>
      </c>
      <c r="I54" s="1111">
        <f t="shared" si="23"/>
        <v>46965</v>
      </c>
      <c r="J54" s="1112" t="s">
        <v>892</v>
      </c>
      <c r="K54" s="105">
        <f>'[2]5-4'!F9-I54</f>
        <v>0</v>
      </c>
    </row>
    <row r="55" spans="1:11" s="444" customFormat="1" ht="18.75" hidden="1" customHeight="1">
      <c r="A55" s="1106">
        <v>1</v>
      </c>
      <c r="B55" s="1107" t="s">
        <v>733</v>
      </c>
      <c r="C55" s="1108"/>
      <c r="D55" s="1108">
        <f t="shared" ref="D55:I55" si="24">SUM(D56:D56)</f>
        <v>44407</v>
      </c>
      <c r="E55" s="1108">
        <f t="shared" si="24"/>
        <v>44407</v>
      </c>
      <c r="F55" s="1108">
        <f t="shared" si="24"/>
        <v>0</v>
      </c>
      <c r="G55" s="1108">
        <f t="shared" si="24"/>
        <v>2348.0000000000027</v>
      </c>
      <c r="H55" s="1108">
        <f t="shared" si="24"/>
        <v>2348.0000000000027</v>
      </c>
      <c r="I55" s="1108">
        <f t="shared" si="24"/>
        <v>44407</v>
      </c>
      <c r="J55" s="1109"/>
    </row>
    <row r="56" spans="1:11" ht="18.75" hidden="1" customHeight="1">
      <c r="A56" s="13"/>
      <c r="B56" s="638" t="s">
        <v>893</v>
      </c>
      <c r="C56" s="793"/>
      <c r="D56" s="793">
        <f>+'5-4'!G9</f>
        <v>44407</v>
      </c>
      <c r="E56" s="793">
        <f t="shared" ref="E56" si="25">+D56+C56</f>
        <v>44407</v>
      </c>
      <c r="F56" s="793"/>
      <c r="G56" s="793">
        <f>+'[2]5-4'!H11</f>
        <v>2348.0000000000027</v>
      </c>
      <c r="H56" s="793">
        <f t="shared" ref="H56" si="26">+G56+F56</f>
        <v>2348.0000000000027</v>
      </c>
      <c r="I56" s="780">
        <f>+E56</f>
        <v>44407</v>
      </c>
      <c r="J56" s="714"/>
    </row>
    <row r="57" spans="1:11" s="444" customFormat="1" ht="18.75" hidden="1" customHeight="1">
      <c r="A57" s="125">
        <v>2</v>
      </c>
      <c r="B57" s="712" t="s">
        <v>890</v>
      </c>
      <c r="C57" s="792"/>
      <c r="D57" s="792"/>
      <c r="E57" s="792"/>
      <c r="F57" s="792"/>
      <c r="G57" s="792"/>
      <c r="H57" s="792"/>
      <c r="I57" s="792"/>
      <c r="J57" s="443"/>
    </row>
    <row r="58" spans="1:11" s="106" customFormat="1" ht="18" hidden="1" customHeight="1">
      <c r="A58" s="13"/>
      <c r="B58" s="12" t="s">
        <v>25</v>
      </c>
      <c r="C58" s="790"/>
      <c r="D58" s="780">
        <f>+'[2]5-4'!G129</f>
        <v>282</v>
      </c>
      <c r="E58" s="780">
        <f>+D58+C58</f>
        <v>282</v>
      </c>
      <c r="F58" s="780"/>
      <c r="G58" s="780">
        <f>+'[2]5-4'!H129</f>
        <v>14</v>
      </c>
      <c r="H58" s="780">
        <f>+G58+F58</f>
        <v>14</v>
      </c>
      <c r="I58" s="780">
        <f>+H58+E58</f>
        <v>296</v>
      </c>
      <c r="J58" s="445"/>
    </row>
    <row r="59" spans="1:11" ht="18" hidden="1" customHeight="1">
      <c r="A59" s="13"/>
      <c r="B59" s="12" t="s">
        <v>23</v>
      </c>
      <c r="C59" s="790"/>
      <c r="D59" s="780">
        <f>+'[2]5-4'!G143</f>
        <v>3998</v>
      </c>
      <c r="E59" s="780">
        <f t="shared" ref="E59:E65" si="27">+D59+C59</f>
        <v>3998</v>
      </c>
      <c r="F59" s="780"/>
      <c r="G59" s="780">
        <f>+'[2]5-4'!H143</f>
        <v>210</v>
      </c>
      <c r="H59" s="780">
        <f t="shared" ref="H59:H65" si="28">+G59+F59</f>
        <v>210</v>
      </c>
      <c r="I59" s="780">
        <f t="shared" ref="I59:I65" si="29">+H59+E59</f>
        <v>4208</v>
      </c>
      <c r="J59" s="714"/>
    </row>
    <row r="60" spans="1:11" ht="18" hidden="1" customHeight="1">
      <c r="A60" s="13"/>
      <c r="B60" s="12" t="s">
        <v>21</v>
      </c>
      <c r="C60" s="790"/>
      <c r="D60" s="780">
        <f>+'[2]5-4'!G157</f>
        <v>1052</v>
      </c>
      <c r="E60" s="780">
        <f t="shared" si="27"/>
        <v>1052</v>
      </c>
      <c r="F60" s="780"/>
      <c r="G60" s="780">
        <f>+'[2]5-4'!H157</f>
        <v>55</v>
      </c>
      <c r="H60" s="780">
        <f t="shared" si="28"/>
        <v>55</v>
      </c>
      <c r="I60" s="780">
        <f t="shared" si="29"/>
        <v>1107</v>
      </c>
      <c r="J60" s="714"/>
    </row>
    <row r="61" spans="1:11" ht="18" hidden="1" customHeight="1">
      <c r="A61" s="13"/>
      <c r="B61" s="12" t="s">
        <v>19</v>
      </c>
      <c r="C61" s="790"/>
      <c r="D61" s="780">
        <f>+'[2]5-4'!G171</f>
        <v>5121</v>
      </c>
      <c r="E61" s="780">
        <f t="shared" si="27"/>
        <v>5121</v>
      </c>
      <c r="F61" s="780"/>
      <c r="G61" s="780">
        <f>+'[2]5-4'!H171</f>
        <v>270</v>
      </c>
      <c r="H61" s="780">
        <f t="shared" si="28"/>
        <v>270</v>
      </c>
      <c r="I61" s="780">
        <f t="shared" si="29"/>
        <v>5391</v>
      </c>
      <c r="J61" s="714"/>
    </row>
    <row r="62" spans="1:11" ht="18" hidden="1" customHeight="1">
      <c r="A62" s="13"/>
      <c r="B62" s="12" t="s">
        <v>17</v>
      </c>
      <c r="C62" s="790"/>
      <c r="D62" s="780">
        <f>+'[2]5-4'!G185</f>
        <v>9050</v>
      </c>
      <c r="E62" s="780">
        <f t="shared" si="27"/>
        <v>9050</v>
      </c>
      <c r="F62" s="780"/>
      <c r="G62" s="780">
        <f>+'[2]5-4'!H185</f>
        <v>476</v>
      </c>
      <c r="H62" s="780">
        <f t="shared" si="28"/>
        <v>476</v>
      </c>
      <c r="I62" s="780">
        <f t="shared" si="29"/>
        <v>9526</v>
      </c>
      <c r="J62" s="714"/>
    </row>
    <row r="63" spans="1:11" ht="18" hidden="1" customHeight="1">
      <c r="A63" s="13"/>
      <c r="B63" s="12" t="s">
        <v>15</v>
      </c>
      <c r="C63" s="790"/>
      <c r="D63" s="780">
        <f>+'[2]5-4'!G199</f>
        <v>12557</v>
      </c>
      <c r="E63" s="780">
        <f t="shared" si="27"/>
        <v>12557</v>
      </c>
      <c r="F63" s="780"/>
      <c r="G63" s="780">
        <f>+'[2]5-4'!H199</f>
        <v>661</v>
      </c>
      <c r="H63" s="780">
        <f t="shared" si="28"/>
        <v>661</v>
      </c>
      <c r="I63" s="780">
        <f t="shared" si="29"/>
        <v>13218</v>
      </c>
      <c r="J63" s="714"/>
    </row>
    <row r="64" spans="1:11" ht="18" hidden="1" customHeight="1">
      <c r="A64" s="13"/>
      <c r="B64" s="12" t="s">
        <v>13</v>
      </c>
      <c r="C64" s="790"/>
      <c r="D64" s="780">
        <f>+'[2]5-4'!G213</f>
        <v>5052</v>
      </c>
      <c r="E64" s="780">
        <f t="shared" si="27"/>
        <v>5052</v>
      </c>
      <c r="F64" s="780"/>
      <c r="G64" s="780">
        <f>+'[2]5-4'!H213</f>
        <v>266</v>
      </c>
      <c r="H64" s="780">
        <f t="shared" si="28"/>
        <v>266</v>
      </c>
      <c r="I64" s="780">
        <f t="shared" si="29"/>
        <v>5318</v>
      </c>
      <c r="J64" s="714"/>
    </row>
    <row r="65" spans="1:10" ht="18" hidden="1" customHeight="1">
      <c r="A65" s="13"/>
      <c r="B65" s="12" t="s">
        <v>11</v>
      </c>
      <c r="C65" s="790"/>
      <c r="D65" s="780">
        <f>+'[2]5-4'!G227</f>
        <v>7506</v>
      </c>
      <c r="E65" s="780">
        <f t="shared" si="27"/>
        <v>7506</v>
      </c>
      <c r="F65" s="780"/>
      <c r="G65" s="780">
        <f>+'[2]5-4'!H227</f>
        <v>395</v>
      </c>
      <c r="H65" s="780">
        <f t="shared" si="28"/>
        <v>395</v>
      </c>
      <c r="I65" s="780">
        <f t="shared" si="29"/>
        <v>7901</v>
      </c>
      <c r="J65" s="714"/>
    </row>
    <row r="66" spans="1:10" ht="18" hidden="1" customHeight="1">
      <c r="A66" s="41"/>
      <c r="B66" s="705"/>
      <c r="C66" s="787"/>
      <c r="D66" s="787"/>
      <c r="E66" s="791"/>
      <c r="F66" s="787"/>
      <c r="G66" s="787"/>
      <c r="H66" s="791"/>
      <c r="I66" s="787"/>
      <c r="J66" s="786"/>
    </row>
    <row r="67" spans="1:10" ht="18" customHeight="1"/>
    <row r="68" spans="1:10" ht="18" customHeight="1">
      <c r="A68" s="1801" t="s">
        <v>2472</v>
      </c>
      <c r="B68" s="1801"/>
      <c r="C68" s="1801"/>
      <c r="D68" s="1801"/>
      <c r="E68" s="1801"/>
      <c r="F68" s="1801"/>
      <c r="G68" s="1801"/>
      <c r="H68" s="1801"/>
      <c r="I68" s="1801"/>
      <c r="J68" s="1801"/>
    </row>
    <row r="69" spans="1:10" ht="18" customHeight="1">
      <c r="A69" s="1838" t="s">
        <v>2473</v>
      </c>
      <c r="B69" s="1839"/>
      <c r="C69" s="1839"/>
      <c r="D69" s="1839"/>
      <c r="E69" s="1839"/>
      <c r="F69" s="1839"/>
      <c r="G69" s="1839"/>
      <c r="H69" s="1839"/>
      <c r="I69" s="1839"/>
      <c r="J69" s="1839"/>
    </row>
    <row r="70" spans="1:10" ht="27.75" customHeight="1">
      <c r="A70" s="1838" t="s">
        <v>2474</v>
      </c>
      <c r="B70" s="1839"/>
      <c r="C70" s="1839"/>
      <c r="D70" s="1839"/>
      <c r="E70" s="1839"/>
      <c r="F70" s="1839"/>
      <c r="G70" s="1839"/>
      <c r="H70" s="1839"/>
      <c r="I70" s="1839"/>
      <c r="J70" s="1839"/>
    </row>
    <row r="71" spans="1:10" ht="27.75" customHeight="1">
      <c r="A71" s="1838" t="s">
        <v>2487</v>
      </c>
      <c r="B71" s="1839"/>
      <c r="C71" s="1839"/>
      <c r="D71" s="1839"/>
      <c r="E71" s="1839"/>
      <c r="F71" s="1839"/>
      <c r="G71" s="1839"/>
      <c r="H71" s="1839"/>
      <c r="I71" s="1839"/>
      <c r="J71" s="1839"/>
    </row>
    <row r="72" spans="1:10" ht="18" customHeight="1">
      <c r="A72" s="1838" t="s">
        <v>2475</v>
      </c>
      <c r="B72" s="1839"/>
      <c r="C72" s="1839"/>
      <c r="D72" s="1839"/>
      <c r="E72" s="1839"/>
      <c r="F72" s="1839"/>
      <c r="G72" s="1839"/>
      <c r="H72" s="1839"/>
      <c r="I72" s="1839"/>
      <c r="J72" s="1839"/>
    </row>
    <row r="73" spans="1:10" ht="18" customHeight="1">
      <c r="A73" s="1838" t="s">
        <v>2476</v>
      </c>
      <c r="B73" s="1839"/>
      <c r="C73" s="1839"/>
      <c r="D73" s="1839"/>
      <c r="E73" s="1839"/>
      <c r="F73" s="1839"/>
      <c r="G73" s="1839"/>
      <c r="H73" s="1839"/>
      <c r="I73" s="1839"/>
      <c r="J73" s="1839"/>
    </row>
    <row r="74" spans="1:10" ht="18" customHeight="1"/>
    <row r="75" spans="1:10" ht="18" customHeight="1"/>
    <row r="76" spans="1:10" ht="18" customHeight="1"/>
    <row r="77" spans="1:10" ht="18" customHeight="1"/>
    <row r="78" spans="1:10" ht="18" customHeight="1"/>
    <row r="79" spans="1:10" ht="18" customHeight="1"/>
    <row r="80" spans="1:10" ht="18" customHeight="1"/>
    <row r="81" ht="18" customHeight="1"/>
    <row r="82" ht="18" customHeight="1"/>
    <row r="83" ht="18" customHeight="1"/>
    <row r="84" ht="18" customHeight="1"/>
    <row r="85" ht="18" customHeight="1"/>
    <row r="86" ht="18"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sheetData>
  <autoFilter ref="A9:J66"/>
  <mergeCells count="19">
    <mergeCell ref="A73:J73"/>
    <mergeCell ref="A68:J68"/>
    <mergeCell ref="A69:J69"/>
    <mergeCell ref="A70:J70"/>
    <mergeCell ref="A71:J71"/>
    <mergeCell ref="A72:J72"/>
    <mergeCell ref="F7:H7"/>
    <mergeCell ref="I7:I8"/>
    <mergeCell ref="C7:C8"/>
    <mergeCell ref="A1:J1"/>
    <mergeCell ref="A5:J5"/>
    <mergeCell ref="J7:J8"/>
    <mergeCell ref="A2:B2"/>
    <mergeCell ref="H2:J2"/>
    <mergeCell ref="A3:J3"/>
    <mergeCell ref="A4:J4"/>
    <mergeCell ref="A6:J6"/>
    <mergeCell ref="A7:A8"/>
    <mergeCell ref="B7:B8"/>
  </mergeCells>
  <pageMargins left="0.66" right="0.5" top="0.5" bottom="0.5" header="0.47" footer="0.3"/>
  <pageSetup paperSize="9" scale="90" orientation="portrait" r:id="rId1"/>
  <headerFooter>
    <oddFooter>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J82"/>
  <sheetViews>
    <sheetView zoomScaleNormal="100" workbookViewId="0">
      <selection activeCell="F6" sqref="F6:F10"/>
    </sheetView>
  </sheetViews>
  <sheetFormatPr defaultColWidth="9.08203125" defaultRowHeight="13"/>
  <cols>
    <col min="1" max="1" width="4.9140625" style="8" customWidth="1"/>
    <col min="2" max="2" width="34.9140625" style="8" customWidth="1"/>
    <col min="3" max="3" width="15" style="49" customWidth="1"/>
    <col min="4" max="4" width="27.33203125" style="49" customWidth="1"/>
    <col min="5" max="5" width="9.9140625" style="8" customWidth="1"/>
    <col min="6" max="6" width="9.08203125" style="8" customWidth="1"/>
    <col min="7" max="7" width="10.4140625" style="8" customWidth="1"/>
    <col min="8" max="8" width="7.4140625" style="50" customWidth="1"/>
    <col min="9" max="16384" width="9.08203125" style="8"/>
  </cols>
  <sheetData>
    <row r="1" spans="1:10" ht="19.5" customHeight="1">
      <c r="A1" s="1714" t="s">
        <v>2789</v>
      </c>
      <c r="B1" s="1714"/>
      <c r="C1" s="1714"/>
      <c r="D1" s="1714"/>
      <c r="E1" s="1714"/>
      <c r="F1" s="1714"/>
      <c r="G1" s="1714"/>
      <c r="H1" s="1714"/>
    </row>
    <row r="2" spans="1:10" ht="21" hidden="1" customHeight="1">
      <c r="A2" s="1794"/>
      <c r="B2" s="1794"/>
      <c r="C2" s="794"/>
      <c r="D2" s="794"/>
      <c r="E2" s="38"/>
      <c r="F2" s="38"/>
      <c r="G2" s="1798" t="s">
        <v>2079</v>
      </c>
      <c r="H2" s="1798"/>
    </row>
    <row r="3" spans="1:10" ht="33.75" customHeight="1">
      <c r="A3" s="1714" t="s">
        <v>2082</v>
      </c>
      <c r="B3" s="1714"/>
      <c r="C3" s="1714"/>
      <c r="D3" s="1714"/>
      <c r="E3" s="1714"/>
      <c r="F3" s="1714"/>
      <c r="G3" s="1714"/>
      <c r="H3" s="1714"/>
    </row>
    <row r="4" spans="1:10" ht="33.75" customHeight="1">
      <c r="A4" s="1716" t="e">
        <f>#REF!</f>
        <v>#REF!</v>
      </c>
      <c r="B4" s="1716"/>
      <c r="C4" s="1716"/>
      <c r="D4" s="1716"/>
      <c r="E4" s="1716"/>
      <c r="F4" s="1716"/>
      <c r="G4" s="1716"/>
      <c r="H4" s="1716"/>
    </row>
    <row r="5" spans="1:10" ht="23.25" customHeight="1">
      <c r="A5" s="1773" t="s">
        <v>3</v>
      </c>
      <c r="B5" s="1773"/>
      <c r="C5" s="1716"/>
      <c r="D5" s="1716"/>
      <c r="E5" s="1773"/>
      <c r="F5" s="1773"/>
      <c r="G5" s="1773"/>
      <c r="H5" s="1773"/>
    </row>
    <row r="6" spans="1:10" ht="45" customHeight="1">
      <c r="A6" s="66" t="s">
        <v>4</v>
      </c>
      <c r="B6" s="66" t="s">
        <v>5</v>
      </c>
      <c r="C6" s="66" t="s">
        <v>34</v>
      </c>
      <c r="D6" s="66" t="s">
        <v>32</v>
      </c>
      <c r="E6" s="66" t="s">
        <v>35</v>
      </c>
      <c r="F6" s="66" t="s">
        <v>36</v>
      </c>
      <c r="G6" s="66" t="s">
        <v>2537</v>
      </c>
      <c r="H6" s="66" t="s">
        <v>33</v>
      </c>
      <c r="I6" s="8" t="s">
        <v>2925</v>
      </c>
      <c r="J6" s="8" t="s">
        <v>2926</v>
      </c>
    </row>
    <row r="7" spans="1:10" s="485" customFormat="1" ht="18" hidden="1" customHeight="1">
      <c r="A7" s="484" t="s">
        <v>10</v>
      </c>
      <c r="B7" s="484" t="s">
        <v>12</v>
      </c>
      <c r="C7" s="484" t="s">
        <v>14</v>
      </c>
      <c r="D7" s="484" t="s">
        <v>16</v>
      </c>
      <c r="E7" s="484" t="s">
        <v>18</v>
      </c>
      <c r="F7" s="484" t="s">
        <v>20</v>
      </c>
      <c r="G7" s="484" t="s">
        <v>22</v>
      </c>
      <c r="H7" s="484" t="s">
        <v>24</v>
      </c>
    </row>
    <row r="8" spans="1:10" ht="32.25" customHeight="1">
      <c r="A8" s="29"/>
      <c r="B8" s="29" t="s">
        <v>7</v>
      </c>
      <c r="C8" s="29"/>
      <c r="D8" s="29"/>
      <c r="E8" s="29"/>
      <c r="F8" s="23">
        <f>+F9+F25</f>
        <v>425258</v>
      </c>
      <c r="G8" s="23">
        <f>+G9+G25</f>
        <v>425258</v>
      </c>
      <c r="H8" s="798"/>
      <c r="I8" s="30">
        <f>COUNTIF(I9:I63,"1")</f>
        <v>13</v>
      </c>
      <c r="J8" s="30">
        <f>COUNTIF(J9:J63,"1")</f>
        <v>14</v>
      </c>
    </row>
    <row r="9" spans="1:10" ht="26">
      <c r="A9" s="40" t="s">
        <v>37</v>
      </c>
      <c r="B9" s="54" t="s">
        <v>2461</v>
      </c>
      <c r="C9" s="40"/>
      <c r="D9" s="40"/>
      <c r="E9" s="29"/>
      <c r="F9" s="23">
        <f>SUM(F10:F24)</f>
        <v>339894</v>
      </c>
      <c r="G9" s="23">
        <f>SUM(G10:G24)</f>
        <v>339894</v>
      </c>
      <c r="H9" s="798"/>
      <c r="I9" s="1177"/>
      <c r="J9" s="1177"/>
    </row>
    <row r="10" spans="1:10" ht="52">
      <c r="A10" s="18">
        <v>1</v>
      </c>
      <c r="B10" s="638" t="s">
        <v>2455</v>
      </c>
      <c r="C10" s="18" t="s">
        <v>2377</v>
      </c>
      <c r="D10" s="18" t="s">
        <v>2457</v>
      </c>
      <c r="E10" s="87" t="s">
        <v>118</v>
      </c>
      <c r="F10" s="44">
        <v>28488</v>
      </c>
      <c r="G10" s="44">
        <v>28488</v>
      </c>
      <c r="H10" s="28"/>
      <c r="I10" s="645" t="str">
        <f>IF(G10&gt;15000,"1","0")</f>
        <v>1</v>
      </c>
      <c r="J10" s="645" t="str">
        <f>IF(G10&gt;10000,"1","0")</f>
        <v>1</v>
      </c>
    </row>
    <row r="11" spans="1:10" ht="26">
      <c r="A11" s="18">
        <v>2</v>
      </c>
      <c r="B11" s="638" t="s">
        <v>2456</v>
      </c>
      <c r="C11" s="18" t="s">
        <v>19</v>
      </c>
      <c r="D11" s="18" t="s">
        <v>2390</v>
      </c>
      <c r="E11" s="87" t="s">
        <v>118</v>
      </c>
      <c r="F11" s="44">
        <v>35512</v>
      </c>
      <c r="G11" s="44">
        <v>35512</v>
      </c>
      <c r="H11" s="28"/>
      <c r="I11" s="645" t="str">
        <f t="shared" ref="I11:I24" si="0">IF(G11&gt;15000,"1","0")</f>
        <v>1</v>
      </c>
      <c r="J11" s="645" t="str">
        <f t="shared" ref="J11:J24" si="1">IF(G11&gt;10000,"1","0")</f>
        <v>1</v>
      </c>
    </row>
    <row r="12" spans="1:10" ht="71.25" customHeight="1">
      <c r="A12" s="18">
        <v>3</v>
      </c>
      <c r="B12" s="638" t="s">
        <v>2378</v>
      </c>
      <c r="C12" s="18" t="s">
        <v>23</v>
      </c>
      <c r="D12" s="18" t="s">
        <v>2391</v>
      </c>
      <c r="E12" s="87" t="s">
        <v>118</v>
      </c>
      <c r="F12" s="25">
        <v>20650</v>
      </c>
      <c r="G12" s="25">
        <v>20650</v>
      </c>
      <c r="H12" s="28"/>
      <c r="I12" s="645" t="str">
        <f t="shared" si="0"/>
        <v>1</v>
      </c>
      <c r="J12" s="645" t="str">
        <f t="shared" si="1"/>
        <v>1</v>
      </c>
    </row>
    <row r="13" spans="1:10" ht="18" customHeight="1">
      <c r="A13" s="18">
        <v>4</v>
      </c>
      <c r="B13" s="638" t="s">
        <v>2379</v>
      </c>
      <c r="C13" s="18" t="s">
        <v>21</v>
      </c>
      <c r="D13" s="18" t="s">
        <v>2392</v>
      </c>
      <c r="E13" s="87" t="s">
        <v>118</v>
      </c>
      <c r="F13" s="44">
        <v>7829</v>
      </c>
      <c r="G13" s="44">
        <v>7829</v>
      </c>
      <c r="H13" s="28"/>
      <c r="I13" s="645" t="str">
        <f t="shared" si="0"/>
        <v>0</v>
      </c>
      <c r="J13" s="645" t="str">
        <f t="shared" si="1"/>
        <v>0</v>
      </c>
    </row>
    <row r="14" spans="1:10" ht="52">
      <c r="A14" s="18">
        <v>5</v>
      </c>
      <c r="B14" s="638" t="s">
        <v>2380</v>
      </c>
      <c r="C14" s="18" t="s">
        <v>19</v>
      </c>
      <c r="D14" s="18" t="s">
        <v>2393</v>
      </c>
      <c r="E14" s="87" t="s">
        <v>118</v>
      </c>
      <c r="F14" s="44">
        <v>24308</v>
      </c>
      <c r="G14" s="44">
        <v>24308</v>
      </c>
      <c r="H14" s="28"/>
      <c r="I14" s="645" t="str">
        <f t="shared" si="0"/>
        <v>1</v>
      </c>
      <c r="J14" s="645" t="str">
        <f t="shared" si="1"/>
        <v>1</v>
      </c>
    </row>
    <row r="15" spans="1:10" ht="52">
      <c r="A15" s="18">
        <v>6</v>
      </c>
      <c r="B15" s="638" t="s">
        <v>2381</v>
      </c>
      <c r="C15" s="18" t="s">
        <v>15</v>
      </c>
      <c r="D15" s="18" t="s">
        <v>2394</v>
      </c>
      <c r="E15" s="87" t="s">
        <v>118</v>
      </c>
      <c r="F15" s="44">
        <v>30182</v>
      </c>
      <c r="G15" s="44">
        <v>30182</v>
      </c>
      <c r="H15" s="28"/>
      <c r="I15" s="645" t="str">
        <f t="shared" si="0"/>
        <v>1</v>
      </c>
      <c r="J15" s="645" t="str">
        <f t="shared" si="1"/>
        <v>1</v>
      </c>
    </row>
    <row r="16" spans="1:10" ht="39">
      <c r="A16" s="18">
        <v>7</v>
      </c>
      <c r="B16" s="638" t="s">
        <v>2382</v>
      </c>
      <c r="C16" s="18" t="s">
        <v>15</v>
      </c>
      <c r="D16" s="18" t="s">
        <v>2395</v>
      </c>
      <c r="E16" s="87" t="s">
        <v>118</v>
      </c>
      <c r="F16" s="44">
        <v>17204</v>
      </c>
      <c r="G16" s="44">
        <v>17204</v>
      </c>
      <c r="H16" s="28"/>
      <c r="I16" s="645" t="str">
        <f t="shared" si="0"/>
        <v>1</v>
      </c>
      <c r="J16" s="645" t="str">
        <f t="shared" si="1"/>
        <v>1</v>
      </c>
    </row>
    <row r="17" spans="1:10" ht="39">
      <c r="A17" s="18">
        <v>8</v>
      </c>
      <c r="B17" s="638" t="s">
        <v>2383</v>
      </c>
      <c r="C17" s="18" t="s">
        <v>17</v>
      </c>
      <c r="D17" s="18" t="s">
        <v>2395</v>
      </c>
      <c r="E17" s="87" t="s">
        <v>118</v>
      </c>
      <c r="F17" s="44">
        <v>27998</v>
      </c>
      <c r="G17" s="44">
        <v>27998</v>
      </c>
      <c r="H17" s="28"/>
      <c r="I17" s="645" t="str">
        <f t="shared" si="0"/>
        <v>1</v>
      </c>
      <c r="J17" s="645" t="str">
        <f t="shared" si="1"/>
        <v>1</v>
      </c>
    </row>
    <row r="18" spans="1:10" ht="39">
      <c r="A18" s="18">
        <v>9</v>
      </c>
      <c r="B18" s="638" t="s">
        <v>2458</v>
      </c>
      <c r="C18" s="18" t="s">
        <v>17</v>
      </c>
      <c r="D18" s="18" t="s">
        <v>2395</v>
      </c>
      <c r="E18" s="87" t="s">
        <v>118</v>
      </c>
      <c r="F18" s="44">
        <v>21105</v>
      </c>
      <c r="G18" s="44">
        <v>21105</v>
      </c>
      <c r="H18" s="28"/>
      <c r="I18" s="645" t="str">
        <f t="shared" si="0"/>
        <v>1</v>
      </c>
      <c r="J18" s="645" t="str">
        <f t="shared" si="1"/>
        <v>1</v>
      </c>
    </row>
    <row r="19" spans="1:10" ht="26">
      <c r="A19" s="18">
        <v>10</v>
      </c>
      <c r="B19" s="638" t="s">
        <v>2384</v>
      </c>
      <c r="C19" s="18" t="s">
        <v>17</v>
      </c>
      <c r="D19" s="18" t="s">
        <v>2396</v>
      </c>
      <c r="E19" s="87" t="s">
        <v>118</v>
      </c>
      <c r="F19" s="44">
        <v>10080</v>
      </c>
      <c r="G19" s="44">
        <v>10080</v>
      </c>
      <c r="H19" s="28"/>
      <c r="I19" s="645" t="str">
        <f t="shared" si="0"/>
        <v>0</v>
      </c>
      <c r="J19" s="645" t="str">
        <f t="shared" si="1"/>
        <v>1</v>
      </c>
    </row>
    <row r="20" spans="1:10" ht="39">
      <c r="A20" s="18">
        <v>11</v>
      </c>
      <c r="B20" s="638" t="s">
        <v>2385</v>
      </c>
      <c r="C20" s="18" t="s">
        <v>13</v>
      </c>
      <c r="D20" s="18" t="s">
        <v>2397</v>
      </c>
      <c r="E20" s="87" t="s">
        <v>118</v>
      </c>
      <c r="F20" s="44">
        <v>25630</v>
      </c>
      <c r="G20" s="44">
        <v>25630</v>
      </c>
      <c r="H20" s="28"/>
      <c r="I20" s="645" t="str">
        <f t="shared" si="0"/>
        <v>1</v>
      </c>
      <c r="J20" s="645" t="str">
        <f t="shared" si="1"/>
        <v>1</v>
      </c>
    </row>
    <row r="21" spans="1:10" ht="39">
      <c r="A21" s="18">
        <v>12</v>
      </c>
      <c r="B21" s="638" t="s">
        <v>2386</v>
      </c>
      <c r="C21" s="18" t="s">
        <v>13</v>
      </c>
      <c r="D21" s="18" t="s">
        <v>2397</v>
      </c>
      <c r="E21" s="87" t="s">
        <v>118</v>
      </c>
      <c r="F21" s="44">
        <v>26116</v>
      </c>
      <c r="G21" s="44">
        <v>26116</v>
      </c>
      <c r="H21" s="28"/>
      <c r="I21" s="645" t="str">
        <f t="shared" si="0"/>
        <v>1</v>
      </c>
      <c r="J21" s="645" t="str">
        <f t="shared" si="1"/>
        <v>1</v>
      </c>
    </row>
    <row r="22" spans="1:10" ht="39">
      <c r="A22" s="18">
        <v>13</v>
      </c>
      <c r="B22" s="638" t="s">
        <v>2387</v>
      </c>
      <c r="C22" s="18" t="s">
        <v>11</v>
      </c>
      <c r="D22" s="18" t="s">
        <v>2398</v>
      </c>
      <c r="E22" s="87" t="s">
        <v>118</v>
      </c>
      <c r="F22" s="44">
        <v>17836</v>
      </c>
      <c r="G22" s="44">
        <v>17836</v>
      </c>
      <c r="H22" s="28"/>
      <c r="I22" s="645" t="str">
        <f t="shared" si="0"/>
        <v>1</v>
      </c>
      <c r="J22" s="645" t="str">
        <f t="shared" si="1"/>
        <v>1</v>
      </c>
    </row>
    <row r="23" spans="1:10" ht="26">
      <c r="A23" s="18">
        <v>14</v>
      </c>
      <c r="B23" s="638" t="s">
        <v>2388</v>
      </c>
      <c r="C23" s="18" t="s">
        <v>11</v>
      </c>
      <c r="D23" s="18" t="s">
        <v>2397</v>
      </c>
      <c r="E23" s="87" t="s">
        <v>118</v>
      </c>
      <c r="F23" s="44">
        <v>31564</v>
      </c>
      <c r="G23" s="44">
        <v>31564</v>
      </c>
      <c r="H23" s="28"/>
      <c r="I23" s="645" t="str">
        <f t="shared" si="0"/>
        <v>1</v>
      </c>
      <c r="J23" s="645" t="str">
        <f t="shared" si="1"/>
        <v>1</v>
      </c>
    </row>
    <row r="24" spans="1:10" ht="26">
      <c r="A24" s="18">
        <v>15</v>
      </c>
      <c r="B24" s="12" t="s">
        <v>2389</v>
      </c>
      <c r="C24" s="13" t="s">
        <v>11</v>
      </c>
      <c r="D24" s="13" t="s">
        <v>2399</v>
      </c>
      <c r="E24" s="87" t="s">
        <v>118</v>
      </c>
      <c r="F24" s="44">
        <v>15392</v>
      </c>
      <c r="G24" s="44">
        <v>15392</v>
      </c>
      <c r="H24" s="28"/>
      <c r="I24" s="645" t="str">
        <f t="shared" si="0"/>
        <v>1</v>
      </c>
      <c r="J24" s="645" t="str">
        <f t="shared" si="1"/>
        <v>1</v>
      </c>
    </row>
    <row r="25" spans="1:10">
      <c r="A25" s="40" t="s">
        <v>38</v>
      </c>
      <c r="B25" s="54" t="s">
        <v>1609</v>
      </c>
      <c r="C25" s="40"/>
      <c r="D25" s="40"/>
      <c r="E25" s="29"/>
      <c r="F25" s="23">
        <f>F26+F27+F31+F35+F38+F44+F49+F55</f>
        <v>85364</v>
      </c>
      <c r="G25" s="23">
        <f>G26+G27+G31+G35+G38+G44+G49+G55</f>
        <v>85364</v>
      </c>
      <c r="H25" s="798"/>
    </row>
    <row r="26" spans="1:10" s="30" customFormat="1" ht="18" customHeight="1">
      <c r="A26" s="40" t="s">
        <v>8</v>
      </c>
      <c r="B26" s="55" t="s">
        <v>25</v>
      </c>
      <c r="C26" s="40"/>
      <c r="D26" s="40"/>
      <c r="E26" s="23"/>
      <c r="F26" s="23">
        <v>0</v>
      </c>
      <c r="G26" s="23">
        <v>0</v>
      </c>
      <c r="H26" s="56"/>
    </row>
    <row r="27" spans="1:10" ht="18" customHeight="1">
      <c r="A27" s="40" t="s">
        <v>26</v>
      </c>
      <c r="B27" s="55" t="s">
        <v>23</v>
      </c>
      <c r="C27" s="40"/>
      <c r="D27" s="40"/>
      <c r="E27" s="23"/>
      <c r="F27" s="23">
        <f>SUM(F28:F30)</f>
        <v>7883</v>
      </c>
      <c r="G27" s="23">
        <f>SUM(G28:G30)</f>
        <v>7883</v>
      </c>
      <c r="H27" s="23"/>
    </row>
    <row r="28" spans="1:10" ht="65">
      <c r="A28" s="13">
        <v>1</v>
      </c>
      <c r="B28" s="12" t="s">
        <v>2400</v>
      </c>
      <c r="C28" s="13" t="s">
        <v>334</v>
      </c>
      <c r="D28" s="13" t="s">
        <v>2451</v>
      </c>
      <c r="E28" s="87" t="s">
        <v>118</v>
      </c>
      <c r="F28" s="44">
        <v>3017</v>
      </c>
      <c r="G28" s="44">
        <v>3017</v>
      </c>
      <c r="H28" s="56"/>
      <c r="I28" s="645" t="str">
        <f t="shared" ref="I28:I30" si="2">IF(G28&gt;15000,"1","0")</f>
        <v>0</v>
      </c>
      <c r="J28" s="645" t="str">
        <f t="shared" ref="J28:J30" si="3">IF(G28&gt;10000,"1","0")</f>
        <v>0</v>
      </c>
    </row>
    <row r="29" spans="1:10" ht="52">
      <c r="A29" s="13" t="s">
        <v>12</v>
      </c>
      <c r="B29" s="12" t="s">
        <v>2401</v>
      </c>
      <c r="C29" s="13" t="s">
        <v>368</v>
      </c>
      <c r="D29" s="13" t="s">
        <v>2452</v>
      </c>
      <c r="E29" s="87" t="s">
        <v>118</v>
      </c>
      <c r="F29" s="44">
        <v>2703</v>
      </c>
      <c r="G29" s="44">
        <v>2703</v>
      </c>
      <c r="H29" s="56"/>
      <c r="I29" s="645" t="str">
        <f t="shared" si="2"/>
        <v>0</v>
      </c>
      <c r="J29" s="645" t="str">
        <f t="shared" si="3"/>
        <v>0</v>
      </c>
    </row>
    <row r="30" spans="1:10" ht="39">
      <c r="A30" s="13" t="s">
        <v>14</v>
      </c>
      <c r="B30" s="12" t="s">
        <v>2402</v>
      </c>
      <c r="C30" s="13" t="s">
        <v>334</v>
      </c>
      <c r="D30" s="13" t="s">
        <v>2453</v>
      </c>
      <c r="E30" s="87" t="s">
        <v>118</v>
      </c>
      <c r="F30" s="44">
        <v>2163</v>
      </c>
      <c r="G30" s="44">
        <v>2163</v>
      </c>
      <c r="H30" s="56"/>
      <c r="I30" s="645" t="str">
        <f t="shared" si="2"/>
        <v>0</v>
      </c>
      <c r="J30" s="645" t="str">
        <f t="shared" si="3"/>
        <v>0</v>
      </c>
    </row>
    <row r="31" spans="1:10" ht="18" customHeight="1">
      <c r="A31" s="40" t="s">
        <v>28</v>
      </c>
      <c r="B31" s="55" t="s">
        <v>21</v>
      </c>
      <c r="C31" s="13"/>
      <c r="D31" s="13"/>
      <c r="E31" s="23"/>
      <c r="F31" s="23">
        <f>SUM(F32:F34)</f>
        <v>3837</v>
      </c>
      <c r="G31" s="23">
        <f>SUM(G32:G34)</f>
        <v>3837</v>
      </c>
      <c r="H31" s="23"/>
    </row>
    <row r="32" spans="1:10" ht="39">
      <c r="A32" s="13" t="s">
        <v>10</v>
      </c>
      <c r="B32" s="12" t="s">
        <v>2403</v>
      </c>
      <c r="C32" s="13" t="s">
        <v>176</v>
      </c>
      <c r="D32" s="13" t="s">
        <v>2454</v>
      </c>
      <c r="E32" s="56" t="s">
        <v>118</v>
      </c>
      <c r="F32" s="44">
        <v>1279</v>
      </c>
      <c r="G32" s="44">
        <v>1279</v>
      </c>
      <c r="H32" s="56"/>
      <c r="I32" s="645" t="str">
        <f t="shared" ref="I32:I34" si="4">IF(G32&gt;15000,"1","0")</f>
        <v>0</v>
      </c>
      <c r="J32" s="645" t="str">
        <f t="shared" ref="J32:J34" si="5">IF(G32&gt;10000,"1","0")</f>
        <v>0</v>
      </c>
    </row>
    <row r="33" spans="1:10" ht="39">
      <c r="A33" s="13" t="s">
        <v>12</v>
      </c>
      <c r="B33" s="12" t="s">
        <v>2404</v>
      </c>
      <c r="C33" s="13" t="s">
        <v>176</v>
      </c>
      <c r="D33" s="13" t="s">
        <v>2454</v>
      </c>
      <c r="E33" s="56" t="s">
        <v>118</v>
      </c>
      <c r="F33" s="44">
        <v>1279</v>
      </c>
      <c r="G33" s="44">
        <v>1279</v>
      </c>
      <c r="H33" s="56"/>
      <c r="I33" s="645" t="str">
        <f t="shared" si="4"/>
        <v>0</v>
      </c>
      <c r="J33" s="645" t="str">
        <f t="shared" si="5"/>
        <v>0</v>
      </c>
    </row>
    <row r="34" spans="1:10" ht="39">
      <c r="A34" s="13" t="s">
        <v>14</v>
      </c>
      <c r="B34" s="12" t="s">
        <v>2405</v>
      </c>
      <c r="C34" s="13" t="s">
        <v>183</v>
      </c>
      <c r="D34" s="13" t="s">
        <v>2454</v>
      </c>
      <c r="E34" s="56" t="s">
        <v>118</v>
      </c>
      <c r="F34" s="44">
        <v>1279</v>
      </c>
      <c r="G34" s="44">
        <v>1279</v>
      </c>
      <c r="H34" s="56"/>
      <c r="I34" s="645" t="str">
        <f t="shared" si="4"/>
        <v>0</v>
      </c>
      <c r="J34" s="645" t="str">
        <f t="shared" si="5"/>
        <v>0</v>
      </c>
    </row>
    <row r="35" spans="1:10" ht="18" customHeight="1">
      <c r="A35" s="40" t="s">
        <v>29</v>
      </c>
      <c r="B35" s="55" t="s">
        <v>19</v>
      </c>
      <c r="C35" s="13"/>
      <c r="D35" s="13"/>
      <c r="E35" s="23"/>
      <c r="F35" s="23">
        <f>SUM(F36:F37)</f>
        <v>8192</v>
      </c>
      <c r="G35" s="23">
        <f>SUM(G36:G37)</f>
        <v>8192</v>
      </c>
      <c r="H35" s="23"/>
    </row>
    <row r="36" spans="1:10" ht="26">
      <c r="A36" s="13" t="s">
        <v>10</v>
      </c>
      <c r="B36" s="12" t="s">
        <v>2406</v>
      </c>
      <c r="C36" s="13" t="s">
        <v>592</v>
      </c>
      <c r="D36" s="13" t="s">
        <v>2408</v>
      </c>
      <c r="E36" s="56" t="s">
        <v>118</v>
      </c>
      <c r="F36" s="44">
        <v>7055</v>
      </c>
      <c r="G36" s="44">
        <v>7055</v>
      </c>
      <c r="H36" s="56"/>
      <c r="I36" s="645" t="str">
        <f t="shared" ref="I36:I37" si="6">IF(G36&gt;15000,"1","0")</f>
        <v>0</v>
      </c>
      <c r="J36" s="645" t="str">
        <f t="shared" ref="J36:J37" si="7">IF(G36&gt;10000,"1","0")</f>
        <v>0</v>
      </c>
    </row>
    <row r="37" spans="1:10">
      <c r="A37" s="13" t="s">
        <v>12</v>
      </c>
      <c r="B37" s="12" t="s">
        <v>2407</v>
      </c>
      <c r="C37" s="13" t="s">
        <v>597</v>
      </c>
      <c r="D37" s="13" t="s">
        <v>2409</v>
      </c>
      <c r="E37" s="56"/>
      <c r="F37" s="44">
        <v>1137</v>
      </c>
      <c r="G37" s="44">
        <v>1137</v>
      </c>
      <c r="H37" s="56"/>
      <c r="I37" s="645" t="str">
        <f t="shared" si="6"/>
        <v>0</v>
      </c>
      <c r="J37" s="645" t="str">
        <f t="shared" si="7"/>
        <v>0</v>
      </c>
    </row>
    <row r="38" spans="1:10" ht="18" customHeight="1">
      <c r="A38" s="40" t="s">
        <v>30</v>
      </c>
      <c r="B38" s="55" t="s">
        <v>17</v>
      </c>
      <c r="C38" s="13"/>
      <c r="D38" s="13"/>
      <c r="E38" s="23"/>
      <c r="F38" s="23">
        <f>+SUM(F39:F43)</f>
        <v>14325</v>
      </c>
      <c r="G38" s="23">
        <f>+SUM(G39:G43)</f>
        <v>14325</v>
      </c>
      <c r="H38" s="23"/>
    </row>
    <row r="39" spans="1:10" ht="39">
      <c r="A39" s="13" t="s">
        <v>10</v>
      </c>
      <c r="B39" s="12" t="s">
        <v>2416</v>
      </c>
      <c r="C39" s="13" t="s">
        <v>290</v>
      </c>
      <c r="D39" s="13" t="s">
        <v>2422</v>
      </c>
      <c r="E39" s="56" t="s">
        <v>118</v>
      </c>
      <c r="F39" s="44">
        <v>2809</v>
      </c>
      <c r="G39" s="44">
        <v>2809</v>
      </c>
      <c r="H39" s="56"/>
      <c r="I39" s="645" t="str">
        <f t="shared" ref="I39:I43" si="8">IF(G39&gt;15000,"1","0")</f>
        <v>0</v>
      </c>
      <c r="J39" s="645" t="str">
        <f t="shared" ref="J39:J43" si="9">IF(G39&gt;10000,"1","0")</f>
        <v>0</v>
      </c>
    </row>
    <row r="40" spans="1:10" ht="39">
      <c r="A40" s="13" t="s">
        <v>12</v>
      </c>
      <c r="B40" s="12" t="s">
        <v>2417</v>
      </c>
      <c r="C40" s="13" t="s">
        <v>296</v>
      </c>
      <c r="D40" s="13" t="s">
        <v>2422</v>
      </c>
      <c r="E40" s="56" t="s">
        <v>118</v>
      </c>
      <c r="F40" s="44">
        <v>2809</v>
      </c>
      <c r="G40" s="44">
        <v>2809</v>
      </c>
      <c r="H40" s="56"/>
      <c r="I40" s="645" t="str">
        <f t="shared" si="8"/>
        <v>0</v>
      </c>
      <c r="J40" s="645" t="str">
        <f t="shared" si="9"/>
        <v>0</v>
      </c>
    </row>
    <row r="41" spans="1:10" ht="26">
      <c r="A41" s="13" t="s">
        <v>14</v>
      </c>
      <c r="B41" s="12" t="s">
        <v>2418</v>
      </c>
      <c r="C41" s="13" t="s">
        <v>286</v>
      </c>
      <c r="D41" s="13" t="s">
        <v>2423</v>
      </c>
      <c r="E41" s="56"/>
      <c r="F41" s="44">
        <v>1143</v>
      </c>
      <c r="G41" s="44">
        <v>1143</v>
      </c>
      <c r="H41" s="56"/>
      <c r="I41" s="645" t="str">
        <f t="shared" si="8"/>
        <v>0</v>
      </c>
      <c r="J41" s="645" t="str">
        <f t="shared" si="9"/>
        <v>0</v>
      </c>
    </row>
    <row r="42" spans="1:10" ht="26">
      <c r="A42" s="13" t="s">
        <v>16</v>
      </c>
      <c r="B42" s="12" t="s">
        <v>2419</v>
      </c>
      <c r="C42" s="13" t="s">
        <v>2421</v>
      </c>
      <c r="D42" s="13" t="s">
        <v>2424</v>
      </c>
      <c r="E42" s="56"/>
      <c r="F42" s="44">
        <v>3124</v>
      </c>
      <c r="G42" s="44">
        <v>3124</v>
      </c>
      <c r="H42" s="56"/>
      <c r="I42" s="645" t="str">
        <f t="shared" si="8"/>
        <v>0</v>
      </c>
      <c r="J42" s="645" t="str">
        <f t="shared" si="9"/>
        <v>0</v>
      </c>
    </row>
    <row r="43" spans="1:10" ht="26">
      <c r="A43" s="13" t="s">
        <v>18</v>
      </c>
      <c r="B43" s="12" t="s">
        <v>2420</v>
      </c>
      <c r="C43" s="13" t="s">
        <v>287</v>
      </c>
      <c r="D43" s="13" t="s">
        <v>2425</v>
      </c>
      <c r="E43" s="56" t="s">
        <v>118</v>
      </c>
      <c r="F43" s="44">
        <v>4440</v>
      </c>
      <c r="G43" s="44">
        <v>4440</v>
      </c>
      <c r="H43" s="44"/>
      <c r="I43" s="645" t="str">
        <f t="shared" si="8"/>
        <v>0</v>
      </c>
      <c r="J43" s="645" t="str">
        <f t="shared" si="9"/>
        <v>0</v>
      </c>
    </row>
    <row r="44" spans="1:10" ht="27.75" customHeight="1">
      <c r="A44" s="40" t="s">
        <v>31</v>
      </c>
      <c r="B44" s="55" t="s">
        <v>15</v>
      </c>
      <c r="C44" s="13"/>
      <c r="D44" s="13"/>
      <c r="E44" s="23"/>
      <c r="F44" s="23">
        <f>SUM(F45:F48)</f>
        <v>13377</v>
      </c>
      <c r="G44" s="23">
        <f>SUM(G45:G48)</f>
        <v>13377</v>
      </c>
      <c r="H44" s="23"/>
    </row>
    <row r="45" spans="1:10" ht="26">
      <c r="A45" s="13" t="s">
        <v>10</v>
      </c>
      <c r="B45" s="12" t="s">
        <v>2125</v>
      </c>
      <c r="C45" s="13" t="s">
        <v>2127</v>
      </c>
      <c r="D45" s="13" t="s">
        <v>2414</v>
      </c>
      <c r="E45" s="56" t="s">
        <v>118</v>
      </c>
      <c r="F45" s="44">
        <v>4040</v>
      </c>
      <c r="G45" s="44">
        <v>4040</v>
      </c>
      <c r="H45" s="56"/>
      <c r="I45" s="645" t="str">
        <f t="shared" ref="I45:I48" si="10">IF(G45&gt;15000,"1","0")</f>
        <v>0</v>
      </c>
      <c r="J45" s="645" t="str">
        <f t="shared" ref="J45:J48" si="11">IF(G45&gt;10000,"1","0")</f>
        <v>0</v>
      </c>
    </row>
    <row r="46" spans="1:10" ht="26">
      <c r="A46" s="13" t="s">
        <v>12</v>
      </c>
      <c r="B46" s="12" t="s">
        <v>2126</v>
      </c>
      <c r="C46" s="13" t="s">
        <v>211</v>
      </c>
      <c r="D46" s="13" t="s">
        <v>2415</v>
      </c>
      <c r="E46" s="56" t="s">
        <v>118</v>
      </c>
      <c r="F46" s="44">
        <v>4607</v>
      </c>
      <c r="G46" s="44">
        <v>4607</v>
      </c>
      <c r="H46" s="56"/>
      <c r="I46" s="645" t="str">
        <f t="shared" si="10"/>
        <v>0</v>
      </c>
      <c r="J46" s="645" t="str">
        <f t="shared" si="11"/>
        <v>0</v>
      </c>
    </row>
    <row r="47" spans="1:10">
      <c r="A47" s="13" t="s">
        <v>14</v>
      </c>
      <c r="B47" s="12" t="s">
        <v>2410</v>
      </c>
      <c r="C47" s="13" t="s">
        <v>229</v>
      </c>
      <c r="D47" s="13" t="s">
        <v>2412</v>
      </c>
      <c r="E47" s="56" t="s">
        <v>118</v>
      </c>
      <c r="F47" s="44">
        <v>2960</v>
      </c>
      <c r="G47" s="44">
        <v>2960</v>
      </c>
      <c r="H47" s="56"/>
      <c r="I47" s="645" t="str">
        <f t="shared" si="10"/>
        <v>0</v>
      </c>
      <c r="J47" s="645" t="str">
        <f t="shared" si="11"/>
        <v>0</v>
      </c>
    </row>
    <row r="48" spans="1:10" ht="26">
      <c r="A48" s="13" t="s">
        <v>16</v>
      </c>
      <c r="B48" s="12" t="s">
        <v>2411</v>
      </c>
      <c r="C48" s="13" t="s">
        <v>218</v>
      </c>
      <c r="D48" s="13" t="s">
        <v>2413</v>
      </c>
      <c r="E48" s="56" t="s">
        <v>118</v>
      </c>
      <c r="F48" s="44">
        <v>1770</v>
      </c>
      <c r="G48" s="44">
        <v>1770</v>
      </c>
      <c r="H48" s="56"/>
      <c r="I48" s="645" t="str">
        <f t="shared" si="10"/>
        <v>0</v>
      </c>
      <c r="J48" s="645" t="str">
        <f t="shared" si="11"/>
        <v>0</v>
      </c>
    </row>
    <row r="49" spans="1:10" ht="18" customHeight="1">
      <c r="A49" s="40" t="s">
        <v>80</v>
      </c>
      <c r="B49" s="55" t="s">
        <v>13</v>
      </c>
      <c r="C49" s="13"/>
      <c r="D49" s="13"/>
      <c r="E49" s="23"/>
      <c r="F49" s="23">
        <f>SUM(F50:F54)</f>
        <v>17514</v>
      </c>
      <c r="G49" s="23">
        <f>SUM(G50:G54)</f>
        <v>17514</v>
      </c>
      <c r="H49" s="23"/>
    </row>
    <row r="50" spans="1:10" ht="39">
      <c r="A50" s="13" t="s">
        <v>10</v>
      </c>
      <c r="B50" s="12" t="s">
        <v>2426</v>
      </c>
      <c r="C50" s="13" t="s">
        <v>122</v>
      </c>
      <c r="D50" s="13" t="s">
        <v>2431</v>
      </c>
      <c r="E50" s="56" t="s">
        <v>118</v>
      </c>
      <c r="F50" s="44">
        <v>3160</v>
      </c>
      <c r="G50" s="44">
        <v>3160</v>
      </c>
      <c r="H50" s="56"/>
      <c r="I50" s="645" t="str">
        <f t="shared" ref="I50:I54" si="12">IF(G50&gt;15000,"1","0")</f>
        <v>0</v>
      </c>
      <c r="J50" s="645" t="str">
        <f t="shared" ref="J50:J54" si="13">IF(G50&gt;10000,"1","0")</f>
        <v>0</v>
      </c>
    </row>
    <row r="51" spans="1:10" ht="39">
      <c r="A51" s="13" t="s">
        <v>12</v>
      </c>
      <c r="B51" s="12" t="s">
        <v>2429</v>
      </c>
      <c r="C51" s="13" t="s">
        <v>122</v>
      </c>
      <c r="D51" s="13" t="s">
        <v>2432</v>
      </c>
      <c r="E51" s="56" t="s">
        <v>118</v>
      </c>
      <c r="F51" s="44">
        <v>4870</v>
      </c>
      <c r="G51" s="44">
        <v>4870</v>
      </c>
      <c r="H51" s="56"/>
      <c r="I51" s="645" t="str">
        <f t="shared" si="12"/>
        <v>0</v>
      </c>
      <c r="J51" s="645" t="str">
        <f t="shared" si="13"/>
        <v>0</v>
      </c>
    </row>
    <row r="52" spans="1:10" ht="65">
      <c r="A52" s="13" t="s">
        <v>14</v>
      </c>
      <c r="B52" s="12" t="s">
        <v>2430</v>
      </c>
      <c r="C52" s="13" t="s">
        <v>111</v>
      </c>
      <c r="D52" s="13" t="s">
        <v>2433</v>
      </c>
      <c r="E52" s="56" t="s">
        <v>118</v>
      </c>
      <c r="F52" s="44">
        <v>6545</v>
      </c>
      <c r="G52" s="44">
        <v>6545</v>
      </c>
      <c r="H52" s="56"/>
      <c r="I52" s="645" t="str">
        <f t="shared" si="12"/>
        <v>0</v>
      </c>
      <c r="J52" s="645" t="str">
        <f t="shared" si="13"/>
        <v>0</v>
      </c>
    </row>
    <row r="53" spans="1:10" ht="26">
      <c r="A53" s="13" t="s">
        <v>16</v>
      </c>
      <c r="B53" s="12" t="s">
        <v>2427</v>
      </c>
      <c r="C53" s="13" t="s">
        <v>113</v>
      </c>
      <c r="D53" s="13" t="s">
        <v>2434</v>
      </c>
      <c r="E53" s="56" t="s">
        <v>118</v>
      </c>
      <c r="F53" s="44">
        <v>1169</v>
      </c>
      <c r="G53" s="44">
        <v>1169</v>
      </c>
      <c r="H53" s="56"/>
      <c r="I53" s="645" t="str">
        <f t="shared" si="12"/>
        <v>0</v>
      </c>
      <c r="J53" s="645" t="str">
        <f t="shared" si="13"/>
        <v>0</v>
      </c>
    </row>
    <row r="54" spans="1:10" ht="26">
      <c r="A54" s="13" t="s">
        <v>18</v>
      </c>
      <c r="B54" s="12" t="s">
        <v>2428</v>
      </c>
      <c r="C54" s="13" t="s">
        <v>110</v>
      </c>
      <c r="D54" s="13" t="s">
        <v>2413</v>
      </c>
      <c r="E54" s="56" t="s">
        <v>118</v>
      </c>
      <c r="F54" s="44">
        <v>1770</v>
      </c>
      <c r="G54" s="44">
        <v>1770</v>
      </c>
      <c r="H54" s="56"/>
      <c r="I54" s="645" t="str">
        <f t="shared" si="12"/>
        <v>0</v>
      </c>
      <c r="J54" s="645" t="str">
        <f t="shared" si="13"/>
        <v>0</v>
      </c>
    </row>
    <row r="55" spans="1:10" ht="18" customHeight="1">
      <c r="A55" s="40" t="s">
        <v>81</v>
      </c>
      <c r="B55" s="55" t="s">
        <v>11</v>
      </c>
      <c r="C55" s="13"/>
      <c r="D55" s="13"/>
      <c r="E55" s="23"/>
      <c r="F55" s="23">
        <f>SUM(F56:F63)</f>
        <v>20236</v>
      </c>
      <c r="G55" s="23">
        <f>SUM(G56:G63)</f>
        <v>20236</v>
      </c>
      <c r="H55" s="23"/>
    </row>
    <row r="56" spans="1:10" ht="26">
      <c r="A56" s="13" t="s">
        <v>10</v>
      </c>
      <c r="B56" s="12" t="s">
        <v>2435</v>
      </c>
      <c r="C56" s="13" t="s">
        <v>627</v>
      </c>
      <c r="D56" s="13" t="s">
        <v>2443</v>
      </c>
      <c r="E56" s="56" t="s">
        <v>118</v>
      </c>
      <c r="F56" s="44">
        <v>2763</v>
      </c>
      <c r="G56" s="44">
        <v>2763</v>
      </c>
      <c r="H56" s="56"/>
      <c r="I56" s="645" t="str">
        <f t="shared" ref="I56:I63" si="14">IF(G56&gt;15000,"1","0")</f>
        <v>0</v>
      </c>
      <c r="J56" s="645" t="str">
        <f t="shared" ref="J56:J63" si="15">IF(G56&gt;10000,"1","0")</f>
        <v>0</v>
      </c>
    </row>
    <row r="57" spans="1:10" ht="39">
      <c r="A57" s="13" t="s">
        <v>12</v>
      </c>
      <c r="B57" s="12" t="s">
        <v>2436</v>
      </c>
      <c r="C57" s="13" t="s">
        <v>615</v>
      </c>
      <c r="D57" s="13" t="s">
        <v>2444</v>
      </c>
      <c r="E57" s="56" t="s">
        <v>118</v>
      </c>
      <c r="F57" s="44">
        <v>3160</v>
      </c>
      <c r="G57" s="44">
        <v>3160</v>
      </c>
      <c r="H57" s="56"/>
      <c r="I57" s="645" t="str">
        <f t="shared" si="14"/>
        <v>0</v>
      </c>
      <c r="J57" s="645" t="str">
        <f t="shared" si="15"/>
        <v>0</v>
      </c>
    </row>
    <row r="58" spans="1:10" ht="26">
      <c r="A58" s="13" t="s">
        <v>14</v>
      </c>
      <c r="B58" s="12" t="s">
        <v>2437</v>
      </c>
      <c r="C58" s="13" t="s">
        <v>568</v>
      </c>
      <c r="D58" s="13" t="s">
        <v>2445</v>
      </c>
      <c r="E58" s="56" t="s">
        <v>118</v>
      </c>
      <c r="F58" s="44">
        <v>1883</v>
      </c>
      <c r="G58" s="44">
        <v>1883</v>
      </c>
      <c r="H58" s="56"/>
      <c r="I58" s="645" t="str">
        <f t="shared" si="14"/>
        <v>0</v>
      </c>
      <c r="J58" s="645" t="str">
        <f t="shared" si="15"/>
        <v>0</v>
      </c>
    </row>
    <row r="59" spans="1:10" ht="26">
      <c r="A59" s="13" t="s">
        <v>16</v>
      </c>
      <c r="B59" s="12" t="s">
        <v>2438</v>
      </c>
      <c r="C59" s="13" t="s">
        <v>691</v>
      </c>
      <c r="D59" s="13" t="s">
        <v>2446</v>
      </c>
      <c r="E59" s="56" t="s">
        <v>118</v>
      </c>
      <c r="F59" s="44">
        <v>2478</v>
      </c>
      <c r="G59" s="44">
        <v>2478</v>
      </c>
      <c r="H59" s="56"/>
      <c r="I59" s="645" t="str">
        <f t="shared" si="14"/>
        <v>0</v>
      </c>
      <c r="J59" s="645" t="str">
        <f t="shared" si="15"/>
        <v>0</v>
      </c>
    </row>
    <row r="60" spans="1:10" ht="39">
      <c r="A60" s="13" t="s">
        <v>18</v>
      </c>
      <c r="B60" s="12" t="s">
        <v>2439</v>
      </c>
      <c r="C60" s="13" t="s">
        <v>569</v>
      </c>
      <c r="D60" s="13" t="s">
        <v>2447</v>
      </c>
      <c r="E60" s="56" t="s">
        <v>118</v>
      </c>
      <c r="F60" s="44">
        <v>2276</v>
      </c>
      <c r="G60" s="44">
        <v>2276</v>
      </c>
      <c r="H60" s="56"/>
      <c r="I60" s="645" t="str">
        <f t="shared" si="14"/>
        <v>0</v>
      </c>
      <c r="J60" s="645" t="str">
        <f t="shared" si="15"/>
        <v>0</v>
      </c>
    </row>
    <row r="61" spans="1:10" ht="26">
      <c r="A61" s="13" t="s">
        <v>20</v>
      </c>
      <c r="B61" s="12" t="s">
        <v>2440</v>
      </c>
      <c r="C61" s="13" t="s">
        <v>692</v>
      </c>
      <c r="D61" s="13" t="s">
        <v>2448</v>
      </c>
      <c r="E61" s="56" t="s">
        <v>118</v>
      </c>
      <c r="F61" s="44">
        <v>1389</v>
      </c>
      <c r="G61" s="44">
        <v>1389</v>
      </c>
      <c r="H61" s="56"/>
      <c r="I61" s="645" t="str">
        <f t="shared" si="14"/>
        <v>0</v>
      </c>
      <c r="J61" s="645" t="str">
        <f t="shared" si="15"/>
        <v>0</v>
      </c>
    </row>
    <row r="62" spans="1:10" ht="26">
      <c r="A62" s="13" t="s">
        <v>22</v>
      </c>
      <c r="B62" s="12" t="s">
        <v>2441</v>
      </c>
      <c r="C62" s="13" t="s">
        <v>587</v>
      </c>
      <c r="D62" s="13" t="s">
        <v>2449</v>
      </c>
      <c r="E62" s="56" t="s">
        <v>118</v>
      </c>
      <c r="F62" s="44">
        <v>4153</v>
      </c>
      <c r="G62" s="44">
        <v>4153</v>
      </c>
      <c r="H62" s="56"/>
      <c r="I62" s="645" t="str">
        <f t="shared" si="14"/>
        <v>0</v>
      </c>
      <c r="J62" s="645" t="str">
        <f t="shared" si="15"/>
        <v>0</v>
      </c>
    </row>
    <row r="63" spans="1:10" ht="26">
      <c r="A63" s="41" t="s">
        <v>24</v>
      </c>
      <c r="B63" s="705" t="s">
        <v>2442</v>
      </c>
      <c r="C63" s="41" t="s">
        <v>693</v>
      </c>
      <c r="D63" s="41" t="s">
        <v>2450</v>
      </c>
      <c r="E63" s="60" t="s">
        <v>118</v>
      </c>
      <c r="F63" s="45">
        <v>2134</v>
      </c>
      <c r="G63" s="45">
        <v>2134</v>
      </c>
      <c r="H63" s="60"/>
      <c r="I63" s="645" t="str">
        <f t="shared" si="14"/>
        <v>0</v>
      </c>
      <c r="J63" s="645" t="str">
        <f t="shared" si="15"/>
        <v>0</v>
      </c>
    </row>
    <row r="64" spans="1:10" ht="18" customHeight="1">
      <c r="A64" s="795"/>
      <c r="B64" s="42"/>
      <c r="C64" s="57"/>
      <c r="D64" s="57"/>
      <c r="E64" s="42"/>
      <c r="F64" s="42"/>
      <c r="G64" s="42"/>
    </row>
    <row r="65" spans="1:8" ht="18" customHeight="1">
      <c r="A65" s="1840" t="s">
        <v>2506</v>
      </c>
      <c r="B65" s="1840"/>
      <c r="C65" s="1841"/>
      <c r="D65" s="1841"/>
      <c r="E65" s="1840"/>
      <c r="F65" s="1840"/>
      <c r="G65" s="1840"/>
      <c r="H65" s="1840"/>
    </row>
    <row r="66" spans="1:8">
      <c r="A66" s="795"/>
      <c r="B66" s="795"/>
      <c r="C66" s="796"/>
      <c r="D66" s="796"/>
      <c r="E66" s="795"/>
      <c r="F66" s="795"/>
      <c r="G66" s="795"/>
      <c r="H66" s="600"/>
    </row>
    <row r="67" spans="1:8">
      <c r="A67" s="795"/>
      <c r="B67" s="795"/>
      <c r="C67" s="796"/>
      <c r="D67" s="796"/>
      <c r="E67" s="795"/>
      <c r="F67" s="795"/>
      <c r="G67" s="795"/>
      <c r="H67" s="600"/>
    </row>
    <row r="68" spans="1:8">
      <c r="A68" s="795"/>
      <c r="B68" s="795"/>
      <c r="C68" s="796"/>
      <c r="D68" s="796"/>
      <c r="E68" s="795"/>
      <c r="F68" s="795"/>
      <c r="G68" s="795"/>
      <c r="H68" s="600"/>
    </row>
    <row r="69" spans="1:8">
      <c r="A69" s="795"/>
      <c r="B69" s="795"/>
      <c r="C69" s="796"/>
      <c r="D69" s="796"/>
      <c r="E69" s="795"/>
      <c r="F69" s="795"/>
      <c r="G69" s="795"/>
      <c r="H69" s="600"/>
    </row>
    <row r="70" spans="1:8">
      <c r="A70" s="795"/>
      <c r="B70" s="795"/>
      <c r="C70" s="796"/>
      <c r="D70" s="796"/>
      <c r="E70" s="795"/>
      <c r="F70" s="795"/>
      <c r="G70" s="795"/>
      <c r="H70" s="600"/>
    </row>
    <row r="71" spans="1:8">
      <c r="A71" s="795"/>
      <c r="B71" s="795"/>
      <c r="C71" s="796"/>
      <c r="D71" s="796"/>
      <c r="E71" s="795"/>
      <c r="F71" s="795"/>
      <c r="G71" s="795"/>
      <c r="H71" s="600"/>
    </row>
    <row r="72" spans="1:8">
      <c r="A72" s="795"/>
      <c r="B72" s="795"/>
      <c r="C72" s="796"/>
      <c r="D72" s="796"/>
      <c r="E72" s="795"/>
      <c r="F72" s="795"/>
      <c r="G72" s="795"/>
      <c r="H72" s="600"/>
    </row>
    <row r="73" spans="1:8">
      <c r="A73" s="795"/>
      <c r="B73" s="795"/>
      <c r="C73" s="796"/>
      <c r="D73" s="796"/>
      <c r="E73" s="795"/>
      <c r="F73" s="795"/>
      <c r="G73" s="795"/>
      <c r="H73" s="600"/>
    </row>
    <row r="74" spans="1:8">
      <c r="A74" s="795"/>
      <c r="B74" s="795"/>
      <c r="C74" s="796"/>
      <c r="D74" s="796"/>
      <c r="E74" s="795"/>
      <c r="F74" s="795"/>
      <c r="G74" s="795"/>
      <c r="H74" s="600"/>
    </row>
    <row r="75" spans="1:8">
      <c r="A75" s="795"/>
      <c r="B75" s="795"/>
      <c r="C75" s="796"/>
      <c r="D75" s="796"/>
      <c r="E75" s="795"/>
      <c r="F75" s="795"/>
      <c r="G75" s="795"/>
      <c r="H75" s="600"/>
    </row>
    <row r="76" spans="1:8">
      <c r="A76" s="795"/>
      <c r="B76" s="795"/>
      <c r="C76" s="796"/>
      <c r="D76" s="796"/>
      <c r="E76" s="795"/>
      <c r="F76" s="795"/>
      <c r="G76" s="795"/>
      <c r="H76" s="600"/>
    </row>
    <row r="77" spans="1:8">
      <c r="A77" s="795"/>
      <c r="B77" s="795"/>
      <c r="C77" s="796"/>
      <c r="D77" s="796"/>
      <c r="E77" s="795"/>
      <c r="F77" s="795"/>
      <c r="G77" s="795"/>
      <c r="H77" s="600"/>
    </row>
    <row r="78" spans="1:8">
      <c r="A78" s="795"/>
      <c r="B78" s="795"/>
      <c r="C78" s="796"/>
      <c r="D78" s="796"/>
      <c r="E78" s="795"/>
      <c r="F78" s="795"/>
      <c r="G78" s="795"/>
      <c r="H78" s="600"/>
    </row>
    <row r="79" spans="1:8">
      <c r="A79" s="42"/>
      <c r="B79" s="42" t="s">
        <v>48</v>
      </c>
      <c r="C79" s="57" t="s">
        <v>49</v>
      </c>
      <c r="D79" s="57"/>
      <c r="E79" s="42"/>
      <c r="F79" s="42"/>
      <c r="G79" s="42"/>
      <c r="H79" s="57"/>
    </row>
    <row r="80" spans="1:8">
      <c r="A80" s="42"/>
      <c r="B80" s="42" t="s">
        <v>50</v>
      </c>
      <c r="C80" s="57" t="s">
        <v>51</v>
      </c>
      <c r="D80" s="57"/>
      <c r="E80" s="42"/>
      <c r="F80" s="42"/>
      <c r="G80" s="42"/>
      <c r="H80" s="57"/>
    </row>
    <row r="81" spans="1:8">
      <c r="A81" s="43"/>
      <c r="B81" s="43" t="s">
        <v>52</v>
      </c>
      <c r="C81" s="797" t="s">
        <v>53</v>
      </c>
      <c r="D81" s="797"/>
      <c r="E81" s="86"/>
      <c r="F81" s="86"/>
    </row>
    <row r="82" spans="1:8">
      <c r="A82" s="42"/>
      <c r="B82" s="42"/>
      <c r="C82" s="57"/>
      <c r="D82" s="57"/>
      <c r="E82" s="42"/>
      <c r="F82" s="42"/>
      <c r="G82" s="42"/>
      <c r="H82" s="57"/>
    </row>
  </sheetData>
  <autoFilter ref="A7:H7"/>
  <mergeCells count="7">
    <mergeCell ref="A65:H65"/>
    <mergeCell ref="G2:H2"/>
    <mergeCell ref="A1:H1"/>
    <mergeCell ref="A4:H4"/>
    <mergeCell ref="A2:B2"/>
    <mergeCell ref="A3:H3"/>
    <mergeCell ref="A5:H5"/>
  </mergeCells>
  <phoneticPr fontId="19" type="noConversion"/>
  <pageMargins left="0.63" right="0.5" top="0.5" bottom="0.5" header="0.47" footer="0.3"/>
  <pageSetup paperSize="9" scale="75" orientation="portrait" r:id="rId1"/>
  <headerFooter>
    <oddFooter>Page &amp;P</oddFooter>
  </headerFooter>
  <ignoredErrors>
    <ignoredError sqref="A42:A4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M17"/>
  <sheetViews>
    <sheetView zoomScale="70" zoomScaleNormal="70" workbookViewId="0">
      <selection activeCell="D19" sqref="D19"/>
    </sheetView>
  </sheetViews>
  <sheetFormatPr defaultColWidth="9.08203125" defaultRowHeight="15.5"/>
  <cols>
    <col min="1" max="1" width="6.4140625" style="1308" customWidth="1"/>
    <col min="2" max="2" width="45.6640625" style="1178" customWidth="1"/>
    <col min="3" max="4" width="23.33203125" style="1178" customWidth="1"/>
    <col min="5" max="5" width="15" style="1178" customWidth="1"/>
    <col min="6" max="6" width="14.33203125" style="1178" customWidth="1"/>
    <col min="7" max="7" width="27.33203125" style="1178" customWidth="1"/>
    <col min="8" max="16384" width="9.08203125" style="1178"/>
  </cols>
  <sheetData>
    <row r="1" spans="1:117" ht="12.75" customHeight="1">
      <c r="D1" s="1684"/>
      <c r="E1" s="1684"/>
    </row>
    <row r="2" spans="1:117" ht="71.400000000000006" customHeight="1">
      <c r="A2" s="1681" t="s">
        <v>3741</v>
      </c>
      <c r="B2" s="1681"/>
      <c r="C2" s="1681"/>
      <c r="D2" s="1681"/>
      <c r="E2" s="1681"/>
      <c r="F2" s="1503"/>
      <c r="G2" s="1503"/>
      <c r="H2" s="1503"/>
      <c r="I2" s="1503"/>
      <c r="J2" s="1503"/>
      <c r="K2" s="1503"/>
      <c r="L2" s="1503"/>
      <c r="M2" s="1503"/>
      <c r="N2" s="1503"/>
      <c r="O2" s="1503"/>
      <c r="P2" s="1503"/>
      <c r="Q2" s="1503"/>
      <c r="R2" s="1503"/>
      <c r="S2" s="1503"/>
      <c r="T2" s="1503"/>
      <c r="U2" s="1503"/>
      <c r="V2" s="1503"/>
      <c r="W2" s="1503"/>
      <c r="X2" s="1503"/>
      <c r="Y2" s="1503"/>
      <c r="Z2" s="1503"/>
      <c r="AA2" s="1503"/>
      <c r="AB2" s="1503"/>
      <c r="AC2" s="1503"/>
      <c r="AD2" s="1503"/>
      <c r="AE2" s="1503"/>
      <c r="AF2" s="1503"/>
      <c r="AG2" s="1503"/>
      <c r="AH2" s="1503"/>
      <c r="AI2" s="1503"/>
      <c r="AJ2" s="1503"/>
      <c r="AK2" s="1503"/>
      <c r="AL2" s="1503"/>
      <c r="AM2" s="1503"/>
      <c r="AN2" s="1503"/>
      <c r="AO2" s="1503"/>
      <c r="AP2" s="1503"/>
      <c r="AQ2" s="1503"/>
      <c r="AR2" s="1503"/>
      <c r="AS2" s="1503"/>
      <c r="AT2" s="1503"/>
      <c r="AU2" s="1503"/>
      <c r="AV2" s="1503"/>
      <c r="AW2" s="1503"/>
      <c r="AX2" s="1503"/>
      <c r="AY2" s="1503"/>
      <c r="AZ2" s="1503"/>
      <c r="BA2" s="1503"/>
      <c r="BB2" s="1503"/>
      <c r="BC2" s="1503"/>
      <c r="BD2" s="1503"/>
      <c r="BE2" s="1503"/>
      <c r="BF2" s="1503"/>
      <c r="BG2" s="1503"/>
      <c r="BH2" s="1503"/>
      <c r="BI2" s="1503"/>
      <c r="BJ2" s="1503"/>
      <c r="BK2" s="1503"/>
      <c r="BL2" s="1503"/>
      <c r="BM2" s="1503"/>
      <c r="BN2" s="1503"/>
      <c r="BO2" s="1503"/>
      <c r="BP2" s="1503"/>
      <c r="BQ2" s="1503"/>
      <c r="BR2" s="1503"/>
      <c r="BS2" s="1503"/>
      <c r="BT2" s="1503"/>
      <c r="BU2" s="1503"/>
      <c r="BV2" s="1503"/>
      <c r="BW2" s="1503"/>
      <c r="BX2" s="1503"/>
      <c r="BY2" s="1503"/>
      <c r="BZ2" s="1503"/>
      <c r="CA2" s="1503"/>
      <c r="CB2" s="1503"/>
      <c r="CC2" s="1503"/>
      <c r="CD2" s="1503"/>
      <c r="CE2" s="1503"/>
      <c r="CF2" s="1503"/>
      <c r="CG2" s="1503"/>
      <c r="CH2" s="1503"/>
      <c r="CI2" s="1503"/>
      <c r="CJ2" s="1503"/>
      <c r="CK2" s="1503"/>
      <c r="CL2" s="1503"/>
      <c r="CM2" s="1503"/>
      <c r="CN2" s="1503"/>
      <c r="CO2" s="1503"/>
      <c r="CP2" s="1503"/>
      <c r="CQ2" s="1503"/>
      <c r="CR2" s="1503"/>
      <c r="CS2" s="1503"/>
      <c r="CT2" s="1503"/>
      <c r="CU2" s="1503"/>
      <c r="CV2" s="1503"/>
      <c r="CW2" s="1503"/>
      <c r="CX2" s="1503"/>
      <c r="CY2" s="1503"/>
      <c r="CZ2" s="1503"/>
      <c r="DA2" s="1503"/>
      <c r="DB2" s="1503"/>
      <c r="DC2" s="1503"/>
      <c r="DD2" s="1503"/>
      <c r="DE2" s="1503"/>
      <c r="DF2" s="1503"/>
      <c r="DG2" s="1503"/>
      <c r="DH2" s="1503"/>
      <c r="DI2" s="1503"/>
      <c r="DJ2" s="1503"/>
      <c r="DK2" s="1503"/>
      <c r="DL2" s="1503"/>
      <c r="DM2" s="1503"/>
    </row>
    <row r="3" spans="1:117" ht="36" customHeight="1">
      <c r="A3" s="1682" t="s">
        <v>3739</v>
      </c>
      <c r="B3" s="1682"/>
      <c r="C3" s="1682"/>
      <c r="D3" s="1682"/>
      <c r="E3" s="1682"/>
      <c r="F3" s="1057"/>
      <c r="G3" s="1057"/>
      <c r="H3" s="1057"/>
      <c r="I3" s="1057"/>
      <c r="J3" s="1057"/>
      <c r="K3" s="1057"/>
      <c r="L3" s="1057"/>
      <c r="M3" s="1057"/>
      <c r="N3" s="1057"/>
      <c r="O3" s="1057"/>
      <c r="P3" s="1057"/>
      <c r="Q3" s="1057"/>
      <c r="R3" s="1057"/>
      <c r="S3" s="1057"/>
      <c r="T3" s="1057"/>
      <c r="U3" s="1057"/>
      <c r="V3" s="1057"/>
      <c r="W3" s="1057"/>
      <c r="X3" s="1057"/>
      <c r="Y3" s="1057"/>
      <c r="Z3" s="1057"/>
      <c r="AA3" s="1057"/>
      <c r="AB3" s="1057"/>
      <c r="AC3" s="1057"/>
      <c r="AD3" s="1057"/>
      <c r="AE3" s="1057"/>
      <c r="AF3" s="1057"/>
      <c r="AG3" s="1057"/>
      <c r="AH3" s="1057"/>
      <c r="AI3" s="1057"/>
      <c r="AJ3" s="1057"/>
      <c r="AK3" s="1057"/>
      <c r="AL3" s="1057"/>
      <c r="AM3" s="1057"/>
      <c r="AN3" s="1057"/>
      <c r="AO3" s="1057"/>
      <c r="AP3" s="1057"/>
      <c r="AQ3" s="1057"/>
      <c r="AR3" s="1057"/>
      <c r="AS3" s="1057"/>
      <c r="AT3" s="1057"/>
      <c r="AU3" s="1057"/>
      <c r="AV3" s="1057"/>
      <c r="AW3" s="1057"/>
      <c r="AX3" s="1057"/>
      <c r="AY3" s="1057"/>
      <c r="AZ3" s="1057"/>
      <c r="BA3" s="1057"/>
      <c r="BB3" s="1057"/>
      <c r="BC3" s="1057"/>
      <c r="BD3" s="1057"/>
      <c r="BE3" s="1057"/>
      <c r="BF3" s="1057"/>
      <c r="BG3" s="1057"/>
      <c r="BH3" s="1057"/>
      <c r="BI3" s="1057"/>
      <c r="BJ3" s="1057"/>
      <c r="BK3" s="1057"/>
      <c r="BL3" s="1057"/>
      <c r="BM3" s="1057"/>
      <c r="BN3" s="1057"/>
      <c r="BO3" s="1057"/>
      <c r="BP3" s="1057"/>
      <c r="BQ3" s="1057"/>
      <c r="BR3" s="1057"/>
      <c r="BS3" s="1057"/>
      <c r="BT3" s="1057"/>
      <c r="BU3" s="1057"/>
      <c r="BV3" s="1057"/>
      <c r="BW3" s="1057"/>
      <c r="BX3" s="1057"/>
      <c r="BY3" s="1057"/>
      <c r="BZ3" s="1057"/>
      <c r="CA3" s="1057"/>
      <c r="CB3" s="1057"/>
      <c r="CC3" s="1057"/>
      <c r="CD3" s="1057"/>
      <c r="CE3" s="1057"/>
      <c r="CF3" s="1057"/>
      <c r="CG3" s="1057"/>
      <c r="CH3" s="1057"/>
      <c r="CI3" s="1057"/>
      <c r="CJ3" s="1057"/>
      <c r="CK3" s="1057"/>
      <c r="CL3" s="1057"/>
      <c r="CM3" s="1057"/>
      <c r="CN3" s="1057"/>
      <c r="CO3" s="1057"/>
      <c r="CP3" s="1057"/>
      <c r="CQ3" s="1057"/>
      <c r="CR3" s="1057"/>
      <c r="CS3" s="1057"/>
      <c r="CT3" s="1057"/>
      <c r="CU3" s="1057"/>
      <c r="CV3" s="1057"/>
      <c r="CW3" s="1057"/>
      <c r="CX3" s="1057"/>
      <c r="CY3" s="1057"/>
      <c r="CZ3" s="1057"/>
      <c r="DA3" s="1057"/>
      <c r="DB3" s="1057"/>
      <c r="DC3" s="1057"/>
      <c r="DD3" s="1057"/>
      <c r="DE3" s="1057"/>
      <c r="DF3" s="1057"/>
      <c r="DG3" s="1057"/>
      <c r="DH3" s="1057"/>
      <c r="DI3" s="1057"/>
      <c r="DJ3" s="1057"/>
      <c r="DK3" s="1057"/>
      <c r="DL3" s="1057"/>
      <c r="DM3" s="1057"/>
    </row>
    <row r="4" spans="1:117" ht="24" customHeight="1">
      <c r="A4" s="1307"/>
      <c r="B4" s="1307"/>
      <c r="C4" s="1683" t="s">
        <v>3</v>
      </c>
      <c r="D4" s="1683"/>
      <c r="E4" s="1683"/>
      <c r="F4" s="1503"/>
      <c r="G4" s="1503"/>
      <c r="H4" s="1503"/>
      <c r="I4" s="1503"/>
      <c r="J4" s="1503"/>
      <c r="K4" s="1503"/>
      <c r="L4" s="1503"/>
      <c r="M4" s="1503"/>
      <c r="N4" s="1503"/>
      <c r="O4" s="1503"/>
      <c r="P4" s="1503"/>
      <c r="Q4" s="1503"/>
      <c r="R4" s="1503"/>
      <c r="S4" s="1503"/>
      <c r="T4" s="1503"/>
      <c r="U4" s="1503"/>
      <c r="V4" s="1503"/>
      <c r="W4" s="1503"/>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row>
    <row r="5" spans="1:117" ht="54.75" customHeight="1">
      <c r="A5" s="1504" t="s">
        <v>4</v>
      </c>
      <c r="B5" s="1504" t="s">
        <v>1140</v>
      </c>
      <c r="C5" s="1504" t="s">
        <v>3738</v>
      </c>
      <c r="D5" s="1504" t="s">
        <v>3740</v>
      </c>
      <c r="E5" s="1504" t="s">
        <v>33</v>
      </c>
      <c r="F5" s="1503"/>
      <c r="G5" s="1503"/>
      <c r="H5" s="1503"/>
      <c r="I5" s="1503"/>
      <c r="J5" s="1503"/>
      <c r="K5" s="1503"/>
      <c r="L5" s="1503"/>
      <c r="M5" s="1503"/>
      <c r="N5" s="1503"/>
      <c r="O5" s="1503"/>
      <c r="P5" s="1503"/>
      <c r="Q5" s="1503"/>
      <c r="R5" s="1503"/>
      <c r="S5" s="1503"/>
      <c r="T5" s="1503"/>
      <c r="U5" s="1503"/>
      <c r="V5" s="1503"/>
      <c r="W5" s="1503"/>
      <c r="X5" s="1503"/>
      <c r="Y5" s="1503"/>
      <c r="Z5" s="1503"/>
      <c r="AA5" s="1503"/>
      <c r="AB5" s="1503"/>
      <c r="AC5" s="1503"/>
      <c r="AD5" s="1503"/>
      <c r="AE5" s="1503"/>
      <c r="AF5" s="1503"/>
      <c r="AG5" s="1503"/>
      <c r="AH5" s="1503"/>
      <c r="AI5" s="1503"/>
      <c r="AJ5" s="1503"/>
      <c r="AK5" s="1503"/>
      <c r="AL5" s="1503"/>
      <c r="AM5" s="1503"/>
      <c r="AN5" s="1503"/>
      <c r="AO5" s="1503"/>
      <c r="AP5" s="1503"/>
      <c r="AQ5" s="1503"/>
      <c r="AR5" s="1503"/>
      <c r="AS5" s="1503"/>
      <c r="AT5" s="1503"/>
      <c r="AU5" s="1503"/>
      <c r="AV5" s="1503"/>
      <c r="AW5" s="1503"/>
      <c r="AX5" s="1503"/>
      <c r="AY5" s="1503"/>
      <c r="AZ5" s="1503"/>
      <c r="BA5" s="1503"/>
      <c r="BB5" s="1503"/>
      <c r="BC5" s="1503"/>
      <c r="BD5" s="1503"/>
      <c r="BE5" s="1503"/>
      <c r="BF5" s="1503"/>
      <c r="BG5" s="1503"/>
      <c r="BH5" s="1503"/>
      <c r="BI5" s="1503"/>
      <c r="BJ5" s="1503"/>
      <c r="BK5" s="1503"/>
      <c r="BL5" s="1503"/>
      <c r="BM5" s="1503"/>
      <c r="BN5" s="1503"/>
      <c r="BO5" s="1503"/>
      <c r="BP5" s="1503"/>
      <c r="BQ5" s="1503"/>
      <c r="BR5" s="1503"/>
      <c r="BS5" s="1503"/>
      <c r="BT5" s="1503"/>
      <c r="BU5" s="1503"/>
      <c r="BV5" s="1503"/>
      <c r="BW5" s="1503"/>
      <c r="BX5" s="1503"/>
      <c r="BY5" s="1503"/>
      <c r="BZ5" s="1503"/>
      <c r="CA5" s="1503"/>
      <c r="CB5" s="1503"/>
      <c r="CC5" s="1503"/>
      <c r="CD5" s="1503"/>
      <c r="CE5" s="1503"/>
      <c r="CF5" s="1503"/>
      <c r="CG5" s="1503"/>
      <c r="CH5" s="1503"/>
      <c r="CI5" s="1503"/>
      <c r="CJ5" s="1503"/>
      <c r="CK5" s="1503"/>
      <c r="CL5" s="1503"/>
      <c r="CM5" s="1503"/>
      <c r="CN5" s="1503"/>
      <c r="CO5" s="1503"/>
      <c r="CP5" s="1503"/>
      <c r="CQ5" s="1503"/>
      <c r="CR5" s="1503"/>
      <c r="CS5" s="1503"/>
      <c r="CT5" s="1503"/>
      <c r="CU5" s="1503"/>
      <c r="CV5" s="1503"/>
      <c r="CW5" s="1503"/>
      <c r="CX5" s="1503"/>
      <c r="CY5" s="1503"/>
      <c r="CZ5" s="1503"/>
      <c r="DA5" s="1503"/>
      <c r="DB5" s="1503"/>
      <c r="DC5" s="1503"/>
      <c r="DD5" s="1503"/>
      <c r="DE5" s="1503"/>
      <c r="DF5" s="1503"/>
      <c r="DG5" s="1503"/>
      <c r="DH5" s="1503"/>
      <c r="DI5" s="1503"/>
      <c r="DJ5" s="1503"/>
      <c r="DK5" s="1503"/>
      <c r="DL5" s="1503"/>
      <c r="DM5" s="1503"/>
    </row>
    <row r="6" spans="1:117" s="1058" customFormat="1" ht="24" customHeight="1">
      <c r="A6" s="1506"/>
      <c r="B6" s="1506" t="s">
        <v>758</v>
      </c>
      <c r="C6" s="1507" t="e">
        <f>+#REF!+#REF!</f>
        <v>#REF!</v>
      </c>
      <c r="D6" s="1507" t="e">
        <f>+#REF!+#REF!</f>
        <v>#REF!</v>
      </c>
      <c r="E6" s="1506"/>
    </row>
    <row r="7" spans="1:117" ht="21" customHeight="1">
      <c r="A7" s="1508">
        <v>1</v>
      </c>
      <c r="B7" s="1505" t="s">
        <v>3737</v>
      </c>
      <c r="C7" s="1509">
        <v>34808</v>
      </c>
      <c r="D7" s="1515">
        <v>12406</v>
      </c>
      <c r="E7" s="1510"/>
    </row>
    <row r="8" spans="1:117" ht="21" customHeight="1">
      <c r="A8" s="1508"/>
      <c r="B8" s="1505"/>
      <c r="C8" s="1509"/>
      <c r="D8" s="1515"/>
      <c r="E8" s="1510"/>
    </row>
    <row r="9" spans="1:117" ht="21" customHeight="1">
      <c r="A9" s="1508"/>
      <c r="B9" s="1505"/>
      <c r="C9" s="1509"/>
      <c r="D9" s="1515"/>
      <c r="E9" s="1510"/>
    </row>
    <row r="10" spans="1:117" ht="21" customHeight="1">
      <c r="A10" s="1508"/>
      <c r="B10" s="1505"/>
      <c r="C10" s="1509"/>
      <c r="D10" s="1515"/>
      <c r="E10" s="1510"/>
    </row>
    <row r="11" spans="1:117" ht="21" customHeight="1">
      <c r="A11" s="1508"/>
      <c r="B11" s="1505"/>
      <c r="C11" s="1509"/>
      <c r="D11" s="1515"/>
      <c r="E11" s="1510"/>
    </row>
    <row r="12" spans="1:117" ht="21" customHeight="1">
      <c r="A12" s="1508"/>
      <c r="B12" s="1505"/>
      <c r="C12" s="1509"/>
      <c r="D12" s="1515"/>
      <c r="E12" s="1510"/>
    </row>
    <row r="13" spans="1:117" ht="22.5" customHeight="1">
      <c r="A13" s="1508"/>
      <c r="B13" s="1505"/>
      <c r="C13" s="1509"/>
      <c r="D13" s="1515"/>
      <c r="E13" s="1510"/>
    </row>
    <row r="14" spans="1:117" ht="22.5" customHeight="1">
      <c r="A14" s="1508"/>
      <c r="B14" s="1505"/>
      <c r="C14" s="1509"/>
      <c r="D14" s="1515"/>
      <c r="E14" s="1510"/>
    </row>
    <row r="15" spans="1:117" ht="22.5" customHeight="1">
      <c r="A15" s="1508"/>
      <c r="B15" s="1505"/>
      <c r="C15" s="1509"/>
      <c r="D15" s="1515"/>
      <c r="E15" s="1510"/>
    </row>
    <row r="16" spans="1:117" ht="22.5" customHeight="1">
      <c r="A16" s="1508"/>
      <c r="B16" s="1505"/>
      <c r="C16" s="1509"/>
      <c r="D16" s="1515"/>
      <c r="E16" s="1510"/>
    </row>
    <row r="17" spans="1:5" ht="22.5" customHeight="1">
      <c r="A17" s="1511"/>
      <c r="B17" s="1512"/>
      <c r="C17" s="1513"/>
      <c r="D17" s="1516"/>
      <c r="E17" s="1514"/>
    </row>
  </sheetData>
  <mergeCells count="4">
    <mergeCell ref="A2:E2"/>
    <mergeCell ref="A3:E3"/>
    <mergeCell ref="C4:E4"/>
    <mergeCell ref="D1:E1"/>
  </mergeCells>
  <pageMargins left="0.6692913385826772" right="0.27559055118110237" top="0.59055118110236227" bottom="0.59055118110236227" header="0.47244094488188981" footer="0.31496062992125984"/>
  <pageSetup paperSize="9" scale="80" orientation="portrait" r:id="rId1"/>
  <headerFooter>
    <oddFooter>&amp;C&amp;P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0070C0"/>
  </sheetPr>
  <dimension ref="A1:I55"/>
  <sheetViews>
    <sheetView workbookViewId="0">
      <selection sqref="A1:I53"/>
    </sheetView>
  </sheetViews>
  <sheetFormatPr defaultColWidth="9.08203125" defaultRowHeight="13"/>
  <cols>
    <col min="1" max="1" width="5.33203125" style="50" customWidth="1"/>
    <col min="2" max="2" width="54.4140625" style="7" customWidth="1"/>
    <col min="3" max="3" width="10.9140625" style="7" customWidth="1"/>
    <col min="4" max="4" width="9.4140625" style="50" customWidth="1"/>
    <col min="5" max="5" width="7" style="50" customWidth="1"/>
    <col min="6" max="6" width="10.9140625" style="645" customWidth="1"/>
    <col min="7" max="7" width="11" style="645" customWidth="1"/>
    <col min="8" max="8" width="11" style="598" hidden="1" customWidth="1"/>
    <col min="9" max="9" width="7" style="645" customWidth="1"/>
    <col min="10" max="16384" width="9.08203125" style="7"/>
  </cols>
  <sheetData>
    <row r="1" spans="1:9" s="105" customFormat="1" ht="18" customHeight="1">
      <c r="A1" s="1830"/>
      <c r="B1" s="1830"/>
      <c r="C1" s="433"/>
      <c r="D1" s="799"/>
      <c r="E1" s="799"/>
      <c r="F1" s="800"/>
      <c r="G1" s="1823" t="s">
        <v>2080</v>
      </c>
      <c r="H1" s="1843"/>
      <c r="I1" s="1823"/>
    </row>
    <row r="2" spans="1:9" s="105" customFormat="1" ht="42.75" customHeight="1">
      <c r="A2" s="1831" t="s">
        <v>2083</v>
      </c>
      <c r="B2" s="1831"/>
      <c r="C2" s="1831"/>
      <c r="D2" s="1831"/>
      <c r="E2" s="1831"/>
      <c r="F2" s="1831"/>
      <c r="G2" s="1831"/>
      <c r="H2" s="1844"/>
      <c r="I2" s="1831"/>
    </row>
    <row r="3" spans="1:9" s="105" customFormat="1" ht="18" customHeight="1">
      <c r="A3" s="801"/>
      <c r="B3" s="801"/>
      <c r="C3" s="801"/>
      <c r="D3" s="801"/>
      <c r="E3" s="801"/>
      <c r="F3" s="1837" t="s">
        <v>3</v>
      </c>
      <c r="G3" s="1837"/>
      <c r="H3" s="1842"/>
      <c r="I3" s="1837"/>
    </row>
    <row r="4" spans="1:9" ht="21" customHeight="1">
      <c r="A4" s="1721" t="s">
        <v>894</v>
      </c>
      <c r="B4" s="1721" t="s">
        <v>895</v>
      </c>
      <c r="C4" s="1721" t="s">
        <v>896</v>
      </c>
      <c r="D4" s="1721" t="s">
        <v>897</v>
      </c>
      <c r="E4" s="1721" t="s">
        <v>2507</v>
      </c>
      <c r="F4" s="1721" t="s">
        <v>727</v>
      </c>
      <c r="G4" s="1721" t="s">
        <v>1600</v>
      </c>
      <c r="H4" s="592"/>
      <c r="I4" s="1849" t="s">
        <v>33</v>
      </c>
    </row>
    <row r="5" spans="1:9" ht="21" customHeight="1">
      <c r="A5" s="1723"/>
      <c r="B5" s="1723"/>
      <c r="C5" s="1723"/>
      <c r="D5" s="1723"/>
      <c r="E5" s="1723"/>
      <c r="F5" s="1723"/>
      <c r="G5" s="1723"/>
      <c r="H5" s="599" t="s">
        <v>898</v>
      </c>
      <c r="I5" s="1850"/>
    </row>
    <row r="6" spans="1:9" s="807" customFormat="1" ht="18" customHeight="1">
      <c r="A6" s="462">
        <v>1</v>
      </c>
      <c r="B6" s="462">
        <v>2</v>
      </c>
      <c r="C6" s="462">
        <v>3</v>
      </c>
      <c r="D6" s="462">
        <v>4</v>
      </c>
      <c r="E6" s="462">
        <v>5</v>
      </c>
      <c r="F6" s="462">
        <v>6</v>
      </c>
      <c r="G6" s="462">
        <v>7</v>
      </c>
      <c r="H6" s="593"/>
      <c r="I6" s="462">
        <v>8</v>
      </c>
    </row>
    <row r="7" spans="1:9" ht="18" customHeight="1">
      <c r="A7" s="32"/>
      <c r="B7" s="728" t="s">
        <v>899</v>
      </c>
      <c r="C7" s="738"/>
      <c r="D7" s="34"/>
      <c r="E7" s="34"/>
      <c r="F7" s="21">
        <f>+F8+F11</f>
        <v>67432</v>
      </c>
      <c r="G7" s="21">
        <f>+G8+G11</f>
        <v>64075</v>
      </c>
      <c r="H7" s="594">
        <f>+H8+H11</f>
        <v>3357</v>
      </c>
      <c r="I7" s="21"/>
    </row>
    <row r="8" spans="1:9" ht="18" customHeight="1">
      <c r="A8" s="26" t="s">
        <v>37</v>
      </c>
      <c r="B8" s="55" t="s">
        <v>733</v>
      </c>
      <c r="C8" s="441"/>
      <c r="D8" s="34"/>
      <c r="E8" s="34"/>
      <c r="F8" s="21">
        <f>+F9</f>
        <v>9732</v>
      </c>
      <c r="G8" s="21">
        <f t="shared" ref="G8:H8" si="0">+G9</f>
        <v>9245</v>
      </c>
      <c r="H8" s="594">
        <f t="shared" si="0"/>
        <v>487</v>
      </c>
      <c r="I8" s="21"/>
    </row>
    <row r="9" spans="1:9" ht="18" customHeight="1">
      <c r="A9" s="26" t="s">
        <v>8</v>
      </c>
      <c r="B9" s="802" t="s">
        <v>1723</v>
      </c>
      <c r="C9" s="13" t="s">
        <v>900</v>
      </c>
      <c r="D9" s="34">
        <f>SUM(D10:D10)</f>
        <v>11</v>
      </c>
      <c r="E9" s="174"/>
      <c r="F9" s="21">
        <f>SUM(F10:F10)</f>
        <v>9732</v>
      </c>
      <c r="G9" s="21">
        <f>SUM(G10:G10)</f>
        <v>9245</v>
      </c>
      <c r="H9" s="594">
        <f>SUM(H10:H10)</f>
        <v>487</v>
      </c>
      <c r="I9" s="736"/>
    </row>
    <row r="10" spans="1:9" ht="26">
      <c r="A10" s="13">
        <v>1</v>
      </c>
      <c r="B10" s="803" t="s">
        <v>2288</v>
      </c>
      <c r="C10" s="13" t="s">
        <v>900</v>
      </c>
      <c r="D10" s="174">
        <v>11</v>
      </c>
      <c r="E10" s="336">
        <v>884.7</v>
      </c>
      <c r="F10" s="20">
        <f t="shared" ref="F10" si="1">ROUND(D10*E10,0)</f>
        <v>9732</v>
      </c>
      <c r="G10" s="20">
        <f>F10-H10</f>
        <v>9245</v>
      </c>
      <c r="H10" s="596">
        <f>ROUND(F10*0.05,0)</f>
        <v>487</v>
      </c>
      <c r="I10" s="32"/>
    </row>
    <row r="11" spans="1:9" ht="18" customHeight="1">
      <c r="A11" s="26" t="s">
        <v>38</v>
      </c>
      <c r="B11" s="55" t="s">
        <v>901</v>
      </c>
      <c r="C11" s="441"/>
      <c r="D11" s="34"/>
      <c r="E11" s="34"/>
      <c r="F11" s="21">
        <f>+F12+F17+F22+F27+F32+F37+F42+F47</f>
        <v>57700</v>
      </c>
      <c r="G11" s="21">
        <f>+G12+G17+G22+G27+G32+G37+G42+G47</f>
        <v>54830</v>
      </c>
      <c r="H11" s="594">
        <f>+H12+H17+H22+H27+H32+H37+H42+H47</f>
        <v>2870</v>
      </c>
      <c r="I11" s="21"/>
    </row>
    <row r="12" spans="1:9" ht="18" customHeight="1">
      <c r="A12" s="804" t="s">
        <v>8</v>
      </c>
      <c r="B12" s="805" t="s">
        <v>25</v>
      </c>
      <c r="C12" s="804"/>
      <c r="D12" s="17"/>
      <c r="E12" s="806"/>
      <c r="F12" s="21">
        <f>SUM(F13:F16)</f>
        <v>2654</v>
      </c>
      <c r="G12" s="21">
        <f>SUM(G13:G16)</f>
        <v>2521</v>
      </c>
      <c r="H12" s="594">
        <f>SUM(H13:H16)</f>
        <v>133</v>
      </c>
      <c r="I12" s="21"/>
    </row>
    <row r="13" spans="1:9" s="208" customFormat="1" ht="18" hidden="1" customHeight="1">
      <c r="A13" s="184">
        <v>1</v>
      </c>
      <c r="B13" s="185" t="s">
        <v>2289</v>
      </c>
      <c r="C13" s="184" t="s">
        <v>874</v>
      </c>
      <c r="D13" s="303">
        <v>0</v>
      </c>
      <c r="E13" s="343">
        <v>0.88</v>
      </c>
      <c r="F13" s="201">
        <f>D13*E13</f>
        <v>0</v>
      </c>
      <c r="G13" s="201">
        <f>+F13</f>
        <v>0</v>
      </c>
      <c r="H13" s="596"/>
      <c r="I13" s="173" t="s">
        <v>1774</v>
      </c>
    </row>
    <row r="14" spans="1:9" s="208" customFormat="1" ht="18" hidden="1" customHeight="1">
      <c r="A14" s="184">
        <v>2</v>
      </c>
      <c r="B14" s="595" t="s">
        <v>2290</v>
      </c>
      <c r="C14" s="184" t="s">
        <v>903</v>
      </c>
      <c r="D14" s="303">
        <v>0</v>
      </c>
      <c r="E14" s="343">
        <v>17.690000000000001</v>
      </c>
      <c r="F14" s="201">
        <f t="shared" ref="F14:F15" si="2">D14*E14</f>
        <v>0</v>
      </c>
      <c r="G14" s="201">
        <f t="shared" ref="G14:G15" si="3">+F14</f>
        <v>0</v>
      </c>
      <c r="H14" s="596"/>
      <c r="I14" s="173" t="s">
        <v>1774</v>
      </c>
    </row>
    <row r="15" spans="1:9" s="208" customFormat="1" ht="18" hidden="1" customHeight="1">
      <c r="A15" s="184">
        <v>3</v>
      </c>
      <c r="B15" s="378" t="s">
        <v>2291</v>
      </c>
      <c r="C15" s="184" t="s">
        <v>876</v>
      </c>
      <c r="D15" s="303">
        <v>0</v>
      </c>
      <c r="E15" s="343">
        <v>0.09</v>
      </c>
      <c r="F15" s="201">
        <f t="shared" si="2"/>
        <v>0</v>
      </c>
      <c r="G15" s="201">
        <f t="shared" si="3"/>
        <v>0</v>
      </c>
      <c r="H15" s="596"/>
      <c r="I15" s="173" t="s">
        <v>1774</v>
      </c>
    </row>
    <row r="16" spans="1:9" ht="26">
      <c r="A16" s="13" t="s">
        <v>10</v>
      </c>
      <c r="B16" s="803" t="s">
        <v>2288</v>
      </c>
      <c r="C16" s="13" t="s">
        <v>1720</v>
      </c>
      <c r="D16" s="174">
        <v>3</v>
      </c>
      <c r="E16" s="336">
        <v>884.7</v>
      </c>
      <c r="F16" s="20">
        <f t="shared" ref="F16" si="4">ROUND(D16*E16,0)</f>
        <v>2654</v>
      </c>
      <c r="G16" s="20">
        <f>F16-H16</f>
        <v>2521</v>
      </c>
      <c r="H16" s="596">
        <f>ROUND(F16*0.05,0)</f>
        <v>133</v>
      </c>
      <c r="I16" s="736"/>
    </row>
    <row r="17" spans="1:9" ht="18" customHeight="1">
      <c r="A17" s="804" t="s">
        <v>26</v>
      </c>
      <c r="B17" s="805" t="s">
        <v>23</v>
      </c>
      <c r="C17" s="804"/>
      <c r="D17" s="17"/>
      <c r="E17" s="808"/>
      <c r="F17" s="21">
        <f>SUM(F18:F21)</f>
        <v>10310</v>
      </c>
      <c r="G17" s="21">
        <f>SUM(G18:G21)</f>
        <v>9798</v>
      </c>
      <c r="H17" s="594">
        <f>SUM(H18:H21)</f>
        <v>512</v>
      </c>
      <c r="I17" s="21"/>
    </row>
    <row r="18" spans="1:9" ht="18" customHeight="1">
      <c r="A18" s="13">
        <v>1</v>
      </c>
      <c r="B18" s="12" t="s">
        <v>2289</v>
      </c>
      <c r="C18" s="13" t="s">
        <v>874</v>
      </c>
      <c r="D18" s="174">
        <v>1508</v>
      </c>
      <c r="E18" s="336">
        <v>0.88</v>
      </c>
      <c r="F18" s="20">
        <f>ROUND(D18*E18,0)</f>
        <v>1327</v>
      </c>
      <c r="G18" s="20">
        <f t="shared" ref="G18:G20" si="5">F18-H18</f>
        <v>1327</v>
      </c>
      <c r="H18" s="596"/>
      <c r="I18" s="736"/>
    </row>
    <row r="19" spans="1:9" ht="18" customHeight="1">
      <c r="A19" s="13">
        <v>2</v>
      </c>
      <c r="B19" s="803" t="s">
        <v>2290</v>
      </c>
      <c r="C19" s="13" t="s">
        <v>903</v>
      </c>
      <c r="D19" s="174">
        <v>150</v>
      </c>
      <c r="E19" s="336">
        <v>17.690000000000001</v>
      </c>
      <c r="F19" s="20">
        <f t="shared" ref="F19:F21" si="6">ROUND(D19*E19,0)</f>
        <v>2654</v>
      </c>
      <c r="G19" s="20">
        <f t="shared" si="5"/>
        <v>2654</v>
      </c>
      <c r="H19" s="596"/>
      <c r="I19" s="736"/>
    </row>
    <row r="20" spans="1:9" ht="18" customHeight="1">
      <c r="A20" s="13">
        <v>3</v>
      </c>
      <c r="B20" s="669" t="s">
        <v>2291</v>
      </c>
      <c r="C20" s="13" t="s">
        <v>876</v>
      </c>
      <c r="D20" s="174">
        <v>1508</v>
      </c>
      <c r="E20" s="336">
        <v>0.09</v>
      </c>
      <c r="F20" s="20">
        <f t="shared" si="6"/>
        <v>136</v>
      </c>
      <c r="G20" s="20">
        <f t="shared" si="5"/>
        <v>136</v>
      </c>
      <c r="H20" s="596"/>
      <c r="I20" s="736"/>
    </row>
    <row r="21" spans="1:9" ht="26">
      <c r="A21" s="13">
        <v>4</v>
      </c>
      <c r="B21" s="803" t="s">
        <v>2288</v>
      </c>
      <c r="C21" s="13" t="s">
        <v>1720</v>
      </c>
      <c r="D21" s="174">
        <v>7</v>
      </c>
      <c r="E21" s="336">
        <v>884.7</v>
      </c>
      <c r="F21" s="20">
        <f t="shared" si="6"/>
        <v>6193</v>
      </c>
      <c r="G21" s="20">
        <f>F21-H21</f>
        <v>5681</v>
      </c>
      <c r="H21" s="596">
        <f>ROUND(F17*0.05,0)-4</f>
        <v>512</v>
      </c>
      <c r="I21" s="736"/>
    </row>
    <row r="22" spans="1:9" ht="18" customHeight="1">
      <c r="A22" s="804" t="s">
        <v>28</v>
      </c>
      <c r="B22" s="805" t="s">
        <v>21</v>
      </c>
      <c r="C22" s="804"/>
      <c r="D22" s="174"/>
      <c r="E22" s="440"/>
      <c r="F22" s="21">
        <f>SUM(F23:F26)</f>
        <v>7060</v>
      </c>
      <c r="G22" s="21">
        <f>SUM(G23:G26)</f>
        <v>6710</v>
      </c>
      <c r="H22" s="594">
        <f>SUM(H23:H26)</f>
        <v>350</v>
      </c>
      <c r="I22" s="21"/>
    </row>
    <row r="23" spans="1:9" ht="18" customHeight="1">
      <c r="A23" s="13">
        <v>1</v>
      </c>
      <c r="B23" s="12" t="s">
        <v>2289</v>
      </c>
      <c r="C23" s="13" t="s">
        <v>874</v>
      </c>
      <c r="D23" s="174">
        <v>967</v>
      </c>
      <c r="E23" s="336">
        <v>0.88</v>
      </c>
      <c r="F23" s="20">
        <f>ROUND(E23*D23,0)</f>
        <v>851</v>
      </c>
      <c r="G23" s="20">
        <f>+F23</f>
        <v>851</v>
      </c>
      <c r="H23" s="596"/>
      <c r="I23" s="736"/>
    </row>
    <row r="24" spans="1:9" ht="18" customHeight="1">
      <c r="A24" s="13">
        <v>2</v>
      </c>
      <c r="B24" s="803" t="s">
        <v>2290</v>
      </c>
      <c r="C24" s="13" t="s">
        <v>903</v>
      </c>
      <c r="D24" s="174">
        <v>96</v>
      </c>
      <c r="E24" s="336">
        <v>17.690000000000001</v>
      </c>
      <c r="F24" s="20">
        <f t="shared" ref="F24:F26" si="7">ROUND(E24*D24,0)</f>
        <v>1698</v>
      </c>
      <c r="G24" s="20">
        <f t="shared" ref="G24:G25" si="8">+F24</f>
        <v>1698</v>
      </c>
      <c r="H24" s="596"/>
      <c r="I24" s="736"/>
    </row>
    <row r="25" spans="1:9" ht="18" customHeight="1">
      <c r="A25" s="13">
        <v>3</v>
      </c>
      <c r="B25" s="669" t="s">
        <v>2291</v>
      </c>
      <c r="C25" s="13" t="s">
        <v>876</v>
      </c>
      <c r="D25" s="174">
        <v>967</v>
      </c>
      <c r="E25" s="336">
        <v>0.09</v>
      </c>
      <c r="F25" s="20">
        <f t="shared" si="7"/>
        <v>87</v>
      </c>
      <c r="G25" s="20">
        <f t="shared" si="8"/>
        <v>87</v>
      </c>
      <c r="H25" s="596"/>
      <c r="I25" s="736"/>
    </row>
    <row r="26" spans="1:9" ht="26">
      <c r="A26" s="13">
        <v>4</v>
      </c>
      <c r="B26" s="803" t="s">
        <v>2288</v>
      </c>
      <c r="C26" s="13" t="s">
        <v>1720</v>
      </c>
      <c r="D26" s="174">
        <v>5</v>
      </c>
      <c r="E26" s="336">
        <v>884.7</v>
      </c>
      <c r="F26" s="20">
        <f t="shared" si="7"/>
        <v>4424</v>
      </c>
      <c r="G26" s="20">
        <f>F26-H26</f>
        <v>4074</v>
      </c>
      <c r="H26" s="596">
        <f>ROUND(F22*0.05,0)-3</f>
        <v>350</v>
      </c>
      <c r="I26" s="736"/>
    </row>
    <row r="27" spans="1:9" ht="18" customHeight="1">
      <c r="A27" s="804" t="s">
        <v>29</v>
      </c>
      <c r="B27" s="805" t="s">
        <v>19</v>
      </c>
      <c r="C27" s="804"/>
      <c r="D27" s="174"/>
      <c r="E27" s="336"/>
      <c r="F27" s="21">
        <f>SUM(F28:F31)</f>
        <v>5778</v>
      </c>
      <c r="G27" s="21">
        <f>SUM(G28:G31)</f>
        <v>5489</v>
      </c>
      <c r="H27" s="594">
        <f>SUM(H28:H31)</f>
        <v>289</v>
      </c>
      <c r="I27" s="21"/>
    </row>
    <row r="28" spans="1:9" ht="18" customHeight="1">
      <c r="A28" s="13">
        <v>1</v>
      </c>
      <c r="B28" s="12" t="s">
        <v>2289</v>
      </c>
      <c r="C28" s="13" t="s">
        <v>874</v>
      </c>
      <c r="D28" s="174">
        <v>174</v>
      </c>
      <c r="E28" s="336">
        <v>0.88</v>
      </c>
      <c r="F28" s="20">
        <f>ROUND(E28*D28,0)</f>
        <v>153</v>
      </c>
      <c r="G28" s="20">
        <f>+F28</f>
        <v>153</v>
      </c>
      <c r="H28" s="596"/>
      <c r="I28" s="736"/>
    </row>
    <row r="29" spans="1:9" ht="18" customHeight="1">
      <c r="A29" s="13">
        <v>2</v>
      </c>
      <c r="B29" s="803" t="s">
        <v>2290</v>
      </c>
      <c r="C29" s="13" t="s">
        <v>903</v>
      </c>
      <c r="D29" s="174">
        <v>17</v>
      </c>
      <c r="E29" s="336">
        <v>17.690000000000001</v>
      </c>
      <c r="F29" s="20">
        <f t="shared" ref="F29:F31" si="9">ROUND(E29*D29,0)</f>
        <v>301</v>
      </c>
      <c r="G29" s="20">
        <f t="shared" ref="G29:G30" si="10">+F29</f>
        <v>301</v>
      </c>
      <c r="H29" s="596"/>
      <c r="I29" s="736"/>
    </row>
    <row r="30" spans="1:9" ht="18" customHeight="1">
      <c r="A30" s="13">
        <v>3</v>
      </c>
      <c r="B30" s="669" t="s">
        <v>2291</v>
      </c>
      <c r="C30" s="13" t="s">
        <v>876</v>
      </c>
      <c r="D30" s="174">
        <v>174</v>
      </c>
      <c r="E30" s="336">
        <v>0.09</v>
      </c>
      <c r="F30" s="20">
        <f t="shared" si="9"/>
        <v>16</v>
      </c>
      <c r="G30" s="20">
        <f t="shared" si="10"/>
        <v>16</v>
      </c>
      <c r="H30" s="596"/>
      <c r="I30" s="736"/>
    </row>
    <row r="31" spans="1:9" ht="26">
      <c r="A31" s="13">
        <v>4</v>
      </c>
      <c r="B31" s="803" t="s">
        <v>2288</v>
      </c>
      <c r="C31" s="13" t="s">
        <v>1720</v>
      </c>
      <c r="D31" s="174">
        <v>6</v>
      </c>
      <c r="E31" s="336">
        <v>884.7</v>
      </c>
      <c r="F31" s="20">
        <f t="shared" si="9"/>
        <v>5308</v>
      </c>
      <c r="G31" s="20">
        <f>F31-H31</f>
        <v>5019</v>
      </c>
      <c r="H31" s="596">
        <f>ROUND(F27*0.05,0)</f>
        <v>289</v>
      </c>
      <c r="I31" s="736"/>
    </row>
    <row r="32" spans="1:9" ht="18" customHeight="1">
      <c r="A32" s="804" t="s">
        <v>30</v>
      </c>
      <c r="B32" s="805" t="s">
        <v>17</v>
      </c>
      <c r="C32" s="804"/>
      <c r="D32" s="174"/>
      <c r="E32" s="336"/>
      <c r="F32" s="21">
        <f>SUM(F33:F36)</f>
        <v>6959</v>
      </c>
      <c r="G32" s="21">
        <f>SUM(G33:G36)</f>
        <v>6612</v>
      </c>
      <c r="H32" s="594">
        <f>SUM(H33:H36)</f>
        <v>347</v>
      </c>
      <c r="I32" s="21"/>
    </row>
    <row r="33" spans="1:9" ht="18" customHeight="1">
      <c r="A33" s="13">
        <v>1</v>
      </c>
      <c r="B33" s="12" t="s">
        <v>2289</v>
      </c>
      <c r="C33" s="13" t="s">
        <v>874</v>
      </c>
      <c r="D33" s="174">
        <v>280</v>
      </c>
      <c r="E33" s="336">
        <v>0.88</v>
      </c>
      <c r="F33" s="20">
        <f>ROUND(E33*D33,0)</f>
        <v>246</v>
      </c>
      <c r="G33" s="20">
        <f>+F33</f>
        <v>246</v>
      </c>
      <c r="H33" s="596"/>
      <c r="I33" s="736"/>
    </row>
    <row r="34" spans="1:9" ht="18" customHeight="1">
      <c r="A34" s="13">
        <v>2</v>
      </c>
      <c r="B34" s="803" t="s">
        <v>2290</v>
      </c>
      <c r="C34" s="13" t="s">
        <v>903</v>
      </c>
      <c r="D34" s="174">
        <v>28</v>
      </c>
      <c r="E34" s="336">
        <v>17.690000000000001</v>
      </c>
      <c r="F34" s="20">
        <f t="shared" ref="F34:F36" si="11">ROUND(E34*D34,0)</f>
        <v>495</v>
      </c>
      <c r="G34" s="20">
        <f t="shared" ref="G34:G35" si="12">+F34</f>
        <v>495</v>
      </c>
      <c r="H34" s="596"/>
      <c r="I34" s="736"/>
    </row>
    <row r="35" spans="1:9" ht="18" customHeight="1">
      <c r="A35" s="13">
        <v>3</v>
      </c>
      <c r="B35" s="669" t="s">
        <v>2291</v>
      </c>
      <c r="C35" s="13" t="s">
        <v>876</v>
      </c>
      <c r="D35" s="174">
        <v>280</v>
      </c>
      <c r="E35" s="336">
        <v>0.09</v>
      </c>
      <c r="F35" s="20">
        <f t="shared" si="11"/>
        <v>25</v>
      </c>
      <c r="G35" s="20">
        <f t="shared" si="12"/>
        <v>25</v>
      </c>
      <c r="H35" s="596"/>
      <c r="I35" s="736"/>
    </row>
    <row r="36" spans="1:9" ht="26">
      <c r="A36" s="13">
        <v>4</v>
      </c>
      <c r="B36" s="803" t="s">
        <v>2288</v>
      </c>
      <c r="C36" s="13" t="s">
        <v>1720</v>
      </c>
      <c r="D36" s="174">
        <v>7</v>
      </c>
      <c r="E36" s="336">
        <v>884.7</v>
      </c>
      <c r="F36" s="20">
        <f t="shared" si="11"/>
        <v>6193</v>
      </c>
      <c r="G36" s="20">
        <f>F36-H36</f>
        <v>5846</v>
      </c>
      <c r="H36" s="596">
        <f>ROUND(F32*0.05,0)-1</f>
        <v>347</v>
      </c>
      <c r="I36" s="736"/>
    </row>
    <row r="37" spans="1:9" ht="18" customHeight="1">
      <c r="A37" s="804" t="s">
        <v>31</v>
      </c>
      <c r="B37" s="805" t="s">
        <v>15</v>
      </c>
      <c r="C37" s="804"/>
      <c r="D37" s="174"/>
      <c r="E37" s="440"/>
      <c r="F37" s="21">
        <f>SUM(F38:F41)</f>
        <v>9261</v>
      </c>
      <c r="G37" s="21">
        <f>SUM(G38:G41)</f>
        <v>8801</v>
      </c>
      <c r="H37" s="594">
        <f>SUM(H38:H41)</f>
        <v>460</v>
      </c>
      <c r="I37" s="21"/>
    </row>
    <row r="38" spans="1:9" ht="18" customHeight="1">
      <c r="A38" s="13">
        <v>1</v>
      </c>
      <c r="B38" s="12" t="s">
        <v>2289</v>
      </c>
      <c r="C38" s="13" t="s">
        <v>874</v>
      </c>
      <c r="D38" s="174">
        <v>1120</v>
      </c>
      <c r="E38" s="336">
        <v>0.88</v>
      </c>
      <c r="F38" s="20">
        <f>ROUND(E38*D38,0)</f>
        <v>986</v>
      </c>
      <c r="G38" s="20">
        <f>+F38</f>
        <v>986</v>
      </c>
      <c r="H38" s="596"/>
      <c r="I38" s="736"/>
    </row>
    <row r="39" spans="1:9" ht="18" customHeight="1">
      <c r="A39" s="13">
        <v>2</v>
      </c>
      <c r="B39" s="803" t="s">
        <v>2290</v>
      </c>
      <c r="C39" s="13" t="s">
        <v>903</v>
      </c>
      <c r="D39" s="174">
        <v>112</v>
      </c>
      <c r="E39" s="336">
        <v>17.690000000000001</v>
      </c>
      <c r="F39" s="20">
        <f t="shared" ref="F39:F41" si="13">ROUND(E39*D39,0)</f>
        <v>1981</v>
      </c>
      <c r="G39" s="20">
        <f t="shared" ref="G39:G40" si="14">+F39</f>
        <v>1981</v>
      </c>
      <c r="H39" s="596"/>
      <c r="I39" s="736"/>
    </row>
    <row r="40" spans="1:9" ht="18" customHeight="1">
      <c r="A40" s="13">
        <v>3</v>
      </c>
      <c r="B40" s="669" t="s">
        <v>2291</v>
      </c>
      <c r="C40" s="13" t="s">
        <v>876</v>
      </c>
      <c r="D40" s="174">
        <v>1120</v>
      </c>
      <c r="E40" s="336">
        <v>0.09</v>
      </c>
      <c r="F40" s="20">
        <f t="shared" si="13"/>
        <v>101</v>
      </c>
      <c r="G40" s="20">
        <f t="shared" si="14"/>
        <v>101</v>
      </c>
      <c r="H40" s="596"/>
      <c r="I40" s="736"/>
    </row>
    <row r="41" spans="1:9" ht="26">
      <c r="A41" s="13">
        <v>4</v>
      </c>
      <c r="B41" s="803" t="s">
        <v>2288</v>
      </c>
      <c r="C41" s="13" t="s">
        <v>1720</v>
      </c>
      <c r="D41" s="174">
        <v>7</v>
      </c>
      <c r="E41" s="336">
        <v>884.7</v>
      </c>
      <c r="F41" s="20">
        <f t="shared" si="13"/>
        <v>6193</v>
      </c>
      <c r="G41" s="20">
        <f>F41-H41</f>
        <v>5733</v>
      </c>
      <c r="H41" s="596">
        <f>ROUND(F37*0.05,0)-3</f>
        <v>460</v>
      </c>
      <c r="I41" s="736"/>
    </row>
    <row r="42" spans="1:9" ht="20.149999999999999" customHeight="1">
      <c r="A42" s="804" t="s">
        <v>80</v>
      </c>
      <c r="B42" s="805" t="s">
        <v>13</v>
      </c>
      <c r="C42" s="804"/>
      <c r="D42" s="174"/>
      <c r="E42" s="336"/>
      <c r="F42" s="21">
        <f>SUM(F43:F46)</f>
        <v>8501</v>
      </c>
      <c r="G42" s="21">
        <f>SUM(G43:G46)</f>
        <v>8079</v>
      </c>
      <c r="H42" s="594">
        <f>SUM(H43:H46)</f>
        <v>422</v>
      </c>
      <c r="I42" s="21"/>
    </row>
    <row r="43" spans="1:9" ht="18" customHeight="1">
      <c r="A43" s="13">
        <v>1</v>
      </c>
      <c r="B43" s="12" t="s">
        <v>2289</v>
      </c>
      <c r="C43" s="13" t="s">
        <v>874</v>
      </c>
      <c r="D43" s="174">
        <v>848</v>
      </c>
      <c r="E43" s="336">
        <v>0.88</v>
      </c>
      <c r="F43" s="20">
        <f>ROUND(E43*D43,0)</f>
        <v>746</v>
      </c>
      <c r="G43" s="20">
        <f>+F43</f>
        <v>746</v>
      </c>
      <c r="H43" s="596"/>
      <c r="I43" s="736"/>
    </row>
    <row r="44" spans="1:9" ht="18" customHeight="1">
      <c r="A44" s="13">
        <v>2</v>
      </c>
      <c r="B44" s="803" t="s">
        <v>2290</v>
      </c>
      <c r="C44" s="13" t="s">
        <v>903</v>
      </c>
      <c r="D44" s="174">
        <v>84</v>
      </c>
      <c r="E44" s="336">
        <v>17.690000000000001</v>
      </c>
      <c r="F44" s="20">
        <f t="shared" ref="F44:F46" si="15">ROUND(E44*D44,0)</f>
        <v>1486</v>
      </c>
      <c r="G44" s="20">
        <f t="shared" ref="G44:G45" si="16">+F44</f>
        <v>1486</v>
      </c>
      <c r="H44" s="596"/>
      <c r="I44" s="736"/>
    </row>
    <row r="45" spans="1:9" ht="18" customHeight="1">
      <c r="A45" s="13">
        <v>3</v>
      </c>
      <c r="B45" s="669" t="s">
        <v>2291</v>
      </c>
      <c r="C45" s="13" t="s">
        <v>876</v>
      </c>
      <c r="D45" s="174">
        <v>848</v>
      </c>
      <c r="E45" s="336">
        <v>0.09</v>
      </c>
      <c r="F45" s="20">
        <f t="shared" si="15"/>
        <v>76</v>
      </c>
      <c r="G45" s="20">
        <f t="shared" si="16"/>
        <v>76</v>
      </c>
      <c r="H45" s="596"/>
      <c r="I45" s="736"/>
    </row>
    <row r="46" spans="1:9" ht="26">
      <c r="A46" s="13">
        <v>4</v>
      </c>
      <c r="B46" s="803" t="s">
        <v>2288</v>
      </c>
      <c r="C46" s="13" t="s">
        <v>1720</v>
      </c>
      <c r="D46" s="174">
        <v>7</v>
      </c>
      <c r="E46" s="336">
        <v>884.7</v>
      </c>
      <c r="F46" s="20">
        <f t="shared" si="15"/>
        <v>6193</v>
      </c>
      <c r="G46" s="20">
        <f>F46-H46</f>
        <v>5771</v>
      </c>
      <c r="H46" s="596">
        <f>ROUND(F42*0.05,0)-3</f>
        <v>422</v>
      </c>
      <c r="I46" s="736"/>
    </row>
    <row r="47" spans="1:9" ht="18" customHeight="1">
      <c r="A47" s="804" t="s">
        <v>81</v>
      </c>
      <c r="B47" s="805" t="s">
        <v>11</v>
      </c>
      <c r="C47" s="804"/>
      <c r="D47" s="174"/>
      <c r="E47" s="336"/>
      <c r="F47" s="21">
        <f>SUM(F48:F51)</f>
        <v>7177</v>
      </c>
      <c r="G47" s="21">
        <f>SUM(G48:G51)</f>
        <v>6820</v>
      </c>
      <c r="H47" s="594">
        <f>SUM(H48:H51)</f>
        <v>357</v>
      </c>
      <c r="I47" s="21"/>
    </row>
    <row r="48" spans="1:9" ht="18" customHeight="1">
      <c r="A48" s="13">
        <v>1</v>
      </c>
      <c r="B48" s="12" t="s">
        <v>2289</v>
      </c>
      <c r="C48" s="13" t="s">
        <v>874</v>
      </c>
      <c r="D48" s="174">
        <v>686</v>
      </c>
      <c r="E48" s="336">
        <v>0.88</v>
      </c>
      <c r="F48" s="20">
        <f>ROUND(E48*D48,0)</f>
        <v>604</v>
      </c>
      <c r="G48" s="20">
        <f>+F48</f>
        <v>604</v>
      </c>
      <c r="H48" s="596"/>
      <c r="I48" s="736"/>
    </row>
    <row r="49" spans="1:9" ht="18" customHeight="1">
      <c r="A49" s="13">
        <v>2</v>
      </c>
      <c r="B49" s="803" t="s">
        <v>2290</v>
      </c>
      <c r="C49" s="13" t="s">
        <v>903</v>
      </c>
      <c r="D49" s="174">
        <v>68</v>
      </c>
      <c r="E49" s="336">
        <v>17.690000000000001</v>
      </c>
      <c r="F49" s="20">
        <f t="shared" ref="F49:F51" si="17">ROUND(E49*D49,0)</f>
        <v>1203</v>
      </c>
      <c r="G49" s="20">
        <f t="shared" ref="G49:G50" si="18">+F49</f>
        <v>1203</v>
      </c>
      <c r="H49" s="596"/>
      <c r="I49" s="736"/>
    </row>
    <row r="50" spans="1:9" ht="18" customHeight="1">
      <c r="A50" s="13">
        <v>3</v>
      </c>
      <c r="B50" s="669" t="s">
        <v>2291</v>
      </c>
      <c r="C50" s="13" t="s">
        <v>876</v>
      </c>
      <c r="D50" s="174">
        <v>686</v>
      </c>
      <c r="E50" s="336">
        <v>0.09</v>
      </c>
      <c r="F50" s="20">
        <f t="shared" si="17"/>
        <v>62</v>
      </c>
      <c r="G50" s="20">
        <f t="shared" si="18"/>
        <v>62</v>
      </c>
      <c r="H50" s="596"/>
      <c r="I50" s="736"/>
    </row>
    <row r="51" spans="1:9" ht="26">
      <c r="A51" s="41">
        <v>4</v>
      </c>
      <c r="B51" s="809" t="s">
        <v>2288</v>
      </c>
      <c r="C51" s="41" t="s">
        <v>1720</v>
      </c>
      <c r="D51" s="757">
        <v>6</v>
      </c>
      <c r="E51" s="810">
        <v>884.65</v>
      </c>
      <c r="F51" s="706">
        <f t="shared" si="17"/>
        <v>5308</v>
      </c>
      <c r="G51" s="706">
        <f>F51-H51</f>
        <v>4951</v>
      </c>
      <c r="H51" s="597">
        <f>ROUND(F47*0.05,0)-2</f>
        <v>357</v>
      </c>
      <c r="I51" s="811"/>
    </row>
    <row r="53" spans="1:9" ht="15.75" customHeight="1">
      <c r="A53" s="1829" t="s">
        <v>2506</v>
      </c>
      <c r="B53" s="1819"/>
      <c r="C53" s="1819"/>
      <c r="D53" s="1819"/>
      <c r="E53" s="1819"/>
      <c r="F53" s="1819"/>
      <c r="G53" s="1819"/>
      <c r="H53" s="1847"/>
      <c r="I53" s="1819"/>
    </row>
    <row r="54" spans="1:9" ht="27.75" customHeight="1">
      <c r="A54" s="1817"/>
      <c r="B54" s="1817"/>
      <c r="C54" s="1817"/>
      <c r="D54" s="1817"/>
      <c r="E54" s="1817"/>
      <c r="F54" s="1817"/>
      <c r="G54" s="1817"/>
      <c r="H54" s="1848"/>
      <c r="I54" s="1817"/>
    </row>
    <row r="55" spans="1:9" ht="63.75" customHeight="1">
      <c r="A55" s="1845"/>
      <c r="B55" s="1845"/>
      <c r="C55" s="1845"/>
      <c r="D55" s="1845"/>
      <c r="E55" s="1845"/>
      <c r="F55" s="1845"/>
      <c r="G55" s="1845"/>
      <c r="H55" s="1846"/>
      <c r="I55" s="7"/>
    </row>
  </sheetData>
  <autoFilter ref="A6:I51">
    <filterColumn colId="8">
      <filters blank="1"/>
    </filterColumn>
  </autoFilter>
  <mergeCells count="15">
    <mergeCell ref="F3:I3"/>
    <mergeCell ref="A1:B1"/>
    <mergeCell ref="G1:I1"/>
    <mergeCell ref="A2:I2"/>
    <mergeCell ref="A55:H55"/>
    <mergeCell ref="A4:A5"/>
    <mergeCell ref="B4:B5"/>
    <mergeCell ref="C4:C5"/>
    <mergeCell ref="D4:D5"/>
    <mergeCell ref="E4:E5"/>
    <mergeCell ref="F4:F5"/>
    <mergeCell ref="A53:I53"/>
    <mergeCell ref="A54:I54"/>
    <mergeCell ref="G4:G5"/>
    <mergeCell ref="I4:I5"/>
  </mergeCells>
  <pageMargins left="0.5" right="0.2" top="0.5" bottom="0.5" header="0.3" footer="0.3"/>
  <pageSetup paperSize="9" scale="80" orientation="portrait" r:id="rId1"/>
  <headerFooter>
    <oddFooter>&amp;C&amp;8&amp;P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0070C0"/>
  </sheetPr>
  <dimension ref="A1:I48"/>
  <sheetViews>
    <sheetView topLeftCell="A25" workbookViewId="0">
      <selection activeCell="A48" sqref="A48:I48"/>
    </sheetView>
  </sheetViews>
  <sheetFormatPr defaultColWidth="9.08203125" defaultRowHeight="13"/>
  <cols>
    <col min="1" max="1" width="5.33203125" style="656" customWidth="1"/>
    <col min="2" max="2" width="62" style="656" customWidth="1"/>
    <col min="3" max="3" width="7" style="656" customWidth="1"/>
    <col min="4" max="4" width="6" style="656" customWidth="1"/>
    <col min="5" max="5" width="7.9140625" style="813" customWidth="1"/>
    <col min="6" max="6" width="8.4140625" style="813" customWidth="1"/>
    <col min="7" max="7" width="8.6640625" style="656" customWidth="1"/>
    <col min="8" max="8" width="8.6640625" style="376" hidden="1" customWidth="1"/>
    <col min="9" max="9" width="7.08203125" style="656" customWidth="1"/>
    <col min="10" max="16384" width="9.08203125" style="656"/>
  </cols>
  <sheetData>
    <row r="1" spans="1:9" ht="18" customHeight="1">
      <c r="A1" s="812"/>
      <c r="G1" s="1851" t="s">
        <v>2084</v>
      </c>
      <c r="H1" s="1852"/>
      <c r="I1" s="1851"/>
    </row>
    <row r="2" spans="1:9" s="80" customFormat="1" ht="30" customHeight="1">
      <c r="A2" s="1714" t="s">
        <v>2086</v>
      </c>
      <c r="B2" s="1714"/>
      <c r="C2" s="1714"/>
      <c r="D2" s="1714"/>
      <c r="E2" s="1714"/>
      <c r="F2" s="1714"/>
      <c r="G2" s="1714"/>
      <c r="H2" s="1853"/>
      <c r="I2" s="1714"/>
    </row>
    <row r="3" spans="1:9" s="80" customFormat="1" ht="18" customHeight="1">
      <c r="A3" s="1714" t="s">
        <v>1889</v>
      </c>
      <c r="B3" s="1714"/>
      <c r="C3" s="1714"/>
      <c r="D3" s="1714"/>
      <c r="E3" s="1714"/>
      <c r="F3" s="1714"/>
      <c r="G3" s="1714"/>
      <c r="H3" s="1853"/>
      <c r="I3" s="1714"/>
    </row>
    <row r="4" spans="1:9" s="80" customFormat="1" ht="18" customHeight="1">
      <c r="A4" s="733"/>
      <c r="B4" s="733"/>
      <c r="C4" s="733"/>
      <c r="D4" s="733"/>
      <c r="E4" s="733"/>
      <c r="F4" s="1854" t="s">
        <v>3</v>
      </c>
      <c r="G4" s="1854"/>
      <c r="H4" s="1855"/>
      <c r="I4" s="1854"/>
    </row>
    <row r="5" spans="1:9" s="80" customFormat="1" ht="21" customHeight="1">
      <c r="A5" s="1858" t="s">
        <v>4</v>
      </c>
      <c r="B5" s="1858" t="s">
        <v>904</v>
      </c>
      <c r="C5" s="1778" t="s">
        <v>737</v>
      </c>
      <c r="D5" s="1778" t="s">
        <v>897</v>
      </c>
      <c r="E5" s="1778" t="s">
        <v>739</v>
      </c>
      <c r="F5" s="1778" t="s">
        <v>727</v>
      </c>
      <c r="G5" s="1778" t="s">
        <v>1600</v>
      </c>
      <c r="H5" s="370"/>
      <c r="I5" s="1778" t="s">
        <v>33</v>
      </c>
    </row>
    <row r="6" spans="1:9" s="80" customFormat="1" ht="21" customHeight="1">
      <c r="A6" s="1858"/>
      <c r="B6" s="1858"/>
      <c r="C6" s="1778"/>
      <c r="D6" s="1778"/>
      <c r="E6" s="1778"/>
      <c r="F6" s="1778"/>
      <c r="G6" s="1778"/>
      <c r="H6" s="371" t="s">
        <v>898</v>
      </c>
      <c r="I6" s="1778"/>
    </row>
    <row r="7" spans="1:9" s="821" customFormat="1" ht="18" customHeight="1">
      <c r="A7" s="814">
        <v>1</v>
      </c>
      <c r="B7" s="814">
        <v>2</v>
      </c>
      <c r="C7" s="462">
        <v>3</v>
      </c>
      <c r="D7" s="462">
        <v>4</v>
      </c>
      <c r="E7" s="462">
        <v>5</v>
      </c>
      <c r="F7" s="462">
        <v>6</v>
      </c>
      <c r="G7" s="462">
        <v>7</v>
      </c>
      <c r="H7" s="372"/>
      <c r="I7" s="462">
        <v>8</v>
      </c>
    </row>
    <row r="8" spans="1:9" s="80" customFormat="1" ht="18" customHeight="1">
      <c r="A8" s="815"/>
      <c r="B8" s="728" t="s">
        <v>741</v>
      </c>
      <c r="C8" s="46"/>
      <c r="D8" s="816"/>
      <c r="E8" s="817"/>
      <c r="F8" s="21">
        <v>23524</v>
      </c>
      <c r="G8" s="21">
        <v>22349</v>
      </c>
      <c r="H8" s="357">
        <v>1175</v>
      </c>
      <c r="I8" s="822"/>
    </row>
    <row r="9" spans="1:9" s="7" customFormat="1" ht="18" customHeight="1">
      <c r="A9" s="26" t="s">
        <v>37</v>
      </c>
      <c r="B9" s="55" t="s">
        <v>733</v>
      </c>
      <c r="C9" s="26"/>
      <c r="D9" s="34">
        <f>D10</f>
        <v>0</v>
      </c>
      <c r="E9" s="440"/>
      <c r="F9" s="20">
        <v>189</v>
      </c>
      <c r="G9" s="20">
        <v>180</v>
      </c>
      <c r="H9" s="179">
        <v>9</v>
      </c>
      <c r="I9" s="25"/>
    </row>
    <row r="10" spans="1:9" s="80" customFormat="1" ht="18" customHeight="1">
      <c r="A10" s="664">
        <v>1</v>
      </c>
      <c r="B10" s="818" t="s">
        <v>886</v>
      </c>
      <c r="C10" s="819"/>
      <c r="D10" s="34">
        <f>D11</f>
        <v>0</v>
      </c>
      <c r="E10" s="440"/>
      <c r="F10" s="21">
        <v>189</v>
      </c>
      <c r="G10" s="21">
        <v>180</v>
      </c>
      <c r="H10" s="357">
        <v>9</v>
      </c>
      <c r="I10" s="822"/>
    </row>
    <row r="11" spans="1:9" s="80" customFormat="1" ht="18" customHeight="1">
      <c r="A11" s="820" t="s">
        <v>701</v>
      </c>
      <c r="B11" s="12" t="s">
        <v>905</v>
      </c>
      <c r="C11" s="13"/>
      <c r="D11" s="174"/>
      <c r="E11" s="336">
        <f>E12</f>
        <v>62.9</v>
      </c>
      <c r="F11" s="20">
        <v>189</v>
      </c>
      <c r="G11" s="20">
        <v>180</v>
      </c>
      <c r="H11" s="179">
        <v>9</v>
      </c>
      <c r="I11" s="822"/>
    </row>
    <row r="12" spans="1:9" s="374" customFormat="1" ht="26" hidden="1">
      <c r="A12" s="375"/>
      <c r="B12" s="185" t="s">
        <v>906</v>
      </c>
      <c r="C12" s="184" t="s">
        <v>903</v>
      </c>
      <c r="D12" s="303">
        <v>3</v>
      </c>
      <c r="E12" s="343">
        <v>62.9</v>
      </c>
      <c r="F12" s="201">
        <v>189</v>
      </c>
      <c r="G12" s="201">
        <v>180</v>
      </c>
      <c r="H12" s="179">
        <f t="shared" ref="H12" si="0">F12-G12</f>
        <v>9</v>
      </c>
      <c r="I12" s="473" t="s">
        <v>1774</v>
      </c>
    </row>
    <row r="13" spans="1:9" s="7" customFormat="1" ht="18" customHeight="1">
      <c r="A13" s="26" t="s">
        <v>38</v>
      </c>
      <c r="B13" s="55" t="s">
        <v>736</v>
      </c>
      <c r="C13" s="26"/>
      <c r="D13" s="752"/>
      <c r="E13" s="823"/>
      <c r="F13" s="21">
        <f>F14+F18+F22+F30+F34+F38+F42+F26</f>
        <v>23335</v>
      </c>
      <c r="G13" s="21">
        <f t="shared" ref="G13" si="1">G14+G18+G22+G30+G34+G38+G42+G26</f>
        <v>22169</v>
      </c>
      <c r="H13" s="357">
        <f>H14+H18+H22+H30+H34+H38+H42+H26</f>
        <v>1166</v>
      </c>
      <c r="I13" s="25"/>
    </row>
    <row r="14" spans="1:9" s="80" customFormat="1" ht="18" customHeight="1">
      <c r="A14" s="664">
        <v>1</v>
      </c>
      <c r="B14" s="55" t="s">
        <v>25</v>
      </c>
      <c r="C14" s="26"/>
      <c r="D14" s="34"/>
      <c r="E14" s="440"/>
      <c r="F14" s="21">
        <v>1541</v>
      </c>
      <c r="G14" s="21">
        <v>1464</v>
      </c>
      <c r="H14" s="357">
        <v>77</v>
      </c>
      <c r="I14" s="822"/>
    </row>
    <row r="15" spans="1:9" s="80" customFormat="1" ht="18" customHeight="1">
      <c r="A15" s="691" t="s">
        <v>742</v>
      </c>
      <c r="B15" s="12" t="s">
        <v>905</v>
      </c>
      <c r="C15" s="13"/>
      <c r="D15" s="174"/>
      <c r="E15" s="336"/>
      <c r="F15" s="20">
        <v>418</v>
      </c>
      <c r="G15" s="20">
        <v>397</v>
      </c>
      <c r="H15" s="179">
        <v>21</v>
      </c>
      <c r="I15" s="822"/>
    </row>
    <row r="16" spans="1:9" s="369" customFormat="1" hidden="1">
      <c r="A16" s="320"/>
      <c r="B16" s="298" t="s">
        <v>907</v>
      </c>
      <c r="C16" s="198" t="s">
        <v>903</v>
      </c>
      <c r="D16" s="303">
        <v>5</v>
      </c>
      <c r="E16" s="343">
        <v>83.6</v>
      </c>
      <c r="F16" s="201">
        <v>418</v>
      </c>
      <c r="G16" s="201">
        <v>397</v>
      </c>
      <c r="H16" s="179">
        <v>21</v>
      </c>
      <c r="I16" s="473" t="s">
        <v>1774</v>
      </c>
    </row>
    <row r="17" spans="1:9" s="369" customFormat="1" hidden="1">
      <c r="A17" s="320"/>
      <c r="B17" s="298" t="s">
        <v>908</v>
      </c>
      <c r="C17" s="198" t="s">
        <v>903</v>
      </c>
      <c r="D17" s="303">
        <v>2</v>
      </c>
      <c r="E17" s="343">
        <v>561.58799999999997</v>
      </c>
      <c r="F17" s="201">
        <v>1123</v>
      </c>
      <c r="G17" s="201">
        <v>1067</v>
      </c>
      <c r="H17" s="179">
        <v>56</v>
      </c>
      <c r="I17" s="473" t="s">
        <v>1774</v>
      </c>
    </row>
    <row r="18" spans="1:9" s="80" customFormat="1" ht="18" customHeight="1">
      <c r="A18" s="664">
        <v>2</v>
      </c>
      <c r="B18" s="55" t="s">
        <v>23</v>
      </c>
      <c r="C18" s="26"/>
      <c r="D18" s="34"/>
      <c r="E18" s="440"/>
      <c r="F18" s="21">
        <f>F19+F21</f>
        <v>2642</v>
      </c>
      <c r="G18" s="21">
        <f t="shared" ref="G18:H18" si="2">G19+G21</f>
        <v>2510</v>
      </c>
      <c r="H18" s="357">
        <f t="shared" si="2"/>
        <v>132</v>
      </c>
      <c r="I18" s="824"/>
    </row>
    <row r="19" spans="1:9" s="80" customFormat="1" ht="18" customHeight="1">
      <c r="A19" s="691" t="s">
        <v>742</v>
      </c>
      <c r="B19" s="12" t="s">
        <v>905</v>
      </c>
      <c r="C19" s="13"/>
      <c r="D19" s="174"/>
      <c r="E19" s="336"/>
      <c r="F19" s="20">
        <v>836</v>
      </c>
      <c r="G19" s="20">
        <v>794</v>
      </c>
      <c r="H19" s="179">
        <v>42</v>
      </c>
      <c r="I19" s="824"/>
    </row>
    <row r="20" spans="1:9" s="369" customFormat="1" hidden="1">
      <c r="A20" s="320"/>
      <c r="B20" s="298" t="s">
        <v>907</v>
      </c>
      <c r="C20" s="198" t="s">
        <v>903</v>
      </c>
      <c r="D20" s="303">
        <v>10</v>
      </c>
      <c r="E20" s="343">
        <v>83.6</v>
      </c>
      <c r="F20" s="201">
        <v>836</v>
      </c>
      <c r="G20" s="201">
        <v>794</v>
      </c>
      <c r="H20" s="179">
        <v>42</v>
      </c>
      <c r="I20" s="473" t="s">
        <v>1774</v>
      </c>
    </row>
    <row r="21" spans="1:9" s="80" customFormat="1">
      <c r="A21" s="691" t="s">
        <v>742</v>
      </c>
      <c r="B21" s="12" t="s">
        <v>908</v>
      </c>
      <c r="C21" s="13" t="s">
        <v>903</v>
      </c>
      <c r="D21" s="174">
        <v>3</v>
      </c>
      <c r="E21" s="336">
        <v>602.08799999999997</v>
      </c>
      <c r="F21" s="20">
        <v>1806</v>
      </c>
      <c r="G21" s="20">
        <v>1716</v>
      </c>
      <c r="H21" s="179">
        <v>90</v>
      </c>
      <c r="I21" s="822"/>
    </row>
    <row r="22" spans="1:9" s="80" customFormat="1" ht="18" customHeight="1">
      <c r="A22" s="664">
        <v>3</v>
      </c>
      <c r="B22" s="55" t="s">
        <v>21</v>
      </c>
      <c r="C22" s="26"/>
      <c r="D22" s="34"/>
      <c r="E22" s="440"/>
      <c r="F22" s="21">
        <v>2201</v>
      </c>
      <c r="G22" s="21">
        <v>2091</v>
      </c>
      <c r="H22" s="357">
        <v>110</v>
      </c>
      <c r="I22" s="822"/>
    </row>
    <row r="23" spans="1:9" s="80" customFormat="1" ht="18" customHeight="1">
      <c r="A23" s="691" t="s">
        <v>742</v>
      </c>
      <c r="B23" s="12" t="s">
        <v>905</v>
      </c>
      <c r="C23" s="13"/>
      <c r="D23" s="174"/>
      <c r="E23" s="336"/>
      <c r="F23" s="20">
        <v>920</v>
      </c>
      <c r="G23" s="20">
        <v>874</v>
      </c>
      <c r="H23" s="179">
        <v>46</v>
      </c>
      <c r="I23" s="822"/>
    </row>
    <row r="24" spans="1:9" s="369" customFormat="1" hidden="1">
      <c r="A24" s="320"/>
      <c r="B24" s="298" t="s">
        <v>907</v>
      </c>
      <c r="C24" s="198" t="s">
        <v>903</v>
      </c>
      <c r="D24" s="303">
        <v>11</v>
      </c>
      <c r="E24" s="343">
        <v>83.6</v>
      </c>
      <c r="F24" s="201">
        <v>920</v>
      </c>
      <c r="G24" s="201">
        <v>874</v>
      </c>
      <c r="H24" s="179">
        <v>46</v>
      </c>
      <c r="I24" s="473" t="s">
        <v>1774</v>
      </c>
    </row>
    <row r="25" spans="1:9" s="80" customFormat="1">
      <c r="A25" s="691" t="s">
        <v>742</v>
      </c>
      <c r="B25" s="12" t="s">
        <v>908</v>
      </c>
      <c r="C25" s="13" t="s">
        <v>903</v>
      </c>
      <c r="D25" s="174">
        <v>2</v>
      </c>
      <c r="E25" s="336">
        <v>640.5</v>
      </c>
      <c r="F25" s="20">
        <v>1281</v>
      </c>
      <c r="G25" s="20">
        <v>1217</v>
      </c>
      <c r="H25" s="179">
        <v>64</v>
      </c>
      <c r="I25" s="822"/>
    </row>
    <row r="26" spans="1:9" s="80" customFormat="1" ht="18" customHeight="1">
      <c r="A26" s="664">
        <v>4</v>
      </c>
      <c r="B26" s="55" t="s">
        <v>19</v>
      </c>
      <c r="C26" s="26"/>
      <c r="D26" s="34"/>
      <c r="E26" s="440"/>
      <c r="F26" s="21">
        <v>2862</v>
      </c>
      <c r="G26" s="21">
        <v>2719</v>
      </c>
      <c r="H26" s="357">
        <v>143</v>
      </c>
      <c r="I26" s="822"/>
    </row>
    <row r="27" spans="1:9" s="80" customFormat="1" ht="18" customHeight="1">
      <c r="A27" s="691" t="s">
        <v>742</v>
      </c>
      <c r="B27" s="12" t="s">
        <v>905</v>
      </c>
      <c r="C27" s="13"/>
      <c r="D27" s="174"/>
      <c r="E27" s="336"/>
      <c r="F27" s="20">
        <v>669</v>
      </c>
      <c r="G27" s="20">
        <v>636</v>
      </c>
      <c r="H27" s="179">
        <v>33</v>
      </c>
      <c r="I27" s="822"/>
    </row>
    <row r="28" spans="1:9" s="369" customFormat="1" hidden="1">
      <c r="A28" s="320"/>
      <c r="B28" s="298" t="s">
        <v>907</v>
      </c>
      <c r="C28" s="198" t="s">
        <v>903</v>
      </c>
      <c r="D28" s="303">
        <v>8</v>
      </c>
      <c r="E28" s="343">
        <v>83.6</v>
      </c>
      <c r="F28" s="201">
        <v>669</v>
      </c>
      <c r="G28" s="201">
        <v>636</v>
      </c>
      <c r="H28" s="179">
        <v>33</v>
      </c>
      <c r="I28" s="473" t="s">
        <v>1774</v>
      </c>
    </row>
    <row r="29" spans="1:9" s="80" customFormat="1">
      <c r="A29" s="691" t="s">
        <v>742</v>
      </c>
      <c r="B29" s="12" t="s">
        <v>908</v>
      </c>
      <c r="C29" s="13" t="s">
        <v>903</v>
      </c>
      <c r="D29" s="174">
        <v>4</v>
      </c>
      <c r="E29" s="336">
        <v>548.28800000000001</v>
      </c>
      <c r="F29" s="20">
        <v>2193</v>
      </c>
      <c r="G29" s="20">
        <v>2083</v>
      </c>
      <c r="H29" s="179">
        <v>110</v>
      </c>
      <c r="I29" s="822"/>
    </row>
    <row r="30" spans="1:9" s="80" customFormat="1" ht="18" customHeight="1">
      <c r="A30" s="664">
        <v>5</v>
      </c>
      <c r="B30" s="55" t="s">
        <v>17</v>
      </c>
      <c r="C30" s="26"/>
      <c r="D30" s="34"/>
      <c r="E30" s="440"/>
      <c r="F30" s="21">
        <v>3742</v>
      </c>
      <c r="G30" s="21">
        <v>3555</v>
      </c>
      <c r="H30" s="357">
        <v>187</v>
      </c>
      <c r="I30" s="822"/>
    </row>
    <row r="31" spans="1:9" s="80" customFormat="1" ht="18" customHeight="1">
      <c r="A31" s="691" t="s">
        <v>742</v>
      </c>
      <c r="B31" s="12" t="s">
        <v>905</v>
      </c>
      <c r="C31" s="13"/>
      <c r="D31" s="174"/>
      <c r="E31" s="336"/>
      <c r="F31" s="20">
        <v>585</v>
      </c>
      <c r="G31" s="20">
        <v>556</v>
      </c>
      <c r="H31" s="179">
        <v>29</v>
      </c>
      <c r="I31" s="822"/>
    </row>
    <row r="32" spans="1:9" s="369" customFormat="1" hidden="1">
      <c r="A32" s="320"/>
      <c r="B32" s="298" t="s">
        <v>907</v>
      </c>
      <c r="C32" s="198" t="s">
        <v>903</v>
      </c>
      <c r="D32" s="303">
        <v>7</v>
      </c>
      <c r="E32" s="343">
        <v>83.6</v>
      </c>
      <c r="F32" s="201">
        <v>585</v>
      </c>
      <c r="G32" s="201">
        <v>556</v>
      </c>
      <c r="H32" s="179">
        <v>29</v>
      </c>
      <c r="I32" s="473" t="s">
        <v>1774</v>
      </c>
    </row>
    <row r="33" spans="1:9" s="80" customFormat="1">
      <c r="A33" s="691" t="s">
        <v>742</v>
      </c>
      <c r="B33" s="12" t="s">
        <v>908</v>
      </c>
      <c r="C33" s="13" t="s">
        <v>903</v>
      </c>
      <c r="D33" s="174">
        <v>6</v>
      </c>
      <c r="E33" s="336">
        <v>526.18799999999999</v>
      </c>
      <c r="F33" s="20">
        <v>3157</v>
      </c>
      <c r="G33" s="20">
        <v>2999</v>
      </c>
      <c r="H33" s="179">
        <v>158</v>
      </c>
      <c r="I33" s="822"/>
    </row>
    <row r="34" spans="1:9" s="80" customFormat="1" ht="18" customHeight="1">
      <c r="A34" s="664">
        <v>6</v>
      </c>
      <c r="B34" s="55" t="s">
        <v>15</v>
      </c>
      <c r="C34" s="26"/>
      <c r="D34" s="34"/>
      <c r="E34" s="440"/>
      <c r="F34" s="21">
        <v>4843</v>
      </c>
      <c r="G34" s="21">
        <v>4601</v>
      </c>
      <c r="H34" s="357">
        <v>242</v>
      </c>
      <c r="I34" s="822"/>
    </row>
    <row r="35" spans="1:9" s="80" customFormat="1" ht="18" customHeight="1">
      <c r="A35" s="691" t="s">
        <v>742</v>
      </c>
      <c r="B35" s="12" t="s">
        <v>905</v>
      </c>
      <c r="C35" s="13"/>
      <c r="D35" s="174"/>
      <c r="E35" s="336"/>
      <c r="F35" s="20">
        <v>1003</v>
      </c>
      <c r="G35" s="20">
        <v>953</v>
      </c>
      <c r="H35" s="179">
        <v>50</v>
      </c>
      <c r="I35" s="822"/>
    </row>
    <row r="36" spans="1:9" s="369" customFormat="1" hidden="1">
      <c r="A36" s="320"/>
      <c r="B36" s="298" t="s">
        <v>907</v>
      </c>
      <c r="C36" s="198" t="s">
        <v>903</v>
      </c>
      <c r="D36" s="303">
        <v>12</v>
      </c>
      <c r="E36" s="343">
        <v>83.6</v>
      </c>
      <c r="F36" s="201">
        <v>1003</v>
      </c>
      <c r="G36" s="201">
        <v>953</v>
      </c>
      <c r="H36" s="179">
        <v>50</v>
      </c>
      <c r="I36" s="473" t="s">
        <v>1774</v>
      </c>
    </row>
    <row r="37" spans="1:9" s="80" customFormat="1">
      <c r="A37" s="691" t="s">
        <v>742</v>
      </c>
      <c r="B37" s="12" t="s">
        <v>908</v>
      </c>
      <c r="C37" s="13" t="s">
        <v>903</v>
      </c>
      <c r="D37" s="174">
        <v>7</v>
      </c>
      <c r="E37" s="336">
        <v>548.58799999999997</v>
      </c>
      <c r="F37" s="20">
        <v>3840</v>
      </c>
      <c r="G37" s="20">
        <v>3648</v>
      </c>
      <c r="H37" s="179">
        <v>192</v>
      </c>
      <c r="I37" s="822"/>
    </row>
    <row r="38" spans="1:9" s="80" customFormat="1" ht="18" customHeight="1">
      <c r="A38" s="664">
        <v>7</v>
      </c>
      <c r="B38" s="55" t="s">
        <v>13</v>
      </c>
      <c r="C38" s="26"/>
      <c r="D38" s="34"/>
      <c r="E38" s="440"/>
      <c r="F38" s="21">
        <v>2422</v>
      </c>
      <c r="G38" s="21">
        <v>2301</v>
      </c>
      <c r="H38" s="357">
        <v>121</v>
      </c>
      <c r="I38" s="825"/>
    </row>
    <row r="39" spans="1:9" s="80" customFormat="1" ht="18" customHeight="1">
      <c r="A39" s="691" t="s">
        <v>742</v>
      </c>
      <c r="B39" s="12" t="s">
        <v>905</v>
      </c>
      <c r="C39" s="13"/>
      <c r="D39" s="174"/>
      <c r="E39" s="336"/>
      <c r="F39" s="20">
        <v>669</v>
      </c>
      <c r="G39" s="20">
        <v>636</v>
      </c>
      <c r="H39" s="179">
        <v>33</v>
      </c>
      <c r="I39" s="822"/>
    </row>
    <row r="40" spans="1:9" s="369" customFormat="1" hidden="1">
      <c r="A40" s="320"/>
      <c r="B40" s="298" t="s">
        <v>907</v>
      </c>
      <c r="C40" s="198" t="s">
        <v>903</v>
      </c>
      <c r="D40" s="303">
        <v>8</v>
      </c>
      <c r="E40" s="343">
        <v>83.6</v>
      </c>
      <c r="F40" s="201">
        <v>669</v>
      </c>
      <c r="G40" s="201">
        <v>636</v>
      </c>
      <c r="H40" s="179">
        <v>33</v>
      </c>
      <c r="I40" s="473" t="s">
        <v>1774</v>
      </c>
    </row>
    <row r="41" spans="1:9" s="80" customFormat="1">
      <c r="A41" s="691" t="s">
        <v>742</v>
      </c>
      <c r="B41" s="12" t="s">
        <v>908</v>
      </c>
      <c r="C41" s="13" t="s">
        <v>903</v>
      </c>
      <c r="D41" s="174">
        <v>3</v>
      </c>
      <c r="E41" s="336">
        <v>584.48800000000006</v>
      </c>
      <c r="F41" s="20">
        <v>1753</v>
      </c>
      <c r="G41" s="20">
        <v>1665</v>
      </c>
      <c r="H41" s="179">
        <v>88</v>
      </c>
      <c r="I41" s="822"/>
    </row>
    <row r="42" spans="1:9" s="80" customFormat="1" ht="18" customHeight="1">
      <c r="A42" s="664">
        <v>8</v>
      </c>
      <c r="B42" s="55" t="s">
        <v>11</v>
      </c>
      <c r="C42" s="26"/>
      <c r="D42" s="34"/>
      <c r="E42" s="440"/>
      <c r="F42" s="21">
        <v>3082</v>
      </c>
      <c r="G42" s="21">
        <v>2928</v>
      </c>
      <c r="H42" s="357">
        <v>154</v>
      </c>
      <c r="I42" s="822"/>
    </row>
    <row r="43" spans="1:9" s="80" customFormat="1" ht="18" customHeight="1">
      <c r="A43" s="691" t="s">
        <v>742</v>
      </c>
      <c r="B43" s="12" t="s">
        <v>905</v>
      </c>
      <c r="C43" s="13"/>
      <c r="D43" s="174"/>
      <c r="E43" s="336"/>
      <c r="F43" s="20">
        <v>836</v>
      </c>
      <c r="G43" s="20">
        <v>794</v>
      </c>
      <c r="H43" s="179">
        <v>42</v>
      </c>
      <c r="I43" s="822"/>
    </row>
    <row r="44" spans="1:9" s="369" customFormat="1" hidden="1">
      <c r="A44" s="320"/>
      <c r="B44" s="298" t="s">
        <v>907</v>
      </c>
      <c r="C44" s="198" t="s">
        <v>903</v>
      </c>
      <c r="D44" s="303">
        <v>10</v>
      </c>
      <c r="E44" s="343">
        <v>83.6</v>
      </c>
      <c r="F44" s="201">
        <v>836</v>
      </c>
      <c r="G44" s="201">
        <v>794</v>
      </c>
      <c r="H44" s="179">
        <v>42</v>
      </c>
      <c r="I44" s="473" t="s">
        <v>1774</v>
      </c>
    </row>
    <row r="45" spans="1:9" s="80" customFormat="1">
      <c r="A45" s="695" t="s">
        <v>742</v>
      </c>
      <c r="B45" s="705" t="s">
        <v>908</v>
      </c>
      <c r="C45" s="41" t="s">
        <v>903</v>
      </c>
      <c r="D45" s="757">
        <v>4</v>
      </c>
      <c r="E45" s="810">
        <v>561.48800000000006</v>
      </c>
      <c r="F45" s="706">
        <v>2246</v>
      </c>
      <c r="G45" s="706">
        <v>2134</v>
      </c>
      <c r="H45" s="366">
        <v>112</v>
      </c>
      <c r="I45" s="828"/>
    </row>
    <row r="46" spans="1:9" s="80" customFormat="1">
      <c r="A46" s="826"/>
      <c r="B46" s="7"/>
      <c r="C46" s="800"/>
      <c r="D46" s="800"/>
      <c r="E46" s="827"/>
      <c r="F46" s="800"/>
      <c r="G46" s="800"/>
      <c r="H46" s="355"/>
      <c r="I46" s="656"/>
    </row>
    <row r="47" spans="1:9" s="80" customFormat="1">
      <c r="A47" s="1857" t="s">
        <v>2486</v>
      </c>
      <c r="B47" s="1857"/>
      <c r="C47" s="800"/>
      <c r="D47" s="800"/>
      <c r="E47" s="827"/>
      <c r="F47" s="800"/>
      <c r="G47" s="800"/>
      <c r="H47" s="355"/>
      <c r="I47" s="656"/>
    </row>
    <row r="48" spans="1:9" ht="207.75" customHeight="1">
      <c r="A48" s="1801" t="s">
        <v>909</v>
      </c>
      <c r="B48" s="1801"/>
      <c r="C48" s="1801"/>
      <c r="D48" s="1801"/>
      <c r="E48" s="1801"/>
      <c r="F48" s="1801"/>
      <c r="G48" s="1801"/>
      <c r="H48" s="1856"/>
      <c r="I48" s="1801"/>
    </row>
  </sheetData>
  <autoFilter ref="A7:I45">
    <filterColumn colId="8">
      <filters blank="1"/>
    </filterColumn>
  </autoFilter>
  <mergeCells count="14">
    <mergeCell ref="A48:I48"/>
    <mergeCell ref="A47:B47"/>
    <mergeCell ref="G5:G6"/>
    <mergeCell ref="A5:A6"/>
    <mergeCell ref="B5:B6"/>
    <mergeCell ref="C5:C6"/>
    <mergeCell ref="D5:D6"/>
    <mergeCell ref="E5:E6"/>
    <mergeCell ref="F5:F6"/>
    <mergeCell ref="G1:I1"/>
    <mergeCell ref="A2:I2"/>
    <mergeCell ref="A3:I3"/>
    <mergeCell ref="F4:I4"/>
    <mergeCell ref="I5:I6"/>
  </mergeCells>
  <pageMargins left="0.5" right="0.2" top="0.5" bottom="0.5" header="0.3" footer="0.3"/>
  <pageSetup paperSize="9" scale="85"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Q15"/>
  <sheetViews>
    <sheetView workbookViewId="0">
      <selection activeCell="D13" sqref="D13"/>
    </sheetView>
  </sheetViews>
  <sheetFormatPr defaultColWidth="9" defaultRowHeight="14"/>
  <cols>
    <col min="1" max="1" width="6.4140625" style="837" customWidth="1"/>
    <col min="2" max="2" width="27.6640625" style="837" customWidth="1"/>
    <col min="3" max="3" width="14.33203125" style="837" customWidth="1"/>
    <col min="4" max="4" width="9.9140625" style="855" customWidth="1"/>
    <col min="5" max="5" width="10.33203125" style="837" customWidth="1"/>
    <col min="6" max="6" width="10.6640625" style="837" customWidth="1"/>
    <col min="7" max="7" width="10.4140625" style="837" customWidth="1"/>
    <col min="8" max="8" width="12.4140625" style="856" hidden="1" customWidth="1"/>
    <col min="9" max="9" width="8.4140625" style="837" customWidth="1"/>
    <col min="10" max="10" width="9" style="837"/>
    <col min="11" max="11" width="10.9140625" style="837" bestFit="1" customWidth="1"/>
    <col min="12" max="16384" width="9" style="837"/>
  </cols>
  <sheetData>
    <row r="1" spans="1:17" s="830" customFormat="1" ht="18" customHeight="1">
      <c r="A1" s="829"/>
      <c r="E1" s="831"/>
      <c r="F1" s="831"/>
      <c r="G1" s="1861" t="s">
        <v>2085</v>
      </c>
      <c r="H1" s="1861"/>
      <c r="I1" s="1861"/>
      <c r="J1" s="832"/>
      <c r="K1" s="832"/>
    </row>
    <row r="2" spans="1:17" s="834" customFormat="1" ht="30" customHeight="1">
      <c r="A2" s="1715" t="s">
        <v>2086</v>
      </c>
      <c r="B2" s="1715"/>
      <c r="C2" s="1715"/>
      <c r="D2" s="1715"/>
      <c r="E2" s="1715"/>
      <c r="F2" s="1715"/>
      <c r="G2" s="1715"/>
      <c r="H2" s="1715"/>
      <c r="I2" s="1715"/>
      <c r="J2" s="833"/>
      <c r="K2" s="833"/>
    </row>
    <row r="3" spans="1:17" s="834" customFormat="1" ht="18" customHeight="1">
      <c r="A3" s="1715" t="s">
        <v>1881</v>
      </c>
      <c r="B3" s="1715"/>
      <c r="C3" s="1715"/>
      <c r="D3" s="1715"/>
      <c r="E3" s="1715"/>
      <c r="F3" s="1715"/>
      <c r="G3" s="1715"/>
      <c r="H3" s="1715"/>
      <c r="I3" s="1715"/>
      <c r="J3" s="833"/>
      <c r="K3" s="833"/>
    </row>
    <row r="4" spans="1:17" s="7" customFormat="1" ht="18" customHeight="1">
      <c r="A4" s="91"/>
      <c r="B4" s="91"/>
      <c r="C4" s="91"/>
      <c r="D4" s="91"/>
      <c r="E4" s="91"/>
      <c r="F4" s="1860" t="s">
        <v>3</v>
      </c>
      <c r="G4" s="1860"/>
      <c r="H4" s="1860"/>
      <c r="I4" s="1860"/>
      <c r="J4" s="835"/>
      <c r="K4" s="835"/>
      <c r="L4" s="91"/>
      <c r="M4" s="91"/>
      <c r="N4" s="91"/>
      <c r="O4" s="91"/>
      <c r="P4" s="91"/>
      <c r="Q4" s="91"/>
    </row>
    <row r="5" spans="1:17" ht="21" customHeight="1">
      <c r="A5" s="1778" t="s">
        <v>4</v>
      </c>
      <c r="B5" s="1778" t="s">
        <v>904</v>
      </c>
      <c r="C5" s="1778" t="s">
        <v>737</v>
      </c>
      <c r="D5" s="1778" t="s">
        <v>897</v>
      </c>
      <c r="E5" s="1778" t="s">
        <v>739</v>
      </c>
      <c r="F5" s="1778" t="s">
        <v>727</v>
      </c>
      <c r="G5" s="1778" t="s">
        <v>1600</v>
      </c>
      <c r="H5" s="836"/>
      <c r="I5" s="1721" t="s">
        <v>33</v>
      </c>
    </row>
    <row r="6" spans="1:17" ht="21" customHeight="1">
      <c r="A6" s="1778"/>
      <c r="B6" s="1778"/>
      <c r="C6" s="1778"/>
      <c r="D6" s="1778"/>
      <c r="E6" s="1778"/>
      <c r="F6" s="1778"/>
      <c r="G6" s="1778"/>
      <c r="H6" s="104" t="s">
        <v>898</v>
      </c>
      <c r="I6" s="1723"/>
    </row>
    <row r="7" spans="1:17" s="838" customFormat="1" ht="21" customHeight="1">
      <c r="A7" s="462">
        <v>1</v>
      </c>
      <c r="B7" s="462">
        <v>2</v>
      </c>
      <c r="C7" s="462">
        <v>3</v>
      </c>
      <c r="D7" s="462">
        <v>4</v>
      </c>
      <c r="E7" s="462">
        <v>5</v>
      </c>
      <c r="F7" s="462">
        <v>6</v>
      </c>
      <c r="G7" s="462">
        <v>7</v>
      </c>
      <c r="H7" s="312"/>
      <c r="I7" s="462">
        <v>8</v>
      </c>
    </row>
    <row r="8" spans="1:17" ht="30" customHeight="1">
      <c r="A8" s="728" t="s">
        <v>8</v>
      </c>
      <c r="B8" s="46" t="s">
        <v>1882</v>
      </c>
      <c r="C8" s="728"/>
      <c r="D8" s="728"/>
      <c r="E8" s="440"/>
      <c r="F8" s="21">
        <f>+F9</f>
        <v>20050</v>
      </c>
      <c r="G8" s="21">
        <f t="shared" ref="G8:H8" si="0">+G9</f>
        <v>19072</v>
      </c>
      <c r="H8" s="839">
        <f t="shared" si="0"/>
        <v>978</v>
      </c>
      <c r="I8" s="728"/>
    </row>
    <row r="9" spans="1:17" s="849" customFormat="1" ht="21" customHeight="1">
      <c r="A9" s="840">
        <v>1</v>
      </c>
      <c r="B9" s="841" t="s">
        <v>1883</v>
      </c>
      <c r="C9" s="842"/>
      <c r="D9" s="843">
        <f>SUM(D10:D13)</f>
        <v>386</v>
      </c>
      <c r="E9" s="844"/>
      <c r="F9" s="391">
        <f>SUM(F10:F13)</f>
        <v>20050</v>
      </c>
      <c r="G9" s="391">
        <f>SUM(G10:G13)</f>
        <v>19072</v>
      </c>
      <c r="H9" s="845">
        <f>SUM(H10:H13)</f>
        <v>978</v>
      </c>
      <c r="I9" s="846"/>
      <c r="J9" s="847">
        <f>H9/F9*100</f>
        <v>4.8778054862842897</v>
      </c>
      <c r="K9" s="848"/>
    </row>
    <row r="10" spans="1:17" ht="21" customHeight="1">
      <c r="A10" s="52"/>
      <c r="B10" s="736" t="s">
        <v>1884</v>
      </c>
      <c r="C10" s="32" t="s">
        <v>1885</v>
      </c>
      <c r="D10" s="850">
        <v>72</v>
      </c>
      <c r="E10" s="336">
        <v>46.254000000000005</v>
      </c>
      <c r="F10" s="25">
        <v>3330</v>
      </c>
      <c r="G10" s="25">
        <f>F10-H10</f>
        <v>3188</v>
      </c>
      <c r="H10" s="851">
        <v>142</v>
      </c>
      <c r="I10" s="736"/>
    </row>
    <row r="11" spans="1:17" ht="21" customHeight="1">
      <c r="A11" s="52"/>
      <c r="B11" s="736" t="s">
        <v>1886</v>
      </c>
      <c r="C11" s="32" t="s">
        <v>1885</v>
      </c>
      <c r="D11" s="850">
        <v>95</v>
      </c>
      <c r="E11" s="336">
        <v>49.353999999999999</v>
      </c>
      <c r="F11" s="25">
        <v>4689</v>
      </c>
      <c r="G11" s="25">
        <f t="shared" ref="G11:G13" si="1">F11-H11</f>
        <v>4455</v>
      </c>
      <c r="H11" s="851">
        <v>234</v>
      </c>
      <c r="I11" s="736"/>
    </row>
    <row r="12" spans="1:17" ht="21" customHeight="1">
      <c r="A12" s="52"/>
      <c r="B12" s="736" t="s">
        <v>1887</v>
      </c>
      <c r="C12" s="32" t="s">
        <v>1885</v>
      </c>
      <c r="D12" s="850">
        <v>102</v>
      </c>
      <c r="E12" s="336">
        <v>52.853999999999999</v>
      </c>
      <c r="F12" s="25">
        <v>5391</v>
      </c>
      <c r="G12" s="25">
        <f t="shared" si="1"/>
        <v>5121</v>
      </c>
      <c r="H12" s="851">
        <v>270</v>
      </c>
      <c r="I12" s="736"/>
    </row>
    <row r="13" spans="1:17" ht="21" customHeight="1">
      <c r="A13" s="852"/>
      <c r="B13" s="811" t="s">
        <v>1888</v>
      </c>
      <c r="C13" s="77" t="s">
        <v>1885</v>
      </c>
      <c r="D13" s="853">
        <v>117</v>
      </c>
      <c r="E13" s="810">
        <v>56.754000000000005</v>
      </c>
      <c r="F13" s="47">
        <v>6640</v>
      </c>
      <c r="G13" s="47">
        <f t="shared" si="1"/>
        <v>6308</v>
      </c>
      <c r="H13" s="854">
        <v>332</v>
      </c>
      <c r="I13" s="811"/>
    </row>
    <row r="15" spans="1:17">
      <c r="A15" s="1859" t="s">
        <v>2508</v>
      </c>
      <c r="B15" s="1859"/>
      <c r="C15" s="1859"/>
      <c r="D15" s="1859"/>
      <c r="E15" s="1859"/>
      <c r="F15" s="1859"/>
      <c r="G15" s="1859"/>
      <c r="H15" s="1859"/>
      <c r="I15" s="1859"/>
    </row>
  </sheetData>
  <mergeCells count="13">
    <mergeCell ref="A15:I15"/>
    <mergeCell ref="F4:I4"/>
    <mergeCell ref="G1:I1"/>
    <mergeCell ref="A2:I2"/>
    <mergeCell ref="A3:I3"/>
    <mergeCell ref="G5:G6"/>
    <mergeCell ref="I5:I6"/>
    <mergeCell ref="A5:A6"/>
    <mergeCell ref="B5:B6"/>
    <mergeCell ref="C5:C6"/>
    <mergeCell ref="D5:D6"/>
    <mergeCell ref="E5:E6"/>
    <mergeCell ref="F5:F6"/>
  </mergeCells>
  <pageMargins left="0.5" right="0.3" top="0.5" bottom="0.5" header="0.3" footer="0.3"/>
  <pageSetup paperSize="9" scale="95"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0070C0"/>
  </sheetPr>
  <dimension ref="A1:I265"/>
  <sheetViews>
    <sheetView zoomScaleNormal="100" workbookViewId="0">
      <selection activeCell="K36" sqref="K36"/>
    </sheetView>
  </sheetViews>
  <sheetFormatPr defaultColWidth="9.08203125" defaultRowHeight="13"/>
  <cols>
    <col min="1" max="1" width="4.9140625" style="864" customWidth="1"/>
    <col min="2" max="2" width="59.4140625" style="433" customWidth="1"/>
    <col min="3" max="3" width="7.4140625" style="105" customWidth="1"/>
    <col min="4" max="4" width="7.33203125" style="105" customWidth="1"/>
    <col min="5" max="5" width="6.6640625" style="105" customWidth="1"/>
    <col min="6" max="6" width="8.4140625" style="105" customWidth="1"/>
    <col min="7" max="7" width="8.08203125" style="105" customWidth="1"/>
    <col min="8" max="8" width="9.33203125" style="368" hidden="1" customWidth="1"/>
    <col min="9" max="9" width="6.6640625" style="864" customWidth="1"/>
    <col min="10" max="16384" width="9.08203125" style="105"/>
  </cols>
  <sheetData>
    <row r="1" spans="1:9" ht="18" customHeight="1">
      <c r="A1" s="1830"/>
      <c r="B1" s="1830"/>
      <c r="C1" s="857"/>
      <c r="D1" s="857"/>
      <c r="E1" s="857"/>
      <c r="F1" s="857"/>
      <c r="G1" s="1823" t="s">
        <v>2087</v>
      </c>
      <c r="H1" s="1864"/>
      <c r="I1" s="1823"/>
    </row>
    <row r="2" spans="1:9" ht="30" customHeight="1">
      <c r="A2" s="1831" t="s">
        <v>2089</v>
      </c>
      <c r="B2" s="1831"/>
      <c r="C2" s="1831"/>
      <c r="D2" s="1831"/>
      <c r="E2" s="1831"/>
      <c r="F2" s="1831"/>
      <c r="G2" s="1831"/>
      <c r="H2" s="1862"/>
      <c r="I2" s="1831"/>
    </row>
    <row r="3" spans="1:9" ht="18" customHeight="1">
      <c r="A3" s="1835" t="s">
        <v>3</v>
      </c>
      <c r="B3" s="1835"/>
      <c r="C3" s="1835"/>
      <c r="D3" s="1835"/>
      <c r="E3" s="1835"/>
      <c r="F3" s="1835"/>
      <c r="G3" s="1835"/>
      <c r="H3" s="1863"/>
      <c r="I3" s="1835"/>
    </row>
    <row r="4" spans="1:9" s="106" customFormat="1" ht="21" customHeight="1">
      <c r="A4" s="1832" t="s">
        <v>4</v>
      </c>
      <c r="B4" s="1832" t="s">
        <v>5</v>
      </c>
      <c r="C4" s="1832" t="s">
        <v>737</v>
      </c>
      <c r="D4" s="1832" t="s">
        <v>897</v>
      </c>
      <c r="E4" s="1832" t="s">
        <v>739</v>
      </c>
      <c r="F4" s="1832" t="s">
        <v>727</v>
      </c>
      <c r="G4" s="1832" t="s">
        <v>1600</v>
      </c>
      <c r="H4" s="356"/>
      <c r="I4" s="1832" t="s">
        <v>33</v>
      </c>
    </row>
    <row r="5" spans="1:9" s="106" customFormat="1" ht="21" customHeight="1">
      <c r="A5" s="1832"/>
      <c r="B5" s="1832"/>
      <c r="C5" s="1832"/>
      <c r="D5" s="1832"/>
      <c r="E5" s="1832"/>
      <c r="F5" s="1832"/>
      <c r="G5" s="1832"/>
      <c r="H5" s="309" t="s">
        <v>898</v>
      </c>
      <c r="I5" s="1832"/>
    </row>
    <row r="6" spans="1:9" s="485" customFormat="1" ht="18" customHeight="1">
      <c r="A6" s="462">
        <v>1</v>
      </c>
      <c r="B6" s="462">
        <v>2</v>
      </c>
      <c r="C6" s="462">
        <v>3</v>
      </c>
      <c r="D6" s="462">
        <v>4</v>
      </c>
      <c r="E6" s="462">
        <v>5</v>
      </c>
      <c r="F6" s="462">
        <v>6</v>
      </c>
      <c r="G6" s="462">
        <v>7</v>
      </c>
      <c r="H6" s="382"/>
      <c r="I6" s="462">
        <v>8</v>
      </c>
    </row>
    <row r="7" spans="1:9" s="106" customFormat="1" ht="18" customHeight="1">
      <c r="A7" s="26"/>
      <c r="B7" s="26" t="s">
        <v>6</v>
      </c>
      <c r="C7" s="26"/>
      <c r="D7" s="741"/>
      <c r="E7" s="741"/>
      <c r="F7" s="21">
        <f>+F8+F36</f>
        <v>225836</v>
      </c>
      <c r="G7" s="21">
        <f>+G8+G36</f>
        <v>214545</v>
      </c>
      <c r="H7" s="357">
        <f>+H8+H36</f>
        <v>11291</v>
      </c>
      <c r="I7" s="93"/>
    </row>
    <row r="8" spans="1:9" s="106" customFormat="1" ht="18" customHeight="1">
      <c r="A8" s="26" t="s">
        <v>8</v>
      </c>
      <c r="B8" s="55" t="s">
        <v>733</v>
      </c>
      <c r="C8" s="26"/>
      <c r="D8" s="741"/>
      <c r="E8" s="741"/>
      <c r="F8" s="21">
        <f>+F9+F23</f>
        <v>57762</v>
      </c>
      <c r="G8" s="21">
        <f>+G9+G23</f>
        <v>54401</v>
      </c>
      <c r="H8" s="357">
        <f>+H9+H23</f>
        <v>3361</v>
      </c>
      <c r="I8" s="93"/>
    </row>
    <row r="9" spans="1:9" s="106" customFormat="1" ht="18" customHeight="1">
      <c r="A9" s="26">
        <v>1</v>
      </c>
      <c r="B9" s="441" t="s">
        <v>910</v>
      </c>
      <c r="C9" s="40"/>
      <c r="D9" s="76"/>
      <c r="E9" s="76"/>
      <c r="F9" s="23">
        <f>+F10+F13</f>
        <v>12662</v>
      </c>
      <c r="G9" s="23">
        <f t="shared" ref="G9:H9" si="0">+G10+G13</f>
        <v>12290</v>
      </c>
      <c r="H9" s="245">
        <f t="shared" si="0"/>
        <v>372</v>
      </c>
      <c r="I9" s="721"/>
    </row>
    <row r="10" spans="1:9" s="444" customFormat="1" ht="18" customHeight="1">
      <c r="A10" s="125" t="s">
        <v>911</v>
      </c>
      <c r="B10" s="858" t="s">
        <v>912</v>
      </c>
      <c r="C10" s="482"/>
      <c r="D10" s="859"/>
      <c r="E10" s="859"/>
      <c r="F10" s="713">
        <f>SUM(F11:F12)</f>
        <v>4600</v>
      </c>
      <c r="G10" s="713">
        <f t="shared" ref="G10:H10" si="1">SUM(G11:G12)</f>
        <v>4300</v>
      </c>
      <c r="H10" s="246">
        <f t="shared" si="1"/>
        <v>300</v>
      </c>
      <c r="I10" s="443"/>
    </row>
    <row r="11" spans="1:9" s="301" customFormat="1" ht="26" hidden="1">
      <c r="A11" s="198" t="s">
        <v>701</v>
      </c>
      <c r="B11" s="300" t="s">
        <v>913</v>
      </c>
      <c r="C11" s="196" t="s">
        <v>903</v>
      </c>
      <c r="D11" s="316">
        <v>80</v>
      </c>
      <c r="E11" s="316">
        <v>50</v>
      </c>
      <c r="F11" s="197">
        <f>D11*E11</f>
        <v>4000</v>
      </c>
      <c r="G11" s="197">
        <v>4000</v>
      </c>
      <c r="H11" s="247">
        <v>0</v>
      </c>
      <c r="I11" s="304" t="s">
        <v>1774</v>
      </c>
    </row>
    <row r="12" spans="1:9" s="301" customFormat="1" ht="18" hidden="1" customHeight="1">
      <c r="A12" s="198" t="s">
        <v>701</v>
      </c>
      <c r="B12" s="300" t="s">
        <v>914</v>
      </c>
      <c r="C12" s="196" t="s">
        <v>902</v>
      </c>
      <c r="D12" s="316">
        <v>40</v>
      </c>
      <c r="E12" s="316">
        <v>15</v>
      </c>
      <c r="F12" s="197">
        <f>D12*E12</f>
        <v>600</v>
      </c>
      <c r="G12" s="197">
        <v>300</v>
      </c>
      <c r="H12" s="247">
        <v>300</v>
      </c>
      <c r="I12" s="304" t="s">
        <v>1774</v>
      </c>
    </row>
    <row r="13" spans="1:9" s="444" customFormat="1" ht="18" customHeight="1">
      <c r="A13" s="125" t="s">
        <v>915</v>
      </c>
      <c r="B13" s="394" t="s">
        <v>916</v>
      </c>
      <c r="C13" s="482"/>
      <c r="D13" s="859"/>
      <c r="E13" s="859"/>
      <c r="F13" s="713">
        <f>F14+F17+F20</f>
        <v>8062</v>
      </c>
      <c r="G13" s="713">
        <f>G14+G17+G20</f>
        <v>7990</v>
      </c>
      <c r="H13" s="246">
        <f>H14+H17+H20</f>
        <v>72</v>
      </c>
      <c r="I13" s="443"/>
    </row>
    <row r="14" spans="1:9" s="301" customFormat="1" ht="18" hidden="1" customHeight="1">
      <c r="A14" s="198" t="s">
        <v>742</v>
      </c>
      <c r="B14" s="298" t="s">
        <v>917</v>
      </c>
      <c r="C14" s="196"/>
      <c r="D14" s="316">
        <v>82</v>
      </c>
      <c r="E14" s="316"/>
      <c r="F14" s="197">
        <f>SUM(F15:F16)</f>
        <v>6204</v>
      </c>
      <c r="G14" s="197">
        <f>SUM(G15:G16)</f>
        <v>6204</v>
      </c>
      <c r="H14" s="247">
        <v>0</v>
      </c>
      <c r="I14" s="304" t="s">
        <v>1774</v>
      </c>
    </row>
    <row r="15" spans="1:9" s="301" customFormat="1" ht="18" hidden="1" customHeight="1">
      <c r="A15" s="198"/>
      <c r="B15" s="298" t="s">
        <v>1861</v>
      </c>
      <c r="C15" s="196" t="s">
        <v>903</v>
      </c>
      <c r="D15" s="316">
        <v>4</v>
      </c>
      <c r="E15" s="316">
        <v>30.6</v>
      </c>
      <c r="F15" s="197">
        <v>120</v>
      </c>
      <c r="G15" s="197">
        <f>+F15</f>
        <v>120</v>
      </c>
      <c r="H15" s="247">
        <v>0</v>
      </c>
      <c r="I15" s="304" t="s">
        <v>1774</v>
      </c>
    </row>
    <row r="16" spans="1:9" s="301" customFormat="1" ht="18" hidden="1" customHeight="1">
      <c r="A16" s="198"/>
      <c r="B16" s="298" t="s">
        <v>1862</v>
      </c>
      <c r="C16" s="196" t="s">
        <v>903</v>
      </c>
      <c r="D16" s="316">
        <f>82-D15</f>
        <v>78</v>
      </c>
      <c r="E16" s="316">
        <v>78</v>
      </c>
      <c r="F16" s="197">
        <f>D16*E16</f>
        <v>6084</v>
      </c>
      <c r="G16" s="197">
        <f>+F16</f>
        <v>6084</v>
      </c>
      <c r="H16" s="247">
        <v>0</v>
      </c>
      <c r="I16" s="304" t="s">
        <v>1774</v>
      </c>
    </row>
    <row r="17" spans="1:9" s="301" customFormat="1" ht="18" hidden="1" customHeight="1">
      <c r="A17" s="198" t="s">
        <v>742</v>
      </c>
      <c r="B17" s="298" t="s">
        <v>919</v>
      </c>
      <c r="C17" s="196"/>
      <c r="D17" s="316">
        <v>216</v>
      </c>
      <c r="E17" s="316"/>
      <c r="F17" s="197">
        <v>1686</v>
      </c>
      <c r="G17" s="197">
        <v>1686</v>
      </c>
      <c r="H17" s="247">
        <v>0</v>
      </c>
      <c r="I17" s="304" t="s">
        <v>1774</v>
      </c>
    </row>
    <row r="18" spans="1:9" s="301" customFormat="1" ht="18" hidden="1" customHeight="1">
      <c r="A18" s="198"/>
      <c r="B18" s="298" t="s">
        <v>1861</v>
      </c>
      <c r="C18" s="196" t="s">
        <v>902</v>
      </c>
      <c r="D18" s="316">
        <v>14</v>
      </c>
      <c r="E18" s="316">
        <v>5</v>
      </c>
      <c r="F18" s="197">
        <f>D18*E18</f>
        <v>70</v>
      </c>
      <c r="G18" s="197">
        <f>+F18</f>
        <v>70</v>
      </c>
      <c r="H18" s="247">
        <v>0</v>
      </c>
      <c r="I18" s="304" t="s">
        <v>1774</v>
      </c>
    </row>
    <row r="19" spans="1:9" s="301" customFormat="1" ht="18" hidden="1" customHeight="1">
      <c r="A19" s="198"/>
      <c r="B19" s="298" t="s">
        <v>1863</v>
      </c>
      <c r="C19" s="196" t="s">
        <v>902</v>
      </c>
      <c r="D19" s="316">
        <f>D17-D18</f>
        <v>202</v>
      </c>
      <c r="E19" s="316">
        <v>8</v>
      </c>
      <c r="F19" s="197">
        <f>D19*E19</f>
        <v>1616</v>
      </c>
      <c r="G19" s="197">
        <f>+F19</f>
        <v>1616</v>
      </c>
      <c r="H19" s="247">
        <v>0</v>
      </c>
      <c r="I19" s="304" t="s">
        <v>1774</v>
      </c>
    </row>
    <row r="20" spans="1:9" s="301" customFormat="1" ht="18" hidden="1" customHeight="1">
      <c r="A20" s="198" t="s">
        <v>742</v>
      </c>
      <c r="B20" s="298" t="s">
        <v>920</v>
      </c>
      <c r="C20" s="196"/>
      <c r="D20" s="316">
        <v>16</v>
      </c>
      <c r="E20" s="316"/>
      <c r="F20" s="197">
        <v>172</v>
      </c>
      <c r="G20" s="197">
        <v>100</v>
      </c>
      <c r="H20" s="247">
        <v>72</v>
      </c>
      <c r="I20" s="304" t="s">
        <v>1774</v>
      </c>
    </row>
    <row r="21" spans="1:9" s="301" customFormat="1" ht="18" hidden="1" customHeight="1">
      <c r="A21" s="198"/>
      <c r="B21" s="298" t="s">
        <v>1864</v>
      </c>
      <c r="C21" s="196" t="s">
        <v>902</v>
      </c>
      <c r="D21" s="316">
        <v>2</v>
      </c>
      <c r="E21" s="316">
        <v>2</v>
      </c>
      <c r="F21" s="197">
        <f>D21*E21</f>
        <v>4</v>
      </c>
      <c r="G21" s="197">
        <f>+F21</f>
        <v>4</v>
      </c>
      <c r="H21" s="247">
        <v>0</v>
      </c>
      <c r="I21" s="304" t="s">
        <v>1774</v>
      </c>
    </row>
    <row r="22" spans="1:9" s="301" customFormat="1" ht="18" hidden="1" customHeight="1">
      <c r="A22" s="198"/>
      <c r="B22" s="298" t="s">
        <v>1862</v>
      </c>
      <c r="C22" s="196" t="s">
        <v>902</v>
      </c>
      <c r="D22" s="316">
        <f>D20-D21</f>
        <v>14</v>
      </c>
      <c r="E22" s="316">
        <v>12</v>
      </c>
      <c r="F22" s="197">
        <f>D22*E22</f>
        <v>168</v>
      </c>
      <c r="G22" s="197">
        <f>+F22</f>
        <v>168</v>
      </c>
      <c r="H22" s="247">
        <v>0</v>
      </c>
      <c r="I22" s="304" t="s">
        <v>1774</v>
      </c>
    </row>
    <row r="23" spans="1:9" s="106" customFormat="1" ht="18" customHeight="1">
      <c r="A23" s="860">
        <v>2</v>
      </c>
      <c r="B23" s="441" t="s">
        <v>921</v>
      </c>
      <c r="C23" s="860"/>
      <c r="D23" s="741"/>
      <c r="E23" s="741"/>
      <c r="F23" s="21">
        <f>+F24</f>
        <v>45100</v>
      </c>
      <c r="G23" s="21">
        <f t="shared" ref="G23:H23" si="2">+G24</f>
        <v>42111</v>
      </c>
      <c r="H23" s="357">
        <f t="shared" si="2"/>
        <v>2989</v>
      </c>
      <c r="I23" s="863"/>
    </row>
    <row r="24" spans="1:9" s="444" customFormat="1" ht="18" customHeight="1">
      <c r="A24" s="125" t="s">
        <v>911</v>
      </c>
      <c r="B24" s="858" t="s">
        <v>912</v>
      </c>
      <c r="C24" s="861"/>
      <c r="D24" s="862"/>
      <c r="E24" s="862"/>
      <c r="F24" s="391">
        <f>+F25+F31+F32</f>
        <v>45100</v>
      </c>
      <c r="G24" s="391">
        <f t="shared" ref="G24:H24" si="3">+G25+G31+G32</f>
        <v>42111</v>
      </c>
      <c r="H24" s="359">
        <f t="shared" si="3"/>
        <v>2989</v>
      </c>
      <c r="I24" s="443"/>
    </row>
    <row r="25" spans="1:9" s="301" customFormat="1" ht="18" hidden="1" customHeight="1">
      <c r="A25" s="198" t="s">
        <v>742</v>
      </c>
      <c r="B25" s="300" t="s">
        <v>922</v>
      </c>
      <c r="C25" s="360"/>
      <c r="D25" s="321"/>
      <c r="E25" s="321"/>
      <c r="F25" s="299">
        <f>SUM(F26:F30)</f>
        <v>5477</v>
      </c>
      <c r="G25" s="299">
        <f t="shared" ref="G25:H25" si="4">SUM(G26:G30)</f>
        <v>5477</v>
      </c>
      <c r="H25" s="179">
        <f t="shared" si="4"/>
        <v>0</v>
      </c>
      <c r="I25" s="304" t="s">
        <v>1774</v>
      </c>
    </row>
    <row r="26" spans="1:9" s="301" customFormat="1" ht="26" hidden="1">
      <c r="A26" s="198"/>
      <c r="B26" s="361" t="s">
        <v>1865</v>
      </c>
      <c r="C26" s="360" t="s">
        <v>837</v>
      </c>
      <c r="D26" s="321">
        <v>25900</v>
      </c>
      <c r="E26" s="321">
        <v>0.06</v>
      </c>
      <c r="F26" s="299">
        <f t="shared" ref="F26:F29" si="5">D26*E26</f>
        <v>1554</v>
      </c>
      <c r="G26" s="299">
        <f t="shared" ref="G26:G30" si="6">F26</f>
        <v>1554</v>
      </c>
      <c r="H26" s="179">
        <v>0</v>
      </c>
      <c r="I26" s="304" t="s">
        <v>1774</v>
      </c>
    </row>
    <row r="27" spans="1:9" s="301" customFormat="1" ht="26" hidden="1">
      <c r="A27" s="198"/>
      <c r="B27" s="300" t="s">
        <v>1866</v>
      </c>
      <c r="C27" s="360" t="s">
        <v>837</v>
      </c>
      <c r="D27" s="321">
        <v>12500</v>
      </c>
      <c r="E27" s="321">
        <v>0.11</v>
      </c>
      <c r="F27" s="299">
        <f t="shared" si="5"/>
        <v>1375</v>
      </c>
      <c r="G27" s="299">
        <f t="shared" si="6"/>
        <v>1375</v>
      </c>
      <c r="H27" s="179">
        <v>0</v>
      </c>
      <c r="I27" s="304" t="s">
        <v>1774</v>
      </c>
    </row>
    <row r="28" spans="1:9" s="301" customFormat="1" ht="26" hidden="1">
      <c r="A28" s="198"/>
      <c r="B28" s="300" t="s">
        <v>1867</v>
      </c>
      <c r="C28" s="360" t="s">
        <v>837</v>
      </c>
      <c r="D28" s="321">
        <v>9250</v>
      </c>
      <c r="E28" s="321">
        <v>0.1</v>
      </c>
      <c r="F28" s="299">
        <f t="shared" si="5"/>
        <v>925</v>
      </c>
      <c r="G28" s="299">
        <f t="shared" si="6"/>
        <v>925</v>
      </c>
      <c r="H28" s="179">
        <v>0</v>
      </c>
      <c r="I28" s="304" t="s">
        <v>1774</v>
      </c>
    </row>
    <row r="29" spans="1:9" s="301" customFormat="1" ht="26" hidden="1">
      <c r="A29" s="198"/>
      <c r="B29" s="300" t="s">
        <v>1868</v>
      </c>
      <c r="C29" s="360" t="s">
        <v>836</v>
      </c>
      <c r="D29" s="321">
        <v>7000</v>
      </c>
      <c r="E29" s="321">
        <v>0.06</v>
      </c>
      <c r="F29" s="299">
        <f t="shared" si="5"/>
        <v>420</v>
      </c>
      <c r="G29" s="299">
        <f t="shared" si="6"/>
        <v>420</v>
      </c>
      <c r="H29" s="179">
        <v>0</v>
      </c>
      <c r="I29" s="304" t="s">
        <v>1774</v>
      </c>
    </row>
    <row r="30" spans="1:9" s="301" customFormat="1" ht="18" hidden="1" customHeight="1">
      <c r="A30" s="198"/>
      <c r="B30" s="362" t="s">
        <v>1869</v>
      </c>
      <c r="C30" s="360" t="s">
        <v>837</v>
      </c>
      <c r="D30" s="321">
        <v>18500</v>
      </c>
      <c r="E30" s="321">
        <v>3.5000000000000003E-2</v>
      </c>
      <c r="F30" s="363">
        <v>1203</v>
      </c>
      <c r="G30" s="363">
        <f t="shared" si="6"/>
        <v>1203</v>
      </c>
      <c r="H30" s="179">
        <v>0</v>
      </c>
      <c r="I30" s="304" t="s">
        <v>1774</v>
      </c>
    </row>
    <row r="31" spans="1:9" s="301" customFormat="1" ht="26" hidden="1">
      <c r="A31" s="198" t="s">
        <v>742</v>
      </c>
      <c r="B31" s="300" t="s">
        <v>923</v>
      </c>
      <c r="C31" s="360"/>
      <c r="D31" s="321"/>
      <c r="E31" s="321"/>
      <c r="F31" s="363">
        <v>6000</v>
      </c>
      <c r="G31" s="299">
        <v>6000</v>
      </c>
      <c r="H31" s="179">
        <v>0</v>
      </c>
      <c r="I31" s="304" t="s">
        <v>1774</v>
      </c>
    </row>
    <row r="32" spans="1:9" s="301" customFormat="1" ht="18" hidden="1" customHeight="1">
      <c r="A32" s="198" t="s">
        <v>742</v>
      </c>
      <c r="B32" s="300" t="s">
        <v>924</v>
      </c>
      <c r="C32" s="360"/>
      <c r="D32" s="321"/>
      <c r="E32" s="321"/>
      <c r="F32" s="299">
        <f>SUM(F33:F35)</f>
        <v>33623</v>
      </c>
      <c r="G32" s="299">
        <f t="shared" ref="G32:H32" si="7">SUM(G33:G35)</f>
        <v>30634</v>
      </c>
      <c r="H32" s="179">
        <f t="shared" si="7"/>
        <v>2989</v>
      </c>
      <c r="I32" s="304" t="s">
        <v>1774</v>
      </c>
    </row>
    <row r="33" spans="1:9" s="301" customFormat="1" ht="39" hidden="1">
      <c r="A33" s="198"/>
      <c r="B33" s="300" t="s">
        <v>1870</v>
      </c>
      <c r="C33" s="360" t="s">
        <v>925</v>
      </c>
      <c r="D33" s="321">
        <v>1</v>
      </c>
      <c r="E33" s="321">
        <v>11679</v>
      </c>
      <c r="F33" s="299">
        <f>G33+H33</f>
        <v>9623</v>
      </c>
      <c r="G33" s="299">
        <v>8868</v>
      </c>
      <c r="H33" s="179">
        <v>755</v>
      </c>
      <c r="I33" s="304" t="s">
        <v>1774</v>
      </c>
    </row>
    <row r="34" spans="1:9" s="301" customFormat="1" ht="39" hidden="1">
      <c r="A34" s="198"/>
      <c r="B34" s="300" t="s">
        <v>1871</v>
      </c>
      <c r="C34" s="360" t="s">
        <v>925</v>
      </c>
      <c r="D34" s="321">
        <v>1</v>
      </c>
      <c r="E34" s="321">
        <v>6000</v>
      </c>
      <c r="F34" s="299">
        <f t="shared" ref="F34:F35" si="8">G34+H34</f>
        <v>5000</v>
      </c>
      <c r="G34" s="299">
        <v>4500</v>
      </c>
      <c r="H34" s="179">
        <v>500</v>
      </c>
      <c r="I34" s="304" t="s">
        <v>1774</v>
      </c>
    </row>
    <row r="35" spans="1:9" s="301" customFormat="1" ht="39" hidden="1">
      <c r="A35" s="198"/>
      <c r="B35" s="300" t="s">
        <v>1872</v>
      </c>
      <c r="C35" s="360" t="s">
        <v>925</v>
      </c>
      <c r="D35" s="321">
        <v>1</v>
      </c>
      <c r="E35" s="321">
        <v>22000</v>
      </c>
      <c r="F35" s="299">
        <f t="shared" si="8"/>
        <v>19000</v>
      </c>
      <c r="G35" s="299">
        <v>17266</v>
      </c>
      <c r="H35" s="179">
        <v>1734</v>
      </c>
      <c r="I35" s="304" t="s">
        <v>1774</v>
      </c>
    </row>
    <row r="36" spans="1:9" s="106" customFormat="1" ht="18" customHeight="1">
      <c r="A36" s="26" t="s">
        <v>26</v>
      </c>
      <c r="B36" s="55" t="s">
        <v>736</v>
      </c>
      <c r="C36" s="40"/>
      <c r="D36" s="76"/>
      <c r="E36" s="76"/>
      <c r="F36" s="23">
        <f>F37+F48+F63+F78+F93+F108+F123+F138</f>
        <v>168074</v>
      </c>
      <c r="G36" s="23">
        <f>G37+G48+G63+G78+G93+G108+G123+G138</f>
        <v>160144</v>
      </c>
      <c r="H36" s="245">
        <f>H37+H48+H63+H78+H93+H108+H123+H138</f>
        <v>7930</v>
      </c>
      <c r="I36" s="721"/>
    </row>
    <row r="37" spans="1:9" s="106" customFormat="1" ht="18" customHeight="1">
      <c r="A37" s="26">
        <v>1</v>
      </c>
      <c r="B37" s="55" t="s">
        <v>25</v>
      </c>
      <c r="C37" s="26"/>
      <c r="D37" s="741"/>
      <c r="E37" s="741"/>
      <c r="F37" s="21">
        <f>F38+F43+F47</f>
        <v>8118</v>
      </c>
      <c r="G37" s="21">
        <f>G38+G43+G47</f>
        <v>7735</v>
      </c>
      <c r="H37" s="357">
        <f t="shared" ref="H37" si="9">H38+H43+H47</f>
        <v>383</v>
      </c>
      <c r="I37" s="445"/>
    </row>
    <row r="38" spans="1:9" s="444" customFormat="1" ht="18" customHeight="1">
      <c r="A38" s="125" t="s">
        <v>911</v>
      </c>
      <c r="B38" s="858" t="s">
        <v>926</v>
      </c>
      <c r="C38" s="125"/>
      <c r="D38" s="862"/>
      <c r="E38" s="862"/>
      <c r="F38" s="391">
        <f>+F39+F40</f>
        <v>5470</v>
      </c>
      <c r="G38" s="391">
        <f t="shared" ref="G38:H38" si="10">+G39+G40</f>
        <v>5087</v>
      </c>
      <c r="H38" s="359">
        <f t="shared" si="10"/>
        <v>383</v>
      </c>
      <c r="I38" s="443"/>
    </row>
    <row r="39" spans="1:9" s="301" customFormat="1" ht="18" hidden="1" customHeight="1">
      <c r="A39" s="198" t="s">
        <v>927</v>
      </c>
      <c r="B39" s="300" t="s">
        <v>928</v>
      </c>
      <c r="C39" s="198" t="s">
        <v>874</v>
      </c>
      <c r="D39" s="321">
        <v>1800</v>
      </c>
      <c r="E39" s="321">
        <v>3</v>
      </c>
      <c r="F39" s="299">
        <v>5400</v>
      </c>
      <c r="G39" s="299">
        <f>-96-17+5130</f>
        <v>5017</v>
      </c>
      <c r="H39" s="179">
        <f>F39-G39</f>
        <v>383</v>
      </c>
      <c r="I39" s="304" t="s">
        <v>1774</v>
      </c>
    </row>
    <row r="40" spans="1:9" s="301" customFormat="1" ht="65" hidden="1">
      <c r="A40" s="198" t="s">
        <v>927</v>
      </c>
      <c r="B40" s="298" t="s">
        <v>929</v>
      </c>
      <c r="C40" s="198"/>
      <c r="D40" s="321"/>
      <c r="E40" s="321"/>
      <c r="F40" s="299">
        <f>F41+F42</f>
        <v>70</v>
      </c>
      <c r="G40" s="299">
        <f t="shared" ref="G40" si="11">G41+G42</f>
        <v>70</v>
      </c>
      <c r="H40" s="179"/>
      <c r="I40" s="304" t="s">
        <v>1774</v>
      </c>
    </row>
    <row r="41" spans="1:9" s="301" customFormat="1" ht="18" hidden="1" customHeight="1">
      <c r="A41" s="198"/>
      <c r="B41" s="298" t="s">
        <v>1873</v>
      </c>
      <c r="C41" s="198" t="s">
        <v>902</v>
      </c>
      <c r="D41" s="321">
        <v>5</v>
      </c>
      <c r="E41" s="321">
        <v>10</v>
      </c>
      <c r="F41" s="299">
        <f t="shared" ref="F41:F42" si="12">D41*E41</f>
        <v>50</v>
      </c>
      <c r="G41" s="299">
        <v>50</v>
      </c>
      <c r="H41" s="179"/>
      <c r="I41" s="304" t="s">
        <v>1774</v>
      </c>
    </row>
    <row r="42" spans="1:9" s="301" customFormat="1" ht="18" hidden="1" customHeight="1">
      <c r="A42" s="198"/>
      <c r="B42" s="298" t="s">
        <v>1874</v>
      </c>
      <c r="C42" s="198" t="s">
        <v>902</v>
      </c>
      <c r="D42" s="321">
        <v>10</v>
      </c>
      <c r="E42" s="321">
        <v>2</v>
      </c>
      <c r="F42" s="299">
        <f t="shared" si="12"/>
        <v>20</v>
      </c>
      <c r="G42" s="299">
        <v>20</v>
      </c>
      <c r="H42" s="179"/>
      <c r="I42" s="304" t="s">
        <v>1774</v>
      </c>
    </row>
    <row r="43" spans="1:9" s="444" customFormat="1" ht="18" customHeight="1">
      <c r="A43" s="125" t="s">
        <v>915</v>
      </c>
      <c r="B43" s="394" t="s">
        <v>916</v>
      </c>
      <c r="C43" s="861"/>
      <c r="D43" s="862">
        <v>70</v>
      </c>
      <c r="E43" s="862"/>
      <c r="F43" s="391">
        <v>958</v>
      </c>
      <c r="G43" s="391">
        <f>SUM(G44:G46)</f>
        <v>958</v>
      </c>
      <c r="H43" s="359"/>
      <c r="I43" s="443"/>
    </row>
    <row r="44" spans="1:9" s="319" customFormat="1" ht="26" hidden="1">
      <c r="A44" s="295" t="s">
        <v>742</v>
      </c>
      <c r="B44" s="300" t="s">
        <v>918</v>
      </c>
      <c r="C44" s="358" t="s">
        <v>874</v>
      </c>
      <c r="D44" s="324">
        <v>75</v>
      </c>
      <c r="E44" s="324"/>
      <c r="F44" s="297">
        <v>900</v>
      </c>
      <c r="G44" s="297">
        <v>900</v>
      </c>
      <c r="H44" s="359"/>
      <c r="I44" s="304" t="s">
        <v>1774</v>
      </c>
    </row>
    <row r="45" spans="1:9" s="301" customFormat="1" ht="18" hidden="1" customHeight="1">
      <c r="A45" s="198" t="s">
        <v>742</v>
      </c>
      <c r="B45" s="298" t="s">
        <v>930</v>
      </c>
      <c r="C45" s="198" t="s">
        <v>902</v>
      </c>
      <c r="D45" s="321">
        <v>10</v>
      </c>
      <c r="E45" s="321">
        <v>5</v>
      </c>
      <c r="F45" s="299">
        <f t="shared" ref="F45:F46" si="13">E45*D45</f>
        <v>50</v>
      </c>
      <c r="G45" s="299">
        <f t="shared" ref="G45:G46" si="14">F45</f>
        <v>50</v>
      </c>
      <c r="H45" s="179"/>
      <c r="I45" s="304" t="s">
        <v>1774</v>
      </c>
    </row>
    <row r="46" spans="1:9" s="301" customFormat="1" ht="18" hidden="1" customHeight="1">
      <c r="A46" s="198" t="s">
        <v>742</v>
      </c>
      <c r="B46" s="298" t="s">
        <v>920</v>
      </c>
      <c r="C46" s="198" t="s">
        <v>902</v>
      </c>
      <c r="D46" s="321">
        <v>4</v>
      </c>
      <c r="E46" s="321">
        <v>2</v>
      </c>
      <c r="F46" s="299">
        <f t="shared" si="13"/>
        <v>8</v>
      </c>
      <c r="G46" s="299">
        <f t="shared" si="14"/>
        <v>8</v>
      </c>
      <c r="H46" s="179"/>
      <c r="I46" s="304" t="s">
        <v>1774</v>
      </c>
    </row>
    <row r="47" spans="1:9" s="319" customFormat="1" ht="18" hidden="1" customHeight="1">
      <c r="A47" s="295" t="s">
        <v>1227</v>
      </c>
      <c r="B47" s="296" t="s">
        <v>1875</v>
      </c>
      <c r="C47" s="295"/>
      <c r="D47" s="324"/>
      <c r="E47" s="324"/>
      <c r="F47" s="297">
        <f>18+1672</f>
        <v>1690</v>
      </c>
      <c r="G47" s="297">
        <f>+F47</f>
        <v>1690</v>
      </c>
      <c r="H47" s="359"/>
      <c r="I47" s="304" t="s">
        <v>1774</v>
      </c>
    </row>
    <row r="48" spans="1:9" s="106" customFormat="1" ht="18" customHeight="1">
      <c r="A48" s="26">
        <v>2</v>
      </c>
      <c r="B48" s="55" t="s">
        <v>23</v>
      </c>
      <c r="C48" s="26"/>
      <c r="D48" s="741"/>
      <c r="E48" s="741"/>
      <c r="F48" s="21">
        <f>+F49+F59</f>
        <v>24803</v>
      </c>
      <c r="G48" s="21">
        <f t="shared" ref="G48:H48" si="15">+G49+G59</f>
        <v>23633</v>
      </c>
      <c r="H48" s="357">
        <f t="shared" si="15"/>
        <v>1170</v>
      </c>
      <c r="I48" s="445"/>
    </row>
    <row r="49" spans="1:9" s="444" customFormat="1" ht="18" customHeight="1">
      <c r="A49" s="125" t="s">
        <v>911</v>
      </c>
      <c r="B49" s="858" t="s">
        <v>926</v>
      </c>
      <c r="C49" s="125"/>
      <c r="D49" s="862"/>
      <c r="E49" s="862"/>
      <c r="F49" s="391">
        <f>+F50+F51+F56</f>
        <v>23028</v>
      </c>
      <c r="G49" s="391">
        <f t="shared" ref="G49:H49" si="16">+G50+G51+G56</f>
        <v>21858</v>
      </c>
      <c r="H49" s="359">
        <f t="shared" si="16"/>
        <v>1170</v>
      </c>
      <c r="I49" s="443"/>
    </row>
    <row r="50" spans="1:9" s="301" customFormat="1" ht="18" hidden="1" customHeight="1">
      <c r="A50" s="198" t="s">
        <v>927</v>
      </c>
      <c r="B50" s="298" t="s">
        <v>931</v>
      </c>
      <c r="C50" s="198" t="s">
        <v>874</v>
      </c>
      <c r="D50" s="321">
        <v>5500</v>
      </c>
      <c r="E50" s="321">
        <v>3</v>
      </c>
      <c r="F50" s="299">
        <f>D50*E50</f>
        <v>16500</v>
      </c>
      <c r="G50" s="299">
        <f>15330</f>
        <v>15330</v>
      </c>
      <c r="H50" s="179">
        <f>F50-G50</f>
        <v>1170</v>
      </c>
      <c r="I50" s="304" t="s">
        <v>1774</v>
      </c>
    </row>
    <row r="51" spans="1:9" s="301" customFormat="1" ht="104" hidden="1">
      <c r="A51" s="198" t="s">
        <v>927</v>
      </c>
      <c r="B51" s="298" t="s">
        <v>932</v>
      </c>
      <c r="C51" s="198"/>
      <c r="D51" s="321"/>
      <c r="E51" s="321"/>
      <c r="F51" s="299">
        <f>G51+H51</f>
        <v>6178</v>
      </c>
      <c r="G51" s="299">
        <f t="shared" ref="G51:H51" si="17">G52+G53+G54+G55</f>
        <v>6178</v>
      </c>
      <c r="H51" s="179">
        <f t="shared" si="17"/>
        <v>0</v>
      </c>
      <c r="I51" s="304" t="s">
        <v>1774</v>
      </c>
    </row>
    <row r="52" spans="1:9" s="301" customFormat="1" ht="18" hidden="1" customHeight="1">
      <c r="A52" s="198"/>
      <c r="B52" s="298" t="s">
        <v>1876</v>
      </c>
      <c r="C52" s="198" t="s">
        <v>874</v>
      </c>
      <c r="D52" s="321">
        <v>10</v>
      </c>
      <c r="E52" s="321">
        <v>10</v>
      </c>
      <c r="F52" s="299">
        <f t="shared" ref="F52:F58" si="18">G52+H52</f>
        <v>100</v>
      </c>
      <c r="G52" s="299">
        <v>100</v>
      </c>
      <c r="H52" s="179">
        <v>0</v>
      </c>
      <c r="I52" s="304" t="s">
        <v>1774</v>
      </c>
    </row>
    <row r="53" spans="1:9" s="301" customFormat="1" ht="52" hidden="1">
      <c r="A53" s="198"/>
      <c r="B53" s="298" t="s">
        <v>1877</v>
      </c>
      <c r="C53" s="198" t="s">
        <v>876</v>
      </c>
      <c r="D53" s="321">
        <v>10</v>
      </c>
      <c r="E53" s="321">
        <v>31</v>
      </c>
      <c r="F53" s="299">
        <f t="shared" si="18"/>
        <v>310</v>
      </c>
      <c r="G53" s="299">
        <v>310</v>
      </c>
      <c r="H53" s="179">
        <v>0</v>
      </c>
      <c r="I53" s="304" t="s">
        <v>1774</v>
      </c>
    </row>
    <row r="54" spans="1:9" s="301" customFormat="1" ht="26" hidden="1">
      <c r="A54" s="198"/>
      <c r="B54" s="298" t="s">
        <v>1878</v>
      </c>
      <c r="C54" s="198"/>
      <c r="D54" s="321"/>
      <c r="E54" s="321"/>
      <c r="F54" s="299">
        <f t="shared" si="18"/>
        <v>2749</v>
      </c>
      <c r="G54" s="299">
        <f>3+2746</f>
        <v>2749</v>
      </c>
      <c r="H54" s="179"/>
      <c r="I54" s="304" t="s">
        <v>1774</v>
      </c>
    </row>
    <row r="55" spans="1:9" s="301" customFormat="1" ht="18" hidden="1" customHeight="1">
      <c r="A55" s="198"/>
      <c r="B55" s="298" t="s">
        <v>924</v>
      </c>
      <c r="C55" s="198"/>
      <c r="D55" s="321"/>
      <c r="E55" s="321"/>
      <c r="F55" s="299">
        <f t="shared" si="18"/>
        <v>3019</v>
      </c>
      <c r="G55" s="299">
        <v>3019</v>
      </c>
      <c r="H55" s="179"/>
      <c r="I55" s="304" t="s">
        <v>1774</v>
      </c>
    </row>
    <row r="56" spans="1:9" s="301" customFormat="1" ht="65" hidden="1">
      <c r="A56" s="198" t="s">
        <v>927</v>
      </c>
      <c r="B56" s="298" t="s">
        <v>929</v>
      </c>
      <c r="C56" s="198"/>
      <c r="D56" s="321"/>
      <c r="E56" s="321"/>
      <c r="F56" s="299">
        <f>G56+H56</f>
        <v>350</v>
      </c>
      <c r="G56" s="299">
        <f t="shared" ref="G56:H56" si="19">G57+G58</f>
        <v>350</v>
      </c>
      <c r="H56" s="179">
        <f t="shared" si="19"/>
        <v>0</v>
      </c>
      <c r="I56" s="304" t="s">
        <v>1774</v>
      </c>
    </row>
    <row r="57" spans="1:9" s="301" customFormat="1" ht="18" hidden="1" customHeight="1">
      <c r="A57" s="198"/>
      <c r="B57" s="298" t="s">
        <v>1873</v>
      </c>
      <c r="C57" s="198" t="s">
        <v>902</v>
      </c>
      <c r="D57" s="321">
        <v>10</v>
      </c>
      <c r="E57" s="321">
        <v>20</v>
      </c>
      <c r="F57" s="299">
        <f t="shared" si="18"/>
        <v>200</v>
      </c>
      <c r="G57" s="299">
        <v>200</v>
      </c>
      <c r="H57" s="179">
        <v>0</v>
      </c>
      <c r="I57" s="304" t="s">
        <v>1774</v>
      </c>
    </row>
    <row r="58" spans="1:9" s="301" customFormat="1" ht="18" hidden="1" customHeight="1">
      <c r="A58" s="198"/>
      <c r="B58" s="298" t="s">
        <v>1879</v>
      </c>
      <c r="C58" s="198" t="s">
        <v>902</v>
      </c>
      <c r="D58" s="321">
        <v>10</v>
      </c>
      <c r="E58" s="321">
        <v>15</v>
      </c>
      <c r="F58" s="299">
        <f t="shared" si="18"/>
        <v>150</v>
      </c>
      <c r="G58" s="299">
        <v>150</v>
      </c>
      <c r="H58" s="179">
        <v>0</v>
      </c>
      <c r="I58" s="304" t="s">
        <v>1774</v>
      </c>
    </row>
    <row r="59" spans="1:9" s="444" customFormat="1" ht="18" customHeight="1">
      <c r="A59" s="125" t="s">
        <v>915</v>
      </c>
      <c r="B59" s="394" t="s">
        <v>916</v>
      </c>
      <c r="C59" s="861"/>
      <c r="D59" s="862"/>
      <c r="E59" s="862"/>
      <c r="F59" s="391">
        <f>F60+F61+F62</f>
        <v>1775</v>
      </c>
      <c r="G59" s="391">
        <f>G60+G61+G62</f>
        <v>1775</v>
      </c>
      <c r="H59" s="359">
        <v>0</v>
      </c>
      <c r="I59" s="443"/>
    </row>
    <row r="60" spans="1:9" s="319" customFormat="1" ht="26" hidden="1">
      <c r="A60" s="295" t="s">
        <v>742</v>
      </c>
      <c r="B60" s="300" t="s">
        <v>918</v>
      </c>
      <c r="C60" s="360" t="s">
        <v>874</v>
      </c>
      <c r="D60" s="321">
        <v>125</v>
      </c>
      <c r="E60" s="321"/>
      <c r="F60" s="299">
        <v>1500</v>
      </c>
      <c r="G60" s="299">
        <v>1500</v>
      </c>
      <c r="H60" s="359"/>
      <c r="I60" s="304" t="s">
        <v>1774</v>
      </c>
    </row>
    <row r="61" spans="1:9" s="301" customFormat="1" ht="18" hidden="1" customHeight="1">
      <c r="A61" s="198" t="s">
        <v>742</v>
      </c>
      <c r="B61" s="298" t="s">
        <v>930</v>
      </c>
      <c r="C61" s="198" t="s">
        <v>902</v>
      </c>
      <c r="D61" s="321">
        <v>30</v>
      </c>
      <c r="E61" s="321">
        <v>8</v>
      </c>
      <c r="F61" s="299">
        <f t="shared" ref="F61:F62" si="20">E61*D61</f>
        <v>240</v>
      </c>
      <c r="G61" s="299">
        <f>F61</f>
        <v>240</v>
      </c>
      <c r="H61" s="179"/>
      <c r="I61" s="304" t="s">
        <v>1774</v>
      </c>
    </row>
    <row r="62" spans="1:9" s="301" customFormat="1" ht="18" hidden="1" customHeight="1">
      <c r="A62" s="198" t="s">
        <v>742</v>
      </c>
      <c r="B62" s="298" t="s">
        <v>920</v>
      </c>
      <c r="C62" s="198" t="s">
        <v>902</v>
      </c>
      <c r="D62" s="321">
        <v>10</v>
      </c>
      <c r="E62" s="321">
        <v>3.5</v>
      </c>
      <c r="F62" s="299">
        <f t="shared" si="20"/>
        <v>35</v>
      </c>
      <c r="G62" s="299">
        <f>F62</f>
        <v>35</v>
      </c>
      <c r="H62" s="179"/>
      <c r="I62" s="304" t="s">
        <v>1774</v>
      </c>
    </row>
    <row r="63" spans="1:9" s="106" customFormat="1" ht="18" customHeight="1">
      <c r="A63" s="26">
        <v>3</v>
      </c>
      <c r="B63" s="55" t="s">
        <v>21</v>
      </c>
      <c r="C63" s="26"/>
      <c r="D63" s="741"/>
      <c r="E63" s="741"/>
      <c r="F63" s="21">
        <f>+F64+F74</f>
        <v>22548</v>
      </c>
      <c r="G63" s="21">
        <f t="shared" ref="G63:H63" si="21">+G64+G74</f>
        <v>21484</v>
      </c>
      <c r="H63" s="357">
        <f t="shared" si="21"/>
        <v>1064</v>
      </c>
      <c r="I63" s="445"/>
    </row>
    <row r="64" spans="1:9" s="444" customFormat="1" ht="18" customHeight="1">
      <c r="A64" s="125" t="s">
        <v>911</v>
      </c>
      <c r="B64" s="858" t="s">
        <v>926</v>
      </c>
      <c r="C64" s="125"/>
      <c r="D64" s="862"/>
      <c r="E64" s="862"/>
      <c r="F64" s="391">
        <f>+F65+F66+F71</f>
        <v>21073</v>
      </c>
      <c r="G64" s="391">
        <f t="shared" ref="G64:H64" si="22">+G65+G66+G71</f>
        <v>20009</v>
      </c>
      <c r="H64" s="359">
        <f t="shared" si="22"/>
        <v>1064</v>
      </c>
      <c r="I64" s="443"/>
    </row>
    <row r="65" spans="1:9" s="301" customFormat="1" ht="18" hidden="1" customHeight="1">
      <c r="A65" s="198" t="s">
        <v>927</v>
      </c>
      <c r="B65" s="298" t="s">
        <v>931</v>
      </c>
      <c r="C65" s="198" t="s">
        <v>874</v>
      </c>
      <c r="D65" s="321">
        <v>5000</v>
      </c>
      <c r="E65" s="321">
        <v>3</v>
      </c>
      <c r="F65" s="299">
        <f>D65*E65</f>
        <v>15000</v>
      </c>
      <c r="G65" s="299">
        <f>-2+13938</f>
        <v>13936</v>
      </c>
      <c r="H65" s="179">
        <f>F65-G65</f>
        <v>1064</v>
      </c>
      <c r="I65" s="304" t="s">
        <v>1774</v>
      </c>
    </row>
    <row r="66" spans="1:9" s="301" customFormat="1" ht="104" hidden="1">
      <c r="A66" s="198" t="s">
        <v>927</v>
      </c>
      <c r="B66" s="298" t="s">
        <v>933</v>
      </c>
      <c r="C66" s="198"/>
      <c r="D66" s="321"/>
      <c r="E66" s="321"/>
      <c r="F66" s="299">
        <f>SUM(F67:F70)</f>
        <v>5773</v>
      </c>
      <c r="G66" s="299">
        <f t="shared" ref="G66:H66" si="23">SUM(G67:G70)</f>
        <v>5773</v>
      </c>
      <c r="H66" s="179">
        <f t="shared" si="23"/>
        <v>0</v>
      </c>
      <c r="I66" s="304" t="s">
        <v>1774</v>
      </c>
    </row>
    <row r="67" spans="1:9" s="301" customFormat="1" ht="18" hidden="1" customHeight="1">
      <c r="A67" s="198"/>
      <c r="B67" s="298" t="s">
        <v>1880</v>
      </c>
      <c r="C67" s="198" t="s">
        <v>874</v>
      </c>
      <c r="D67" s="321">
        <v>10</v>
      </c>
      <c r="E67" s="321">
        <v>10</v>
      </c>
      <c r="F67" s="299">
        <f t="shared" ref="F67:F73" si="24">G67+H67</f>
        <v>100</v>
      </c>
      <c r="G67" s="299">
        <v>100</v>
      </c>
      <c r="H67" s="179"/>
      <c r="I67" s="304" t="s">
        <v>1774</v>
      </c>
    </row>
    <row r="68" spans="1:9" s="301" customFormat="1" ht="52" hidden="1">
      <c r="A68" s="198"/>
      <c r="B68" s="298" t="s">
        <v>1877</v>
      </c>
      <c r="C68" s="198" t="s">
        <v>876</v>
      </c>
      <c r="D68" s="321">
        <v>10</v>
      </c>
      <c r="E68" s="321">
        <v>31</v>
      </c>
      <c r="F68" s="299">
        <f t="shared" si="24"/>
        <v>310</v>
      </c>
      <c r="G68" s="299">
        <v>310</v>
      </c>
      <c r="H68" s="179"/>
      <c r="I68" s="304" t="s">
        <v>1774</v>
      </c>
    </row>
    <row r="69" spans="1:9" s="301" customFormat="1" ht="26" hidden="1">
      <c r="A69" s="198"/>
      <c r="B69" s="298" t="s">
        <v>1878</v>
      </c>
      <c r="C69" s="198"/>
      <c r="D69" s="321"/>
      <c r="E69" s="321"/>
      <c r="F69" s="299">
        <f t="shared" si="24"/>
        <v>3000</v>
      </c>
      <c r="G69" s="299">
        <v>3000</v>
      </c>
      <c r="H69" s="179"/>
      <c r="I69" s="304" t="s">
        <v>1774</v>
      </c>
    </row>
    <row r="70" spans="1:9" s="301" customFormat="1" ht="18" hidden="1" customHeight="1">
      <c r="A70" s="198"/>
      <c r="B70" s="298" t="s">
        <v>924</v>
      </c>
      <c r="C70" s="198"/>
      <c r="D70" s="321"/>
      <c r="E70" s="321"/>
      <c r="F70" s="299">
        <v>2363</v>
      </c>
      <c r="G70" s="299">
        <f>+F70</f>
        <v>2363</v>
      </c>
      <c r="H70" s="179"/>
      <c r="I70" s="304" t="s">
        <v>1774</v>
      </c>
    </row>
    <row r="71" spans="1:9" s="301" customFormat="1" ht="65" hidden="1">
      <c r="A71" s="198" t="s">
        <v>927</v>
      </c>
      <c r="B71" s="298" t="s">
        <v>934</v>
      </c>
      <c r="C71" s="198"/>
      <c r="D71" s="321"/>
      <c r="E71" s="321"/>
      <c r="F71" s="299">
        <f t="shared" si="24"/>
        <v>300</v>
      </c>
      <c r="G71" s="299">
        <f t="shared" ref="G71:H71" si="25">G72+G73</f>
        <v>300</v>
      </c>
      <c r="H71" s="179">
        <f t="shared" si="25"/>
        <v>0</v>
      </c>
      <c r="I71" s="304" t="s">
        <v>1774</v>
      </c>
    </row>
    <row r="72" spans="1:9" s="301" customFormat="1" ht="18" hidden="1" customHeight="1">
      <c r="A72" s="198"/>
      <c r="B72" s="298" t="s">
        <v>1873</v>
      </c>
      <c r="C72" s="198" t="s">
        <v>902</v>
      </c>
      <c r="D72" s="321">
        <v>10</v>
      </c>
      <c r="E72" s="321">
        <v>15</v>
      </c>
      <c r="F72" s="299">
        <f t="shared" si="24"/>
        <v>150</v>
      </c>
      <c r="G72" s="299">
        <v>150</v>
      </c>
      <c r="H72" s="179">
        <v>0</v>
      </c>
      <c r="I72" s="304" t="s">
        <v>1774</v>
      </c>
    </row>
    <row r="73" spans="1:9" s="301" customFormat="1" ht="18" hidden="1" customHeight="1">
      <c r="A73" s="198"/>
      <c r="B73" s="298" t="s">
        <v>1879</v>
      </c>
      <c r="C73" s="198" t="s">
        <v>902</v>
      </c>
      <c r="D73" s="321">
        <v>10</v>
      </c>
      <c r="E73" s="321">
        <v>15</v>
      </c>
      <c r="F73" s="299">
        <f t="shared" si="24"/>
        <v>150</v>
      </c>
      <c r="G73" s="299">
        <v>150</v>
      </c>
      <c r="H73" s="179">
        <v>0</v>
      </c>
      <c r="I73" s="304" t="s">
        <v>1774</v>
      </c>
    </row>
    <row r="74" spans="1:9" s="444" customFormat="1" ht="18" customHeight="1">
      <c r="A74" s="125" t="s">
        <v>915</v>
      </c>
      <c r="B74" s="858" t="s">
        <v>916</v>
      </c>
      <c r="C74" s="861"/>
      <c r="D74" s="862"/>
      <c r="E74" s="862"/>
      <c r="F74" s="391">
        <f>SUM(F75:F77)</f>
        <v>1475</v>
      </c>
      <c r="G74" s="391">
        <f>SUM(G75:G77)</f>
        <v>1475</v>
      </c>
      <c r="H74" s="359">
        <v>0</v>
      </c>
      <c r="I74" s="443"/>
    </row>
    <row r="75" spans="1:9" s="319" customFormat="1" ht="26" hidden="1">
      <c r="A75" s="295" t="s">
        <v>742</v>
      </c>
      <c r="B75" s="300" t="s">
        <v>918</v>
      </c>
      <c r="C75" s="358" t="s">
        <v>874</v>
      </c>
      <c r="D75" s="324">
        <v>100</v>
      </c>
      <c r="E75" s="324"/>
      <c r="F75" s="297">
        <v>1200</v>
      </c>
      <c r="G75" s="297">
        <v>1200</v>
      </c>
      <c r="H75" s="359"/>
      <c r="I75" s="304" t="s">
        <v>1774</v>
      </c>
    </row>
    <row r="76" spans="1:9" s="301" customFormat="1" ht="18" hidden="1" customHeight="1">
      <c r="A76" s="198" t="s">
        <v>742</v>
      </c>
      <c r="B76" s="298" t="s">
        <v>930</v>
      </c>
      <c r="C76" s="198" t="s">
        <v>902</v>
      </c>
      <c r="D76" s="321">
        <v>30</v>
      </c>
      <c r="E76" s="321">
        <v>8</v>
      </c>
      <c r="F76" s="299">
        <f t="shared" ref="F76:F77" si="26">E76*D76</f>
        <v>240</v>
      </c>
      <c r="G76" s="299">
        <f t="shared" ref="G76:G77" si="27">F76</f>
        <v>240</v>
      </c>
      <c r="H76" s="179"/>
      <c r="I76" s="304" t="s">
        <v>1774</v>
      </c>
    </row>
    <row r="77" spans="1:9" s="301" customFormat="1" ht="18" hidden="1" customHeight="1">
      <c r="A77" s="198" t="s">
        <v>742</v>
      </c>
      <c r="B77" s="298" t="s">
        <v>920</v>
      </c>
      <c r="C77" s="198" t="s">
        <v>902</v>
      </c>
      <c r="D77" s="321">
        <v>10</v>
      </c>
      <c r="E77" s="321">
        <v>3.5</v>
      </c>
      <c r="F77" s="299">
        <f t="shared" si="26"/>
        <v>35</v>
      </c>
      <c r="G77" s="299">
        <f t="shared" si="27"/>
        <v>35</v>
      </c>
      <c r="H77" s="179"/>
      <c r="I77" s="304" t="s">
        <v>1774</v>
      </c>
    </row>
    <row r="78" spans="1:9" s="106" customFormat="1" ht="18" customHeight="1">
      <c r="A78" s="26">
        <v>4</v>
      </c>
      <c r="B78" s="55" t="s">
        <v>19</v>
      </c>
      <c r="C78" s="26"/>
      <c r="D78" s="741"/>
      <c r="E78" s="741"/>
      <c r="F78" s="21">
        <f>+F79+F89</f>
        <v>22548</v>
      </c>
      <c r="G78" s="21">
        <f t="shared" ref="G78:H78" si="28">+G79+G89</f>
        <v>21484</v>
      </c>
      <c r="H78" s="357">
        <f t="shared" si="28"/>
        <v>1064</v>
      </c>
      <c r="I78" s="445"/>
    </row>
    <row r="79" spans="1:9" s="444" customFormat="1" ht="18" customHeight="1">
      <c r="A79" s="125" t="s">
        <v>911</v>
      </c>
      <c r="B79" s="858" t="s">
        <v>926</v>
      </c>
      <c r="C79" s="125"/>
      <c r="D79" s="862"/>
      <c r="E79" s="862"/>
      <c r="F79" s="391">
        <f>+F80+F81+F86</f>
        <v>21073</v>
      </c>
      <c r="G79" s="391">
        <f t="shared" ref="G79:H79" si="29">+G80+G81+G86</f>
        <v>20009</v>
      </c>
      <c r="H79" s="359">
        <f t="shared" si="29"/>
        <v>1064</v>
      </c>
      <c r="I79" s="443"/>
    </row>
    <row r="80" spans="1:9" s="301" customFormat="1" ht="18" hidden="1" customHeight="1">
      <c r="A80" s="198" t="s">
        <v>927</v>
      </c>
      <c r="B80" s="298" t="s">
        <v>928</v>
      </c>
      <c r="C80" s="198" t="s">
        <v>874</v>
      </c>
      <c r="D80" s="321">
        <v>5000</v>
      </c>
      <c r="E80" s="321">
        <v>3</v>
      </c>
      <c r="F80" s="299">
        <f>D80*E80</f>
        <v>15000</v>
      </c>
      <c r="G80" s="299">
        <f>-2+13938</f>
        <v>13936</v>
      </c>
      <c r="H80" s="179">
        <f>F80-G80</f>
        <v>1064</v>
      </c>
      <c r="I80" s="304" t="s">
        <v>1774</v>
      </c>
    </row>
    <row r="81" spans="1:9" s="301" customFormat="1" ht="104" hidden="1">
      <c r="A81" s="198" t="s">
        <v>927</v>
      </c>
      <c r="B81" s="298" t="s">
        <v>933</v>
      </c>
      <c r="C81" s="198"/>
      <c r="D81" s="321"/>
      <c r="E81" s="321"/>
      <c r="F81" s="299">
        <f t="shared" ref="F81:F88" si="30">G81+H81</f>
        <v>5823</v>
      </c>
      <c r="G81" s="299">
        <f t="shared" ref="G81:H81" si="31">G82+G83+G84+G85</f>
        <v>5823</v>
      </c>
      <c r="H81" s="179">
        <f t="shared" si="31"/>
        <v>0</v>
      </c>
      <c r="I81" s="304" t="s">
        <v>1774</v>
      </c>
    </row>
    <row r="82" spans="1:9" s="301" customFormat="1" ht="18" hidden="1" customHeight="1">
      <c r="A82" s="198"/>
      <c r="B82" s="298" t="s">
        <v>1880</v>
      </c>
      <c r="C82" s="198" t="s">
        <v>874</v>
      </c>
      <c r="D82" s="321">
        <v>10</v>
      </c>
      <c r="E82" s="321">
        <v>10</v>
      </c>
      <c r="F82" s="299">
        <f t="shared" si="30"/>
        <v>100</v>
      </c>
      <c r="G82" s="299">
        <v>100</v>
      </c>
      <c r="H82" s="179">
        <v>0</v>
      </c>
      <c r="I82" s="304" t="s">
        <v>1774</v>
      </c>
    </row>
    <row r="83" spans="1:9" s="301" customFormat="1" ht="52" hidden="1">
      <c r="A83" s="198"/>
      <c r="B83" s="298" t="s">
        <v>1877</v>
      </c>
      <c r="C83" s="198" t="s">
        <v>876</v>
      </c>
      <c r="D83" s="321">
        <v>10</v>
      </c>
      <c r="E83" s="321">
        <v>31</v>
      </c>
      <c r="F83" s="299">
        <f t="shared" si="30"/>
        <v>310</v>
      </c>
      <c r="G83" s="299">
        <v>310</v>
      </c>
      <c r="H83" s="179">
        <v>0</v>
      </c>
      <c r="I83" s="304" t="s">
        <v>1774</v>
      </c>
    </row>
    <row r="84" spans="1:9" s="301" customFormat="1" ht="26" hidden="1">
      <c r="A84" s="198"/>
      <c r="B84" s="298" t="s">
        <v>1878</v>
      </c>
      <c r="C84" s="198"/>
      <c r="D84" s="321"/>
      <c r="E84" s="321"/>
      <c r="F84" s="299">
        <f t="shared" si="30"/>
        <v>3000</v>
      </c>
      <c r="G84" s="299">
        <v>3000</v>
      </c>
      <c r="H84" s="179"/>
      <c r="I84" s="304" t="s">
        <v>1774</v>
      </c>
    </row>
    <row r="85" spans="1:9" s="301" customFormat="1" ht="18" hidden="1" customHeight="1">
      <c r="A85" s="198"/>
      <c r="B85" s="298" t="s">
        <v>924</v>
      </c>
      <c r="C85" s="198"/>
      <c r="D85" s="321"/>
      <c r="E85" s="321"/>
      <c r="F85" s="299">
        <v>2413</v>
      </c>
      <c r="G85" s="299">
        <f>+F85</f>
        <v>2413</v>
      </c>
      <c r="H85" s="179"/>
      <c r="I85" s="304" t="s">
        <v>1774</v>
      </c>
    </row>
    <row r="86" spans="1:9" s="301" customFormat="1" ht="65" hidden="1">
      <c r="A86" s="198" t="s">
        <v>927</v>
      </c>
      <c r="B86" s="298" t="s">
        <v>934</v>
      </c>
      <c r="C86" s="198"/>
      <c r="D86" s="321"/>
      <c r="E86" s="321"/>
      <c r="F86" s="299">
        <f t="shared" si="30"/>
        <v>250</v>
      </c>
      <c r="G86" s="299">
        <f t="shared" ref="G86:H86" si="32">G87+G88</f>
        <v>250</v>
      </c>
      <c r="H86" s="179">
        <f t="shared" si="32"/>
        <v>0</v>
      </c>
      <c r="I86" s="304" t="s">
        <v>1774</v>
      </c>
    </row>
    <row r="87" spans="1:9" s="301" customFormat="1" ht="18" hidden="1" customHeight="1">
      <c r="A87" s="198"/>
      <c r="B87" s="298" t="s">
        <v>1873</v>
      </c>
      <c r="C87" s="198" t="s">
        <v>902</v>
      </c>
      <c r="D87" s="321">
        <v>10</v>
      </c>
      <c r="E87" s="321">
        <v>15</v>
      </c>
      <c r="F87" s="299">
        <f t="shared" si="30"/>
        <v>150</v>
      </c>
      <c r="G87" s="299">
        <v>150</v>
      </c>
      <c r="H87" s="179">
        <v>0</v>
      </c>
      <c r="I87" s="304" t="s">
        <v>1774</v>
      </c>
    </row>
    <row r="88" spans="1:9" s="301" customFormat="1" ht="18" hidden="1" customHeight="1">
      <c r="A88" s="198"/>
      <c r="B88" s="298" t="s">
        <v>1879</v>
      </c>
      <c r="C88" s="198" t="s">
        <v>902</v>
      </c>
      <c r="D88" s="321">
        <v>10</v>
      </c>
      <c r="E88" s="321">
        <v>10</v>
      </c>
      <c r="F88" s="299">
        <f t="shared" si="30"/>
        <v>100</v>
      </c>
      <c r="G88" s="299">
        <v>100</v>
      </c>
      <c r="H88" s="179">
        <v>0</v>
      </c>
      <c r="I88" s="304" t="s">
        <v>1774</v>
      </c>
    </row>
    <row r="89" spans="1:9" s="444" customFormat="1" ht="18" customHeight="1">
      <c r="A89" s="125" t="s">
        <v>915</v>
      </c>
      <c r="B89" s="858" t="s">
        <v>916</v>
      </c>
      <c r="C89" s="861"/>
      <c r="D89" s="862"/>
      <c r="E89" s="862"/>
      <c r="F89" s="391">
        <f>F90+F91+F92</f>
        <v>1475</v>
      </c>
      <c r="G89" s="391">
        <f>G90+G91+G92</f>
        <v>1475</v>
      </c>
      <c r="H89" s="359">
        <v>0</v>
      </c>
      <c r="I89" s="443"/>
    </row>
    <row r="90" spans="1:9" s="319" customFormat="1" ht="26" hidden="1">
      <c r="A90" s="295" t="s">
        <v>742</v>
      </c>
      <c r="B90" s="300" t="s">
        <v>918</v>
      </c>
      <c r="C90" s="358" t="s">
        <v>874</v>
      </c>
      <c r="D90" s="324">
        <v>100</v>
      </c>
      <c r="E90" s="324"/>
      <c r="F90" s="297">
        <v>1200</v>
      </c>
      <c r="G90" s="297">
        <v>1200</v>
      </c>
      <c r="H90" s="359"/>
      <c r="I90" s="304" t="s">
        <v>1774</v>
      </c>
    </row>
    <row r="91" spans="1:9" s="301" customFormat="1" ht="18" hidden="1" customHeight="1">
      <c r="A91" s="198" t="s">
        <v>742</v>
      </c>
      <c r="B91" s="298" t="s">
        <v>930</v>
      </c>
      <c r="C91" s="198" t="s">
        <v>902</v>
      </c>
      <c r="D91" s="321">
        <v>30</v>
      </c>
      <c r="E91" s="321">
        <v>8</v>
      </c>
      <c r="F91" s="299">
        <f t="shared" ref="F91:F92" si="33">E91*D91</f>
        <v>240</v>
      </c>
      <c r="G91" s="299">
        <f>F91</f>
        <v>240</v>
      </c>
      <c r="H91" s="179"/>
      <c r="I91" s="304" t="s">
        <v>1774</v>
      </c>
    </row>
    <row r="92" spans="1:9" s="301" customFormat="1" ht="18" hidden="1" customHeight="1">
      <c r="A92" s="198" t="s">
        <v>742</v>
      </c>
      <c r="B92" s="298" t="s">
        <v>920</v>
      </c>
      <c r="C92" s="198" t="s">
        <v>902</v>
      </c>
      <c r="D92" s="321">
        <v>10</v>
      </c>
      <c r="E92" s="321">
        <v>3.5</v>
      </c>
      <c r="F92" s="299">
        <f t="shared" si="33"/>
        <v>35</v>
      </c>
      <c r="G92" s="299">
        <f>F92</f>
        <v>35</v>
      </c>
      <c r="H92" s="179"/>
      <c r="I92" s="304" t="s">
        <v>1774</v>
      </c>
    </row>
    <row r="93" spans="1:9" s="106" customFormat="1" ht="18" customHeight="1">
      <c r="A93" s="26">
        <v>5</v>
      </c>
      <c r="B93" s="55" t="s">
        <v>17</v>
      </c>
      <c r="C93" s="26"/>
      <c r="D93" s="741"/>
      <c r="E93" s="741"/>
      <c r="F93" s="21">
        <f>+F94+F104</f>
        <v>26922</v>
      </c>
      <c r="G93" s="21">
        <f t="shared" ref="G93:H93" si="34">+G94+G104</f>
        <v>25652</v>
      </c>
      <c r="H93" s="357">
        <f t="shared" si="34"/>
        <v>1270</v>
      </c>
      <c r="I93" s="445"/>
    </row>
    <row r="94" spans="1:9" s="444" customFormat="1" ht="18" customHeight="1">
      <c r="A94" s="125" t="s">
        <v>911</v>
      </c>
      <c r="B94" s="858" t="s">
        <v>926</v>
      </c>
      <c r="C94" s="125"/>
      <c r="D94" s="862"/>
      <c r="E94" s="862"/>
      <c r="F94" s="391">
        <f>+F95+F96+F101</f>
        <v>24687</v>
      </c>
      <c r="G94" s="391">
        <f t="shared" ref="G94:H94" si="35">+G95+G96+G101</f>
        <v>23417</v>
      </c>
      <c r="H94" s="359">
        <f t="shared" si="35"/>
        <v>1270</v>
      </c>
      <c r="I94" s="443"/>
    </row>
    <row r="95" spans="1:9" s="301" customFormat="1" ht="18" hidden="1" customHeight="1">
      <c r="A95" s="198" t="s">
        <v>927</v>
      </c>
      <c r="B95" s="298" t="s">
        <v>931</v>
      </c>
      <c r="C95" s="198" t="s">
        <v>874</v>
      </c>
      <c r="D95" s="321">
        <v>5970</v>
      </c>
      <c r="E95" s="321">
        <v>3</v>
      </c>
      <c r="F95" s="299">
        <f>D95*E95</f>
        <v>17910</v>
      </c>
      <c r="G95" s="299">
        <f>-2+13938+2704</f>
        <v>16640</v>
      </c>
      <c r="H95" s="179">
        <f>F95-G95</f>
        <v>1270</v>
      </c>
      <c r="I95" s="304" t="s">
        <v>1774</v>
      </c>
    </row>
    <row r="96" spans="1:9" s="301" customFormat="1" ht="104" hidden="1">
      <c r="A96" s="198" t="s">
        <v>927</v>
      </c>
      <c r="B96" s="298" t="s">
        <v>933</v>
      </c>
      <c r="C96" s="198"/>
      <c r="D96" s="321"/>
      <c r="E96" s="321"/>
      <c r="F96" s="299">
        <f t="shared" ref="F96:F103" si="36">G96+H96</f>
        <v>6427</v>
      </c>
      <c r="G96" s="299">
        <f t="shared" ref="G96:H96" si="37">G97+G98+G99+G100</f>
        <v>6427</v>
      </c>
      <c r="H96" s="179">
        <f t="shared" si="37"/>
        <v>0</v>
      </c>
      <c r="I96" s="304" t="s">
        <v>1774</v>
      </c>
    </row>
    <row r="97" spans="1:9" s="301" customFormat="1" ht="18" hidden="1" customHeight="1">
      <c r="A97" s="198"/>
      <c r="B97" s="298" t="s">
        <v>1880</v>
      </c>
      <c r="C97" s="198" t="s">
        <v>874</v>
      </c>
      <c r="D97" s="321">
        <v>10</v>
      </c>
      <c r="E97" s="321">
        <v>10</v>
      </c>
      <c r="F97" s="299">
        <f t="shared" si="36"/>
        <v>100</v>
      </c>
      <c r="G97" s="299">
        <v>100</v>
      </c>
      <c r="H97" s="179">
        <v>0</v>
      </c>
      <c r="I97" s="304" t="s">
        <v>1774</v>
      </c>
    </row>
    <row r="98" spans="1:9" s="301" customFormat="1" ht="52" hidden="1">
      <c r="A98" s="198"/>
      <c r="B98" s="298" t="s">
        <v>1877</v>
      </c>
      <c r="C98" s="198" t="s">
        <v>876</v>
      </c>
      <c r="D98" s="321">
        <v>10</v>
      </c>
      <c r="E98" s="321">
        <v>31</v>
      </c>
      <c r="F98" s="299">
        <f t="shared" si="36"/>
        <v>310</v>
      </c>
      <c r="G98" s="299">
        <v>310</v>
      </c>
      <c r="H98" s="179">
        <v>0</v>
      </c>
      <c r="I98" s="304" t="s">
        <v>1774</v>
      </c>
    </row>
    <row r="99" spans="1:9" s="301" customFormat="1" ht="26" hidden="1">
      <c r="A99" s="198"/>
      <c r="B99" s="298" t="s">
        <v>1878</v>
      </c>
      <c r="C99" s="198"/>
      <c r="D99" s="321"/>
      <c r="E99" s="321"/>
      <c r="F99" s="299">
        <f t="shared" si="36"/>
        <v>3000</v>
      </c>
      <c r="G99" s="299">
        <v>3000</v>
      </c>
      <c r="H99" s="179"/>
      <c r="I99" s="304" t="s">
        <v>1774</v>
      </c>
    </row>
    <row r="100" spans="1:9" s="301" customFormat="1" ht="18" hidden="1" customHeight="1">
      <c r="A100" s="198"/>
      <c r="B100" s="298" t="s">
        <v>924</v>
      </c>
      <c r="C100" s="198"/>
      <c r="D100" s="321"/>
      <c r="E100" s="321"/>
      <c r="F100" s="299">
        <v>3017</v>
      </c>
      <c r="G100" s="299">
        <f>+F100</f>
        <v>3017</v>
      </c>
      <c r="H100" s="179"/>
      <c r="I100" s="304" t="s">
        <v>1774</v>
      </c>
    </row>
    <row r="101" spans="1:9" s="301" customFormat="1" ht="65" hidden="1">
      <c r="A101" s="198" t="s">
        <v>927</v>
      </c>
      <c r="B101" s="298" t="s">
        <v>934</v>
      </c>
      <c r="C101" s="198"/>
      <c r="D101" s="321"/>
      <c r="E101" s="321"/>
      <c r="F101" s="299">
        <f t="shared" si="36"/>
        <v>350</v>
      </c>
      <c r="G101" s="299">
        <f t="shared" ref="G101:H101" si="38">G102+G103</f>
        <v>350</v>
      </c>
      <c r="H101" s="179">
        <f t="shared" si="38"/>
        <v>0</v>
      </c>
      <c r="I101" s="304" t="s">
        <v>1774</v>
      </c>
    </row>
    <row r="102" spans="1:9" s="301" customFormat="1" ht="18" hidden="1" customHeight="1">
      <c r="A102" s="198"/>
      <c r="B102" s="298" t="s">
        <v>1873</v>
      </c>
      <c r="C102" s="198" t="s">
        <v>902</v>
      </c>
      <c r="D102" s="321">
        <v>10</v>
      </c>
      <c r="E102" s="321">
        <v>20</v>
      </c>
      <c r="F102" s="299">
        <f t="shared" si="36"/>
        <v>200</v>
      </c>
      <c r="G102" s="299">
        <v>200</v>
      </c>
      <c r="H102" s="179">
        <v>0</v>
      </c>
      <c r="I102" s="304" t="s">
        <v>1774</v>
      </c>
    </row>
    <row r="103" spans="1:9" s="301" customFormat="1" ht="18" hidden="1" customHeight="1">
      <c r="A103" s="198"/>
      <c r="B103" s="298" t="s">
        <v>1879</v>
      </c>
      <c r="C103" s="198" t="s">
        <v>902</v>
      </c>
      <c r="D103" s="321">
        <v>10</v>
      </c>
      <c r="E103" s="321">
        <v>15</v>
      </c>
      <c r="F103" s="299">
        <f t="shared" si="36"/>
        <v>150</v>
      </c>
      <c r="G103" s="299">
        <v>150</v>
      </c>
      <c r="H103" s="179">
        <v>0</v>
      </c>
      <c r="I103" s="304" t="s">
        <v>1774</v>
      </c>
    </row>
    <row r="104" spans="1:9" s="444" customFormat="1" ht="18" customHeight="1">
      <c r="A104" s="125" t="s">
        <v>915</v>
      </c>
      <c r="B104" s="858" t="s">
        <v>916</v>
      </c>
      <c r="C104" s="861"/>
      <c r="D104" s="862"/>
      <c r="E104" s="862"/>
      <c r="F104" s="391">
        <f>F105+F106+F107</f>
        <v>2235</v>
      </c>
      <c r="G104" s="391">
        <f>G105+G106+G107</f>
        <v>2235</v>
      </c>
      <c r="H104" s="359">
        <v>0</v>
      </c>
      <c r="I104" s="443"/>
    </row>
    <row r="105" spans="1:9" s="319" customFormat="1" ht="26" hidden="1">
      <c r="A105" s="295" t="s">
        <v>742</v>
      </c>
      <c r="B105" s="300" t="s">
        <v>918</v>
      </c>
      <c r="C105" s="358" t="s">
        <v>874</v>
      </c>
      <c r="D105" s="324">
        <v>150</v>
      </c>
      <c r="E105" s="324"/>
      <c r="F105" s="297">
        <v>1800</v>
      </c>
      <c r="G105" s="297">
        <v>1800</v>
      </c>
      <c r="H105" s="359"/>
      <c r="I105" s="304" t="s">
        <v>1774</v>
      </c>
    </row>
    <row r="106" spans="1:9" s="301" customFormat="1" ht="18" hidden="1" customHeight="1">
      <c r="A106" s="198" t="s">
        <v>742</v>
      </c>
      <c r="B106" s="298" t="s">
        <v>930</v>
      </c>
      <c r="C106" s="198" t="s">
        <v>902</v>
      </c>
      <c r="D106" s="321">
        <v>50</v>
      </c>
      <c r="E106" s="321">
        <v>8</v>
      </c>
      <c r="F106" s="299">
        <f t="shared" ref="F106:F107" si="39">E106*D106</f>
        <v>400</v>
      </c>
      <c r="G106" s="299">
        <f>F106</f>
        <v>400</v>
      </c>
      <c r="H106" s="179"/>
      <c r="I106" s="304" t="s">
        <v>1774</v>
      </c>
    </row>
    <row r="107" spans="1:9" s="301" customFormat="1" ht="18" hidden="1" customHeight="1">
      <c r="A107" s="198" t="s">
        <v>742</v>
      </c>
      <c r="B107" s="298" t="s">
        <v>920</v>
      </c>
      <c r="C107" s="198" t="s">
        <v>902</v>
      </c>
      <c r="D107" s="321">
        <v>10</v>
      </c>
      <c r="E107" s="321">
        <v>3.5</v>
      </c>
      <c r="F107" s="299">
        <f t="shared" si="39"/>
        <v>35</v>
      </c>
      <c r="G107" s="299">
        <f>F107</f>
        <v>35</v>
      </c>
      <c r="H107" s="179"/>
      <c r="I107" s="304" t="s">
        <v>1774</v>
      </c>
    </row>
    <row r="108" spans="1:9" s="106" customFormat="1" ht="18" customHeight="1">
      <c r="A108" s="26">
        <v>6</v>
      </c>
      <c r="B108" s="55" t="s">
        <v>15</v>
      </c>
      <c r="C108" s="26"/>
      <c r="D108" s="741"/>
      <c r="E108" s="741"/>
      <c r="F108" s="21">
        <f>+F109+F119</f>
        <v>27058</v>
      </c>
      <c r="G108" s="21">
        <f t="shared" ref="G108:H108" si="40">+G109+G119</f>
        <v>25781</v>
      </c>
      <c r="H108" s="357">
        <f t="shared" si="40"/>
        <v>1277</v>
      </c>
      <c r="I108" s="445"/>
    </row>
    <row r="109" spans="1:9" s="444" customFormat="1" ht="18" customHeight="1">
      <c r="A109" s="125" t="s">
        <v>911</v>
      </c>
      <c r="B109" s="858" t="s">
        <v>926</v>
      </c>
      <c r="C109" s="125"/>
      <c r="D109" s="862"/>
      <c r="E109" s="862"/>
      <c r="F109" s="391">
        <f>+F110+F111+F116</f>
        <v>24923</v>
      </c>
      <c r="G109" s="391">
        <f t="shared" ref="G109:H109" si="41">+G110+G111+G116</f>
        <v>23646</v>
      </c>
      <c r="H109" s="359">
        <f t="shared" si="41"/>
        <v>1277</v>
      </c>
      <c r="I109" s="443"/>
    </row>
    <row r="110" spans="1:9" s="301" customFormat="1" ht="18" hidden="1" customHeight="1">
      <c r="A110" s="198" t="s">
        <v>927</v>
      </c>
      <c r="B110" s="298" t="s">
        <v>931</v>
      </c>
      <c r="C110" s="198" t="s">
        <v>874</v>
      </c>
      <c r="D110" s="321">
        <v>6000</v>
      </c>
      <c r="E110" s="321">
        <v>3</v>
      </c>
      <c r="F110" s="299">
        <f>D110*E110</f>
        <v>18000</v>
      </c>
      <c r="G110" s="299">
        <f>-2+13938+2704+83</f>
        <v>16723</v>
      </c>
      <c r="H110" s="179">
        <f>F110-G110</f>
        <v>1277</v>
      </c>
      <c r="I110" s="304" t="s">
        <v>1774</v>
      </c>
    </row>
    <row r="111" spans="1:9" s="301" customFormat="1" ht="104" hidden="1">
      <c r="A111" s="198" t="s">
        <v>927</v>
      </c>
      <c r="B111" s="298" t="s">
        <v>933</v>
      </c>
      <c r="C111" s="198"/>
      <c r="D111" s="321"/>
      <c r="E111" s="321"/>
      <c r="F111" s="299">
        <f>SUM(F112:F115)</f>
        <v>6523</v>
      </c>
      <c r="G111" s="299">
        <f t="shared" ref="G111:H111" si="42">SUM(G112:G115)</f>
        <v>6523</v>
      </c>
      <c r="H111" s="179">
        <f t="shared" si="42"/>
        <v>0</v>
      </c>
      <c r="I111" s="304" t="s">
        <v>1774</v>
      </c>
    </row>
    <row r="112" spans="1:9" s="301" customFormat="1" ht="18" hidden="1" customHeight="1">
      <c r="A112" s="198"/>
      <c r="B112" s="298" t="s">
        <v>1880</v>
      </c>
      <c r="C112" s="198" t="s">
        <v>874</v>
      </c>
      <c r="D112" s="321">
        <v>10</v>
      </c>
      <c r="E112" s="321">
        <v>10</v>
      </c>
      <c r="F112" s="299">
        <f t="shared" ref="F112:F118" si="43">G112+H112</f>
        <v>100</v>
      </c>
      <c r="G112" s="299">
        <v>100</v>
      </c>
      <c r="H112" s="179">
        <v>0</v>
      </c>
      <c r="I112" s="304" t="s">
        <v>1774</v>
      </c>
    </row>
    <row r="113" spans="1:9" s="301" customFormat="1" ht="52" hidden="1">
      <c r="A113" s="198"/>
      <c r="B113" s="298" t="s">
        <v>1877</v>
      </c>
      <c r="C113" s="198" t="s">
        <v>876</v>
      </c>
      <c r="D113" s="321">
        <v>10</v>
      </c>
      <c r="E113" s="321">
        <v>31</v>
      </c>
      <c r="F113" s="299">
        <f t="shared" si="43"/>
        <v>310</v>
      </c>
      <c r="G113" s="299">
        <v>310</v>
      </c>
      <c r="H113" s="179">
        <v>0</v>
      </c>
      <c r="I113" s="304" t="s">
        <v>1774</v>
      </c>
    </row>
    <row r="114" spans="1:9" s="301" customFormat="1" ht="26" hidden="1">
      <c r="A114" s="198"/>
      <c r="B114" s="298" t="s">
        <v>1878</v>
      </c>
      <c r="C114" s="198"/>
      <c r="D114" s="321"/>
      <c r="E114" s="321"/>
      <c r="F114" s="299">
        <f t="shared" si="43"/>
        <v>3000</v>
      </c>
      <c r="G114" s="299">
        <v>3000</v>
      </c>
      <c r="H114" s="179"/>
      <c r="I114" s="304" t="s">
        <v>1774</v>
      </c>
    </row>
    <row r="115" spans="1:9" s="301" customFormat="1" ht="18" hidden="1" customHeight="1">
      <c r="A115" s="198"/>
      <c r="B115" s="298" t="s">
        <v>924</v>
      </c>
      <c r="C115" s="198"/>
      <c r="D115" s="321"/>
      <c r="E115" s="321"/>
      <c r="F115" s="299">
        <f>3561-448</f>
        <v>3113</v>
      </c>
      <c r="G115" s="299">
        <f>+F115</f>
        <v>3113</v>
      </c>
      <c r="H115" s="179"/>
      <c r="I115" s="304" t="s">
        <v>1774</v>
      </c>
    </row>
    <row r="116" spans="1:9" s="301" customFormat="1" ht="65" hidden="1">
      <c r="A116" s="198" t="s">
        <v>742</v>
      </c>
      <c r="B116" s="298" t="s">
        <v>934</v>
      </c>
      <c r="C116" s="198"/>
      <c r="D116" s="321"/>
      <c r="E116" s="321"/>
      <c r="F116" s="299">
        <f t="shared" si="43"/>
        <v>400</v>
      </c>
      <c r="G116" s="299">
        <f t="shared" ref="G116:H116" si="44">G117+G118</f>
        <v>400</v>
      </c>
      <c r="H116" s="179">
        <f t="shared" si="44"/>
        <v>0</v>
      </c>
      <c r="I116" s="304" t="s">
        <v>1774</v>
      </c>
    </row>
    <row r="117" spans="1:9" s="301" customFormat="1" ht="18" hidden="1" customHeight="1">
      <c r="A117" s="198"/>
      <c r="B117" s="298" t="s">
        <v>1873</v>
      </c>
      <c r="C117" s="198" t="s">
        <v>902</v>
      </c>
      <c r="D117" s="321">
        <v>10</v>
      </c>
      <c r="E117" s="321">
        <v>20</v>
      </c>
      <c r="F117" s="299">
        <f t="shared" si="43"/>
        <v>200</v>
      </c>
      <c r="G117" s="299">
        <v>200</v>
      </c>
      <c r="H117" s="179">
        <v>0</v>
      </c>
      <c r="I117" s="304" t="s">
        <v>1774</v>
      </c>
    </row>
    <row r="118" spans="1:9" s="301" customFormat="1" ht="18" hidden="1" customHeight="1">
      <c r="A118" s="198"/>
      <c r="B118" s="298" t="s">
        <v>1879</v>
      </c>
      <c r="C118" s="198" t="s">
        <v>902</v>
      </c>
      <c r="D118" s="321">
        <v>10</v>
      </c>
      <c r="E118" s="321">
        <v>20</v>
      </c>
      <c r="F118" s="299">
        <f t="shared" si="43"/>
        <v>200</v>
      </c>
      <c r="G118" s="299">
        <v>200</v>
      </c>
      <c r="H118" s="179">
        <v>0</v>
      </c>
      <c r="I118" s="304" t="s">
        <v>1774</v>
      </c>
    </row>
    <row r="119" spans="1:9" s="444" customFormat="1" ht="18" customHeight="1">
      <c r="A119" s="125" t="s">
        <v>915</v>
      </c>
      <c r="B119" s="858" t="s">
        <v>916</v>
      </c>
      <c r="C119" s="861"/>
      <c r="D119" s="862"/>
      <c r="E119" s="862"/>
      <c r="F119" s="391">
        <f>F120+F121+F122</f>
        <v>2135</v>
      </c>
      <c r="G119" s="391">
        <f>G120+G121+G122</f>
        <v>2135</v>
      </c>
      <c r="H119" s="359">
        <v>0</v>
      </c>
      <c r="I119" s="443"/>
    </row>
    <row r="120" spans="1:9" s="319" customFormat="1" ht="26" hidden="1">
      <c r="A120" s="295" t="s">
        <v>742</v>
      </c>
      <c r="B120" s="300" t="s">
        <v>918</v>
      </c>
      <c r="C120" s="358" t="s">
        <v>874</v>
      </c>
      <c r="D120" s="324">
        <v>125</v>
      </c>
      <c r="E120" s="324"/>
      <c r="F120" s="297">
        <v>1500</v>
      </c>
      <c r="G120" s="297">
        <v>1500</v>
      </c>
      <c r="H120" s="359"/>
      <c r="I120" s="304" t="s">
        <v>1774</v>
      </c>
    </row>
    <row r="121" spans="1:9" s="301" customFormat="1" ht="18" hidden="1" customHeight="1">
      <c r="A121" s="198" t="s">
        <v>742</v>
      </c>
      <c r="B121" s="298" t="s">
        <v>930</v>
      </c>
      <c r="C121" s="198" t="s">
        <v>902</v>
      </c>
      <c r="D121" s="321">
        <v>75</v>
      </c>
      <c r="E121" s="321">
        <v>8</v>
      </c>
      <c r="F121" s="299">
        <f t="shared" ref="F121:F122" si="45">E121*D121</f>
        <v>600</v>
      </c>
      <c r="G121" s="299">
        <f>F121</f>
        <v>600</v>
      </c>
      <c r="H121" s="179"/>
      <c r="I121" s="304" t="s">
        <v>1774</v>
      </c>
    </row>
    <row r="122" spans="1:9" s="301" customFormat="1" ht="18" hidden="1" customHeight="1">
      <c r="A122" s="198" t="s">
        <v>742</v>
      </c>
      <c r="B122" s="298" t="s">
        <v>920</v>
      </c>
      <c r="C122" s="198" t="s">
        <v>902</v>
      </c>
      <c r="D122" s="321">
        <v>10</v>
      </c>
      <c r="E122" s="321">
        <v>3.5</v>
      </c>
      <c r="F122" s="299">
        <f t="shared" si="45"/>
        <v>35</v>
      </c>
      <c r="G122" s="299">
        <f>F122</f>
        <v>35</v>
      </c>
      <c r="H122" s="179"/>
      <c r="I122" s="304" t="s">
        <v>1774</v>
      </c>
    </row>
    <row r="123" spans="1:9" s="106" customFormat="1" ht="18" customHeight="1">
      <c r="A123" s="26">
        <v>7</v>
      </c>
      <c r="B123" s="55" t="s">
        <v>13</v>
      </c>
      <c r="C123" s="26"/>
      <c r="D123" s="741"/>
      <c r="E123" s="741"/>
      <c r="F123" s="21">
        <f>+F124+F134</f>
        <v>13529</v>
      </c>
      <c r="G123" s="21">
        <f t="shared" ref="G123:H123" si="46">+G124+G134</f>
        <v>12891</v>
      </c>
      <c r="H123" s="357">
        <f t="shared" si="46"/>
        <v>638</v>
      </c>
      <c r="I123" s="445"/>
    </row>
    <row r="124" spans="1:9" s="444" customFormat="1" ht="18" customHeight="1">
      <c r="A124" s="125" t="s">
        <v>911</v>
      </c>
      <c r="B124" s="858" t="s">
        <v>926</v>
      </c>
      <c r="C124" s="125"/>
      <c r="D124" s="862"/>
      <c r="E124" s="862"/>
      <c r="F124" s="391">
        <f>+F125+F126+F131</f>
        <v>12954</v>
      </c>
      <c r="G124" s="391">
        <f t="shared" ref="G124:H124" si="47">+G125+G126+G131</f>
        <v>12316</v>
      </c>
      <c r="H124" s="359">
        <f t="shared" si="47"/>
        <v>638</v>
      </c>
      <c r="I124" s="443"/>
    </row>
    <row r="125" spans="1:9" s="301" customFormat="1" ht="18" hidden="1" customHeight="1">
      <c r="A125" s="198" t="s">
        <v>927</v>
      </c>
      <c r="B125" s="298" t="s">
        <v>931</v>
      </c>
      <c r="C125" s="198" t="s">
        <v>874</v>
      </c>
      <c r="D125" s="321">
        <v>3000</v>
      </c>
      <c r="E125" s="321">
        <v>3</v>
      </c>
      <c r="F125" s="299">
        <f>D125*E125</f>
        <v>9000</v>
      </c>
      <c r="G125" s="299">
        <v>8362</v>
      </c>
      <c r="H125" s="179">
        <f>F125-G125</f>
        <v>638</v>
      </c>
      <c r="I125" s="304" t="s">
        <v>1774</v>
      </c>
    </row>
    <row r="126" spans="1:9" s="301" customFormat="1" ht="104" hidden="1">
      <c r="A126" s="198" t="s">
        <v>927</v>
      </c>
      <c r="B126" s="298" t="s">
        <v>933</v>
      </c>
      <c r="C126" s="198"/>
      <c r="D126" s="321"/>
      <c r="E126" s="321"/>
      <c r="F126" s="299">
        <f>SUM(F127:F130)</f>
        <v>3704</v>
      </c>
      <c r="G126" s="299">
        <f t="shared" ref="G126:H126" si="48">SUM(G127:G130)</f>
        <v>3704</v>
      </c>
      <c r="H126" s="179">
        <f t="shared" si="48"/>
        <v>0</v>
      </c>
      <c r="I126" s="304" t="s">
        <v>1774</v>
      </c>
    </row>
    <row r="127" spans="1:9" s="301" customFormat="1" ht="18" hidden="1" customHeight="1">
      <c r="A127" s="198"/>
      <c r="B127" s="298" t="s">
        <v>1880</v>
      </c>
      <c r="C127" s="198" t="s">
        <v>874</v>
      </c>
      <c r="D127" s="321">
        <v>10</v>
      </c>
      <c r="E127" s="321">
        <v>10</v>
      </c>
      <c r="F127" s="299">
        <f t="shared" ref="F127:F133" si="49">G127+H127</f>
        <v>100</v>
      </c>
      <c r="G127" s="299">
        <v>100</v>
      </c>
      <c r="H127" s="179">
        <v>0</v>
      </c>
      <c r="I127" s="304" t="s">
        <v>1774</v>
      </c>
    </row>
    <row r="128" spans="1:9" s="301" customFormat="1" ht="52" hidden="1">
      <c r="A128" s="198"/>
      <c r="B128" s="298" t="s">
        <v>1877</v>
      </c>
      <c r="C128" s="198" t="s">
        <v>876</v>
      </c>
      <c r="D128" s="321">
        <v>10</v>
      </c>
      <c r="E128" s="321">
        <v>31</v>
      </c>
      <c r="F128" s="299">
        <f t="shared" si="49"/>
        <v>310</v>
      </c>
      <c r="G128" s="299">
        <v>310</v>
      </c>
      <c r="H128" s="179">
        <v>0</v>
      </c>
      <c r="I128" s="304" t="s">
        <v>1774</v>
      </c>
    </row>
    <row r="129" spans="1:9" s="301" customFormat="1" ht="26" hidden="1">
      <c r="A129" s="198"/>
      <c r="B129" s="298" t="s">
        <v>1878</v>
      </c>
      <c r="C129" s="198"/>
      <c r="D129" s="321"/>
      <c r="E129" s="321"/>
      <c r="F129" s="299">
        <f>1986+421</f>
        <v>2407</v>
      </c>
      <c r="G129" s="299">
        <f>+F129</f>
        <v>2407</v>
      </c>
      <c r="H129" s="179">
        <v>0</v>
      </c>
      <c r="I129" s="304" t="s">
        <v>1774</v>
      </c>
    </row>
    <row r="130" spans="1:9" s="301" customFormat="1" ht="18" hidden="1" customHeight="1">
      <c r="A130" s="198"/>
      <c r="B130" s="298" t="s">
        <v>924</v>
      </c>
      <c r="C130" s="198"/>
      <c r="D130" s="321"/>
      <c r="E130" s="321"/>
      <c r="F130" s="299">
        <f t="shared" si="49"/>
        <v>887</v>
      </c>
      <c r="G130" s="299">
        <v>887</v>
      </c>
      <c r="H130" s="179"/>
      <c r="I130" s="304" t="s">
        <v>1774</v>
      </c>
    </row>
    <row r="131" spans="1:9" s="301" customFormat="1" ht="65" hidden="1">
      <c r="A131" s="198" t="s">
        <v>742</v>
      </c>
      <c r="B131" s="298" t="s">
        <v>934</v>
      </c>
      <c r="C131" s="198"/>
      <c r="D131" s="321"/>
      <c r="E131" s="321"/>
      <c r="F131" s="299">
        <f t="shared" si="49"/>
        <v>250</v>
      </c>
      <c r="G131" s="299">
        <f t="shared" ref="G131:H131" si="50">G132+G133</f>
        <v>250</v>
      </c>
      <c r="H131" s="179">
        <f t="shared" si="50"/>
        <v>0</v>
      </c>
      <c r="I131" s="304" t="s">
        <v>1774</v>
      </c>
    </row>
    <row r="132" spans="1:9" s="301" customFormat="1" ht="18" hidden="1" customHeight="1">
      <c r="A132" s="198"/>
      <c r="B132" s="298" t="s">
        <v>1873</v>
      </c>
      <c r="C132" s="198" t="s">
        <v>902</v>
      </c>
      <c r="D132" s="321">
        <v>10</v>
      </c>
      <c r="E132" s="321">
        <v>15</v>
      </c>
      <c r="F132" s="299">
        <f t="shared" si="49"/>
        <v>150</v>
      </c>
      <c r="G132" s="299">
        <v>150</v>
      </c>
      <c r="H132" s="179">
        <v>0</v>
      </c>
      <c r="I132" s="304" t="s">
        <v>1774</v>
      </c>
    </row>
    <row r="133" spans="1:9" s="301" customFormat="1" ht="18" hidden="1" customHeight="1">
      <c r="A133" s="198"/>
      <c r="B133" s="298" t="s">
        <v>1879</v>
      </c>
      <c r="C133" s="198" t="s">
        <v>902</v>
      </c>
      <c r="D133" s="321">
        <v>10</v>
      </c>
      <c r="E133" s="321">
        <v>10</v>
      </c>
      <c r="F133" s="299">
        <f t="shared" si="49"/>
        <v>100</v>
      </c>
      <c r="G133" s="299">
        <v>100</v>
      </c>
      <c r="H133" s="179">
        <v>0</v>
      </c>
      <c r="I133" s="304" t="s">
        <v>1774</v>
      </c>
    </row>
    <row r="134" spans="1:9" s="444" customFormat="1" ht="18" customHeight="1">
      <c r="A134" s="125" t="s">
        <v>915</v>
      </c>
      <c r="B134" s="858" t="s">
        <v>916</v>
      </c>
      <c r="C134" s="861"/>
      <c r="D134" s="862"/>
      <c r="E134" s="862"/>
      <c r="F134" s="391">
        <f>F135+F136+F137</f>
        <v>575</v>
      </c>
      <c r="G134" s="391">
        <f>G135+G136+G137</f>
        <v>575</v>
      </c>
      <c r="H134" s="359">
        <v>0</v>
      </c>
      <c r="I134" s="443"/>
    </row>
    <row r="135" spans="1:9" s="319" customFormat="1" ht="26" hidden="1">
      <c r="A135" s="295" t="s">
        <v>742</v>
      </c>
      <c r="B135" s="300" t="s">
        <v>918</v>
      </c>
      <c r="C135" s="358" t="s">
        <v>874</v>
      </c>
      <c r="D135" s="324">
        <v>25</v>
      </c>
      <c r="E135" s="324"/>
      <c r="F135" s="297">
        <v>300</v>
      </c>
      <c r="G135" s="297">
        <v>300</v>
      </c>
      <c r="H135" s="359"/>
      <c r="I135" s="304" t="s">
        <v>1774</v>
      </c>
    </row>
    <row r="136" spans="1:9" s="301" customFormat="1" ht="18" hidden="1" customHeight="1">
      <c r="A136" s="198" t="s">
        <v>742</v>
      </c>
      <c r="B136" s="298" t="s">
        <v>930</v>
      </c>
      <c r="C136" s="198" t="s">
        <v>902</v>
      </c>
      <c r="D136" s="321">
        <v>30</v>
      </c>
      <c r="E136" s="321">
        <v>8</v>
      </c>
      <c r="F136" s="299">
        <f t="shared" ref="F136:F137" si="51">E136*D136</f>
        <v>240</v>
      </c>
      <c r="G136" s="299">
        <f>F136</f>
        <v>240</v>
      </c>
      <c r="H136" s="179"/>
      <c r="I136" s="304" t="s">
        <v>1774</v>
      </c>
    </row>
    <row r="137" spans="1:9" s="301" customFormat="1" ht="18" hidden="1" customHeight="1">
      <c r="A137" s="198" t="s">
        <v>935</v>
      </c>
      <c r="B137" s="298" t="s">
        <v>920</v>
      </c>
      <c r="C137" s="198" t="s">
        <v>902</v>
      </c>
      <c r="D137" s="321">
        <v>10</v>
      </c>
      <c r="E137" s="321">
        <v>3.5</v>
      </c>
      <c r="F137" s="299">
        <f t="shared" si="51"/>
        <v>35</v>
      </c>
      <c r="G137" s="299">
        <f>F137</f>
        <v>35</v>
      </c>
      <c r="H137" s="179"/>
      <c r="I137" s="304" t="s">
        <v>1774</v>
      </c>
    </row>
    <row r="138" spans="1:9" s="106" customFormat="1" ht="18" customHeight="1">
      <c r="A138" s="26">
        <v>8</v>
      </c>
      <c r="B138" s="55" t="s">
        <v>11</v>
      </c>
      <c r="C138" s="26"/>
      <c r="D138" s="741"/>
      <c r="E138" s="741"/>
      <c r="F138" s="21">
        <f>+F139+F149</f>
        <v>22548</v>
      </c>
      <c r="G138" s="21">
        <f t="shared" ref="G138:H138" si="52">+G139+G149</f>
        <v>21484</v>
      </c>
      <c r="H138" s="357">
        <f t="shared" si="52"/>
        <v>1064</v>
      </c>
      <c r="I138" s="445"/>
    </row>
    <row r="139" spans="1:9" s="444" customFormat="1" ht="18" customHeight="1">
      <c r="A139" s="125" t="s">
        <v>911</v>
      </c>
      <c r="B139" s="858" t="s">
        <v>926</v>
      </c>
      <c r="C139" s="125"/>
      <c r="D139" s="862"/>
      <c r="E139" s="862"/>
      <c r="F139" s="391">
        <f>+F140+F141+F146</f>
        <v>21673</v>
      </c>
      <c r="G139" s="391">
        <f t="shared" ref="G139:H139" si="53">+G140+G141+G146</f>
        <v>20609</v>
      </c>
      <c r="H139" s="359">
        <f t="shared" si="53"/>
        <v>1064</v>
      </c>
      <c r="I139" s="443"/>
    </row>
    <row r="140" spans="1:9" s="301" customFormat="1" ht="18" hidden="1" customHeight="1">
      <c r="A140" s="198" t="s">
        <v>927</v>
      </c>
      <c r="B140" s="298" t="s">
        <v>931</v>
      </c>
      <c r="C140" s="198" t="s">
        <v>874</v>
      </c>
      <c r="D140" s="321">
        <v>5000</v>
      </c>
      <c r="E140" s="321">
        <v>3</v>
      </c>
      <c r="F140" s="299">
        <f>D140*E140</f>
        <v>15000</v>
      </c>
      <c r="G140" s="299">
        <v>13936</v>
      </c>
      <c r="H140" s="179">
        <f>F140-G140</f>
        <v>1064</v>
      </c>
      <c r="I140" s="304" t="s">
        <v>1774</v>
      </c>
    </row>
    <row r="141" spans="1:9" s="301" customFormat="1" ht="104" hidden="1">
      <c r="A141" s="198" t="s">
        <v>927</v>
      </c>
      <c r="B141" s="298" t="s">
        <v>933</v>
      </c>
      <c r="C141" s="198"/>
      <c r="D141" s="321"/>
      <c r="E141" s="321"/>
      <c r="F141" s="299">
        <f>SUM(F142:F145)</f>
        <v>6323</v>
      </c>
      <c r="G141" s="299">
        <f t="shared" ref="G141:H141" si="54">SUM(G142:G145)</f>
        <v>6323</v>
      </c>
      <c r="H141" s="179">
        <f t="shared" si="54"/>
        <v>0</v>
      </c>
      <c r="I141" s="304" t="s">
        <v>1774</v>
      </c>
    </row>
    <row r="142" spans="1:9" s="301" customFormat="1" ht="18" hidden="1" customHeight="1">
      <c r="A142" s="198"/>
      <c r="B142" s="298" t="s">
        <v>1880</v>
      </c>
      <c r="C142" s="198" t="s">
        <v>874</v>
      </c>
      <c r="D142" s="321">
        <v>10</v>
      </c>
      <c r="E142" s="321">
        <v>10</v>
      </c>
      <c r="F142" s="299">
        <f t="shared" ref="F142:F147" si="55">G142+H142</f>
        <v>100</v>
      </c>
      <c r="G142" s="299">
        <v>100</v>
      </c>
      <c r="H142" s="179">
        <v>0</v>
      </c>
      <c r="I142" s="304" t="s">
        <v>1774</v>
      </c>
    </row>
    <row r="143" spans="1:9" s="301" customFormat="1" ht="52" hidden="1">
      <c r="A143" s="198"/>
      <c r="B143" s="298" t="s">
        <v>1877</v>
      </c>
      <c r="C143" s="198" t="s">
        <v>876</v>
      </c>
      <c r="D143" s="321">
        <v>10</v>
      </c>
      <c r="E143" s="321">
        <v>31</v>
      </c>
      <c r="F143" s="299">
        <f t="shared" si="55"/>
        <v>310</v>
      </c>
      <c r="G143" s="299">
        <v>310</v>
      </c>
      <c r="H143" s="179">
        <v>0</v>
      </c>
      <c r="I143" s="304" t="s">
        <v>1774</v>
      </c>
    </row>
    <row r="144" spans="1:9" s="301" customFormat="1" ht="26" hidden="1">
      <c r="A144" s="198"/>
      <c r="B144" s="298" t="s">
        <v>1878</v>
      </c>
      <c r="C144" s="198"/>
      <c r="D144" s="321"/>
      <c r="E144" s="321"/>
      <c r="F144" s="299">
        <f t="shared" si="55"/>
        <v>3000</v>
      </c>
      <c r="G144" s="299">
        <v>3000</v>
      </c>
      <c r="H144" s="179"/>
      <c r="I144" s="304" t="s">
        <v>1774</v>
      </c>
    </row>
    <row r="145" spans="1:9" s="301" customFormat="1" ht="18" hidden="1" customHeight="1">
      <c r="A145" s="198"/>
      <c r="B145" s="298" t="s">
        <v>924</v>
      </c>
      <c r="C145" s="198"/>
      <c r="D145" s="321"/>
      <c r="E145" s="321"/>
      <c r="F145" s="299">
        <f>G145+H145</f>
        <v>2913</v>
      </c>
      <c r="G145" s="299">
        <v>2913</v>
      </c>
      <c r="H145" s="179"/>
      <c r="I145" s="304" t="s">
        <v>1774</v>
      </c>
    </row>
    <row r="146" spans="1:9" s="301" customFormat="1" ht="65" hidden="1">
      <c r="A146" s="198" t="s">
        <v>927</v>
      </c>
      <c r="B146" s="298" t="s">
        <v>934</v>
      </c>
      <c r="C146" s="198"/>
      <c r="D146" s="321"/>
      <c r="E146" s="321"/>
      <c r="F146" s="299">
        <f t="shared" si="55"/>
        <v>350</v>
      </c>
      <c r="G146" s="299">
        <f t="shared" ref="G146:H146" si="56">G147+G148</f>
        <v>350</v>
      </c>
      <c r="H146" s="179">
        <f t="shared" si="56"/>
        <v>0</v>
      </c>
      <c r="I146" s="304" t="s">
        <v>1774</v>
      </c>
    </row>
    <row r="147" spans="1:9" s="301" customFormat="1" ht="18" hidden="1" customHeight="1">
      <c r="A147" s="198"/>
      <c r="B147" s="298" t="s">
        <v>1873</v>
      </c>
      <c r="C147" s="198" t="s">
        <v>902</v>
      </c>
      <c r="D147" s="321">
        <v>10</v>
      </c>
      <c r="E147" s="321">
        <v>20</v>
      </c>
      <c r="F147" s="299">
        <f t="shared" si="55"/>
        <v>200</v>
      </c>
      <c r="G147" s="299">
        <v>200</v>
      </c>
      <c r="H147" s="179">
        <v>0</v>
      </c>
      <c r="I147" s="304" t="s">
        <v>1774</v>
      </c>
    </row>
    <row r="148" spans="1:9" s="301" customFormat="1" ht="18" hidden="1" customHeight="1">
      <c r="A148" s="198"/>
      <c r="B148" s="298" t="s">
        <v>1879</v>
      </c>
      <c r="C148" s="198" t="s">
        <v>902</v>
      </c>
      <c r="D148" s="321">
        <v>10</v>
      </c>
      <c r="E148" s="321">
        <v>15</v>
      </c>
      <c r="F148" s="299">
        <f t="shared" ref="F148" si="57">D148*E148</f>
        <v>150</v>
      </c>
      <c r="G148" s="299">
        <v>150</v>
      </c>
      <c r="H148" s="179">
        <v>0</v>
      </c>
      <c r="I148" s="304" t="s">
        <v>1774</v>
      </c>
    </row>
    <row r="149" spans="1:9" s="444" customFormat="1" ht="18" customHeight="1">
      <c r="A149" s="125" t="s">
        <v>915</v>
      </c>
      <c r="B149" s="858" t="s">
        <v>916</v>
      </c>
      <c r="C149" s="861"/>
      <c r="D149" s="862"/>
      <c r="E149" s="862"/>
      <c r="F149" s="391">
        <f>F150+F151+F152</f>
        <v>875</v>
      </c>
      <c r="G149" s="391">
        <f>G150+G151+G152</f>
        <v>875</v>
      </c>
      <c r="H149" s="359">
        <v>0</v>
      </c>
      <c r="I149" s="443"/>
    </row>
    <row r="150" spans="1:9" s="319" customFormat="1" ht="26" hidden="1">
      <c r="A150" s="295" t="s">
        <v>742</v>
      </c>
      <c r="B150" s="300" t="s">
        <v>918</v>
      </c>
      <c r="C150" s="358" t="s">
        <v>874</v>
      </c>
      <c r="D150" s="324">
        <v>50</v>
      </c>
      <c r="E150" s="324"/>
      <c r="F150" s="297">
        <v>600</v>
      </c>
      <c r="G150" s="297">
        <v>600</v>
      </c>
      <c r="H150" s="359"/>
      <c r="I150" s="304" t="s">
        <v>1774</v>
      </c>
    </row>
    <row r="151" spans="1:9" s="301" customFormat="1" ht="18" hidden="1" customHeight="1">
      <c r="A151" s="198" t="s">
        <v>742</v>
      </c>
      <c r="B151" s="298" t="s">
        <v>930</v>
      </c>
      <c r="C151" s="198" t="s">
        <v>902</v>
      </c>
      <c r="D151" s="321">
        <v>30</v>
      </c>
      <c r="E151" s="321">
        <v>8</v>
      </c>
      <c r="F151" s="299">
        <f>E151*D151</f>
        <v>240</v>
      </c>
      <c r="G151" s="299">
        <f>F151</f>
        <v>240</v>
      </c>
      <c r="H151" s="179"/>
      <c r="I151" s="304" t="s">
        <v>1774</v>
      </c>
    </row>
    <row r="152" spans="1:9" s="301" customFormat="1" ht="18" hidden="1" customHeight="1">
      <c r="A152" s="305" t="s">
        <v>935</v>
      </c>
      <c r="B152" s="306" t="s">
        <v>920</v>
      </c>
      <c r="C152" s="305" t="s">
        <v>902</v>
      </c>
      <c r="D152" s="364">
        <v>10</v>
      </c>
      <c r="E152" s="364">
        <v>3.5</v>
      </c>
      <c r="F152" s="365">
        <f t="shared" ref="F152" si="58">E152*D152</f>
        <v>35</v>
      </c>
      <c r="G152" s="365">
        <f>F152</f>
        <v>35</v>
      </c>
      <c r="H152" s="366"/>
      <c r="I152" s="367" t="s">
        <v>1774</v>
      </c>
    </row>
    <row r="153" spans="1:9" ht="6.75" customHeight="1"/>
    <row r="154" spans="1:9" s="866" customFormat="1" ht="15.75" customHeight="1">
      <c r="A154" s="1800" t="s">
        <v>2488</v>
      </c>
      <c r="B154" s="1800"/>
      <c r="C154" s="1800"/>
      <c r="D154" s="1800"/>
      <c r="E154" s="1800"/>
      <c r="F154" s="1800"/>
      <c r="G154" s="1800"/>
      <c r="H154" s="1866"/>
      <c r="I154" s="1800"/>
    </row>
    <row r="155" spans="1:9" ht="42.75" customHeight="1">
      <c r="A155" s="1803" t="s">
        <v>936</v>
      </c>
      <c r="B155" s="1803"/>
      <c r="C155" s="1803"/>
      <c r="D155" s="1803"/>
      <c r="E155" s="1803"/>
      <c r="F155" s="1803"/>
      <c r="G155" s="1803"/>
      <c r="H155" s="1865"/>
      <c r="I155" s="1803"/>
    </row>
    <row r="156" spans="1:9" ht="51" customHeight="1">
      <c r="A156" s="1803" t="s">
        <v>2509</v>
      </c>
      <c r="B156" s="1803"/>
      <c r="C156" s="1803"/>
      <c r="D156" s="1803"/>
      <c r="E156" s="1803"/>
      <c r="F156" s="1803"/>
      <c r="G156" s="1803"/>
      <c r="H156" s="1865"/>
      <c r="I156" s="1803"/>
    </row>
    <row r="157" spans="1:9" ht="33.75" customHeight="1">
      <c r="A157" s="1803" t="s">
        <v>2510</v>
      </c>
      <c r="B157" s="1803"/>
      <c r="C157" s="1803"/>
      <c r="D157" s="1803"/>
      <c r="E157" s="1803"/>
      <c r="F157" s="1803"/>
      <c r="G157" s="1803"/>
      <c r="H157" s="1865"/>
      <c r="I157" s="1803"/>
    </row>
    <row r="158" spans="1:9" ht="18" customHeight="1">
      <c r="A158" s="1803" t="s">
        <v>2511</v>
      </c>
      <c r="B158" s="1803"/>
      <c r="C158" s="1803"/>
      <c r="D158" s="1803"/>
      <c r="E158" s="1803"/>
      <c r="F158" s="1803"/>
      <c r="G158" s="1803"/>
      <c r="H158" s="1865"/>
      <c r="I158" s="1803"/>
    </row>
    <row r="159" spans="1:9" ht="34.5" customHeight="1">
      <c r="A159" s="1803" t="s">
        <v>2512</v>
      </c>
      <c r="B159" s="1803"/>
      <c r="C159" s="1803"/>
      <c r="D159" s="1803"/>
      <c r="E159" s="1803"/>
      <c r="F159" s="1803"/>
      <c r="G159" s="1803"/>
      <c r="H159" s="1865"/>
      <c r="I159" s="1803"/>
    </row>
    <row r="160" spans="1:9" ht="35.25" customHeight="1">
      <c r="A160" s="105"/>
      <c r="H160" s="248"/>
      <c r="I160" s="105"/>
    </row>
    <row r="161" spans="2:8" s="105" customFormat="1" ht="21.75" customHeight="1">
      <c r="B161" s="433"/>
      <c r="H161" s="248"/>
    </row>
    <row r="162" spans="2:8" s="105" customFormat="1" ht="21.75" customHeight="1">
      <c r="B162" s="433"/>
      <c r="H162" s="248"/>
    </row>
    <row r="163" spans="2:8" s="105" customFormat="1" ht="18.75" customHeight="1">
      <c r="B163" s="865"/>
      <c r="H163" s="248"/>
    </row>
    <row r="164" spans="2:8" s="105" customFormat="1" ht="18.75" customHeight="1">
      <c r="B164" s="433"/>
      <c r="H164" s="248"/>
    </row>
    <row r="165" spans="2:8" s="105" customFormat="1" ht="46.5" customHeight="1">
      <c r="B165" s="433"/>
      <c r="H165" s="248"/>
    </row>
    <row r="166" spans="2:8" s="105" customFormat="1" ht="18.75" customHeight="1">
      <c r="B166" s="433"/>
      <c r="H166" s="248"/>
    </row>
    <row r="167" spans="2:8" s="105" customFormat="1" ht="33" customHeight="1">
      <c r="B167" s="433"/>
      <c r="H167" s="248"/>
    </row>
    <row r="168" spans="2:8" s="105" customFormat="1" ht="39" customHeight="1">
      <c r="B168" s="433"/>
      <c r="H168" s="248"/>
    </row>
    <row r="169" spans="2:8" s="105" customFormat="1" ht="98.25" customHeight="1">
      <c r="B169" s="433"/>
      <c r="H169" s="248"/>
    </row>
    <row r="170" spans="2:8" s="105" customFormat="1" ht="18.75" customHeight="1">
      <c r="B170" s="433"/>
      <c r="H170" s="248"/>
    </row>
    <row r="171" spans="2:8" s="105" customFormat="1" ht="18.75" customHeight="1">
      <c r="B171" s="433"/>
      <c r="H171" s="248"/>
    </row>
    <row r="172" spans="2:8" s="105" customFormat="1" ht="33" customHeight="1">
      <c r="B172" s="433"/>
      <c r="H172" s="248"/>
    </row>
    <row r="173" spans="2:8" s="105" customFormat="1" ht="18.75" customHeight="1">
      <c r="B173" s="433"/>
      <c r="H173" s="248"/>
    </row>
    <row r="174" spans="2:8" s="105" customFormat="1" ht="60.75" customHeight="1">
      <c r="B174" s="433"/>
      <c r="H174" s="248"/>
    </row>
    <row r="175" spans="2:8" s="105" customFormat="1" ht="18.75" customHeight="1">
      <c r="B175" s="433"/>
      <c r="H175" s="248"/>
    </row>
    <row r="176" spans="2:8" s="105" customFormat="1" ht="18.75" customHeight="1">
      <c r="B176" s="433"/>
      <c r="H176" s="248"/>
    </row>
    <row r="177" spans="2:8" s="105" customFormat="1" ht="18.75" customHeight="1">
      <c r="B177" s="433"/>
      <c r="H177" s="248"/>
    </row>
    <row r="178" spans="2:8" s="105" customFormat="1" ht="18.75" customHeight="1">
      <c r="B178" s="433"/>
      <c r="H178" s="248"/>
    </row>
    <row r="179" spans="2:8" s="105" customFormat="1" ht="18.75" customHeight="1">
      <c r="B179" s="433"/>
      <c r="H179" s="248"/>
    </row>
    <row r="180" spans="2:8" s="105" customFormat="1" ht="18.75" customHeight="1">
      <c r="B180" s="433"/>
      <c r="H180" s="248"/>
    </row>
    <row r="181" spans="2:8" s="105" customFormat="1" ht="35.25" customHeight="1">
      <c r="B181" s="433"/>
      <c r="H181" s="248"/>
    </row>
    <row r="182" spans="2:8" s="105" customFormat="1" ht="18.75" customHeight="1">
      <c r="B182" s="433"/>
      <c r="H182" s="248"/>
    </row>
    <row r="183" spans="2:8" s="105" customFormat="1">
      <c r="B183" s="433"/>
      <c r="H183" s="248"/>
    </row>
    <row r="184" spans="2:8" s="105" customFormat="1" ht="30.75" customHeight="1">
      <c r="B184" s="433"/>
      <c r="H184" s="248"/>
    </row>
    <row r="185" spans="2:8" s="105" customFormat="1" ht="21.75" customHeight="1">
      <c r="B185" s="433"/>
      <c r="H185" s="248"/>
    </row>
    <row r="186" spans="2:8" s="105" customFormat="1" ht="35.25" customHeight="1">
      <c r="B186" s="433"/>
      <c r="H186" s="248"/>
    </row>
    <row r="187" spans="2:8" s="105" customFormat="1" ht="21.75" customHeight="1">
      <c r="B187" s="433"/>
      <c r="H187" s="248"/>
    </row>
    <row r="188" spans="2:8" s="105" customFormat="1" ht="21.75" customHeight="1">
      <c r="B188" s="433"/>
      <c r="H188" s="248"/>
    </row>
    <row r="189" spans="2:8" s="105" customFormat="1" ht="18.75" customHeight="1">
      <c r="B189" s="433"/>
      <c r="H189" s="248"/>
    </row>
    <row r="190" spans="2:8" s="105" customFormat="1" ht="18.75" customHeight="1">
      <c r="B190" s="433"/>
      <c r="H190" s="248"/>
    </row>
    <row r="191" spans="2:8" s="105" customFormat="1" ht="46.5" customHeight="1">
      <c r="B191" s="433"/>
      <c r="H191" s="248"/>
    </row>
    <row r="192" spans="2:8" s="105" customFormat="1" ht="18.75" customHeight="1">
      <c r="B192" s="433"/>
      <c r="H192" s="248"/>
    </row>
    <row r="193" spans="2:8" s="105" customFormat="1" ht="33" customHeight="1">
      <c r="B193" s="433"/>
      <c r="H193" s="248"/>
    </row>
    <row r="194" spans="2:8" s="105" customFormat="1" ht="39" customHeight="1">
      <c r="B194" s="433"/>
      <c r="H194" s="248"/>
    </row>
    <row r="195" spans="2:8" s="105" customFormat="1" ht="98.25" customHeight="1">
      <c r="B195" s="433"/>
      <c r="H195" s="248"/>
    </row>
    <row r="196" spans="2:8" s="105" customFormat="1" ht="18.75" customHeight="1">
      <c r="B196" s="433"/>
      <c r="H196" s="248"/>
    </row>
    <row r="197" spans="2:8" s="105" customFormat="1" ht="18.75" customHeight="1">
      <c r="B197" s="433"/>
      <c r="H197" s="248"/>
    </row>
    <row r="198" spans="2:8" s="105" customFormat="1" ht="33" customHeight="1">
      <c r="B198" s="433"/>
      <c r="H198" s="248"/>
    </row>
    <row r="199" spans="2:8" s="105" customFormat="1" ht="18.75" customHeight="1">
      <c r="B199" s="433"/>
      <c r="H199" s="248"/>
    </row>
    <row r="200" spans="2:8" s="105" customFormat="1" ht="60.75" customHeight="1">
      <c r="B200" s="433"/>
      <c r="H200" s="248"/>
    </row>
    <row r="201" spans="2:8" s="105" customFormat="1" ht="18.75" customHeight="1">
      <c r="B201" s="433"/>
      <c r="H201" s="248"/>
    </row>
    <row r="202" spans="2:8" s="105" customFormat="1" ht="18.75" customHeight="1">
      <c r="B202" s="433"/>
      <c r="H202" s="248"/>
    </row>
    <row r="203" spans="2:8" s="105" customFormat="1" ht="18.75" customHeight="1">
      <c r="B203" s="433"/>
      <c r="H203" s="248"/>
    </row>
    <row r="204" spans="2:8" s="105" customFormat="1" ht="18.75" customHeight="1">
      <c r="B204" s="433"/>
      <c r="H204" s="248"/>
    </row>
    <row r="205" spans="2:8" s="105" customFormat="1" ht="18.75" customHeight="1">
      <c r="B205" s="433"/>
      <c r="H205" s="248"/>
    </row>
    <row r="206" spans="2:8" s="105" customFormat="1" ht="18.75" customHeight="1">
      <c r="B206" s="433"/>
      <c r="H206" s="248"/>
    </row>
    <row r="207" spans="2:8" s="105" customFormat="1" ht="35.25" customHeight="1">
      <c r="B207" s="433"/>
      <c r="H207" s="248"/>
    </row>
    <row r="208" spans="2:8" s="105" customFormat="1" ht="18.75" customHeight="1">
      <c r="B208" s="433"/>
      <c r="H208" s="248"/>
    </row>
    <row r="209" spans="2:8" s="105" customFormat="1">
      <c r="B209" s="433"/>
      <c r="H209" s="248"/>
    </row>
    <row r="210" spans="2:8" s="105" customFormat="1" ht="30.75" customHeight="1">
      <c r="B210" s="433"/>
      <c r="H210" s="248"/>
    </row>
    <row r="211" spans="2:8" s="105" customFormat="1" ht="21.75" customHeight="1">
      <c r="B211" s="433"/>
      <c r="H211" s="248"/>
    </row>
    <row r="212" spans="2:8" s="105" customFormat="1" ht="35.25" customHeight="1">
      <c r="B212" s="433"/>
      <c r="H212" s="248"/>
    </row>
    <row r="213" spans="2:8" s="105" customFormat="1" ht="21.75" customHeight="1">
      <c r="B213" s="433"/>
      <c r="H213" s="248"/>
    </row>
    <row r="214" spans="2:8" s="105" customFormat="1" ht="21.75" customHeight="1">
      <c r="B214" s="433"/>
      <c r="H214" s="248"/>
    </row>
    <row r="215" spans="2:8" s="105" customFormat="1" ht="18.75" customHeight="1">
      <c r="B215" s="433"/>
      <c r="H215" s="248"/>
    </row>
    <row r="216" spans="2:8" s="105" customFormat="1" ht="18.75" customHeight="1">
      <c r="B216" s="433"/>
      <c r="H216" s="248"/>
    </row>
    <row r="217" spans="2:8" s="105" customFormat="1" ht="18.75" customHeight="1">
      <c r="B217" s="433"/>
      <c r="H217" s="248"/>
    </row>
    <row r="218" spans="2:8" s="105" customFormat="1" ht="18.75" customHeight="1">
      <c r="B218" s="433"/>
      <c r="H218" s="248"/>
    </row>
    <row r="219" spans="2:8" s="105" customFormat="1" ht="18.75" customHeight="1">
      <c r="B219" s="433"/>
      <c r="H219" s="248"/>
    </row>
    <row r="220" spans="2:8" s="105" customFormat="1" ht="18.75" customHeight="1">
      <c r="B220" s="433"/>
      <c r="H220" s="248"/>
    </row>
    <row r="221" spans="2:8" s="105" customFormat="1" ht="18.75" customHeight="1">
      <c r="B221" s="433"/>
      <c r="H221" s="248"/>
    </row>
    <row r="222" spans="2:8" s="105" customFormat="1" ht="18.75" customHeight="1">
      <c r="B222" s="433"/>
      <c r="H222" s="248"/>
    </row>
    <row r="223" spans="2:8" s="105" customFormat="1" ht="30.75" customHeight="1">
      <c r="B223" s="433"/>
      <c r="H223" s="248"/>
    </row>
    <row r="224" spans="2:8" s="105" customFormat="1" ht="18.75" customHeight="1">
      <c r="B224" s="433"/>
      <c r="H224" s="248"/>
    </row>
    <row r="225" spans="1:9" ht="27" customHeight="1">
      <c r="A225" s="105"/>
      <c r="H225" s="248"/>
      <c r="I225" s="105"/>
    </row>
    <row r="226" spans="1:9" ht="27" customHeight="1">
      <c r="A226" s="105"/>
      <c r="H226" s="248"/>
      <c r="I226" s="105"/>
    </row>
    <row r="227" spans="1:9" ht="27" customHeight="1">
      <c r="A227" s="105"/>
      <c r="H227" s="248"/>
      <c r="I227" s="105"/>
    </row>
    <row r="228" spans="1:9" ht="18.75" customHeight="1">
      <c r="A228" s="105"/>
      <c r="H228" s="248"/>
      <c r="I228" s="105"/>
    </row>
    <row r="229" spans="1:9" ht="18.75" customHeight="1">
      <c r="A229" s="105"/>
      <c r="H229" s="248"/>
      <c r="I229" s="105"/>
    </row>
    <row r="230" spans="1:9" ht="40.5" customHeight="1">
      <c r="A230" s="105"/>
      <c r="H230" s="248"/>
      <c r="I230" s="105"/>
    </row>
    <row r="231" spans="1:9" ht="28.5" customHeight="1">
      <c r="A231" s="105"/>
      <c r="H231" s="248"/>
      <c r="I231" s="105"/>
    </row>
    <row r="232" spans="1:9" ht="33.75" customHeight="1">
      <c r="A232" s="105"/>
      <c r="H232" s="248"/>
      <c r="I232" s="105"/>
    </row>
    <row r="233" spans="1:9" ht="30" customHeight="1">
      <c r="A233" s="105"/>
      <c r="H233" s="248"/>
      <c r="I233" s="105"/>
    </row>
    <row r="234" spans="1:9" ht="18.75" customHeight="1">
      <c r="A234" s="105"/>
      <c r="H234" s="248"/>
      <c r="I234" s="105"/>
    </row>
    <row r="235" spans="1:9" ht="18.75" customHeight="1">
      <c r="A235" s="105"/>
      <c r="H235" s="248"/>
      <c r="I235" s="105"/>
    </row>
    <row r="236" spans="1:9" ht="40.5" customHeight="1">
      <c r="A236" s="105"/>
      <c r="H236" s="248"/>
      <c r="I236" s="105"/>
    </row>
    <row r="237" spans="1:9">
      <c r="A237" s="105"/>
      <c r="H237" s="248"/>
      <c r="I237" s="105"/>
    </row>
    <row r="238" spans="1:9">
      <c r="H238" s="248"/>
      <c r="I238" s="105"/>
    </row>
    <row r="239" spans="1:9">
      <c r="H239" s="248"/>
      <c r="I239" s="105"/>
    </row>
    <row r="240" spans="1:9">
      <c r="H240" s="248"/>
      <c r="I240" s="105"/>
    </row>
    <row r="241" spans="1:9">
      <c r="H241" s="248"/>
      <c r="I241" s="105"/>
    </row>
    <row r="242" spans="1:9">
      <c r="H242" s="248"/>
      <c r="I242" s="105"/>
    </row>
    <row r="243" spans="1:9">
      <c r="H243" s="248"/>
      <c r="I243" s="105"/>
    </row>
    <row r="244" spans="1:9">
      <c r="A244" s="105"/>
      <c r="H244" s="248"/>
      <c r="I244" s="105"/>
    </row>
    <row r="245" spans="1:9">
      <c r="A245" s="105"/>
      <c r="H245" s="248"/>
      <c r="I245" s="105"/>
    </row>
    <row r="246" spans="1:9">
      <c r="A246" s="105"/>
      <c r="H246" s="248"/>
      <c r="I246" s="105"/>
    </row>
    <row r="247" spans="1:9">
      <c r="A247" s="105"/>
      <c r="H247" s="248"/>
      <c r="I247" s="105"/>
    </row>
    <row r="248" spans="1:9">
      <c r="A248" s="105"/>
      <c r="H248" s="248"/>
      <c r="I248" s="105"/>
    </row>
    <row r="249" spans="1:9">
      <c r="A249" s="105"/>
      <c r="H249" s="248"/>
      <c r="I249" s="105"/>
    </row>
    <row r="250" spans="1:9">
      <c r="A250" s="105"/>
      <c r="H250" s="248"/>
      <c r="I250" s="105"/>
    </row>
    <row r="251" spans="1:9">
      <c r="A251" s="105"/>
      <c r="H251" s="248"/>
      <c r="I251" s="105"/>
    </row>
    <row r="252" spans="1:9">
      <c r="A252" s="105"/>
      <c r="H252" s="248"/>
      <c r="I252" s="105"/>
    </row>
    <row r="253" spans="1:9">
      <c r="A253" s="105"/>
      <c r="H253" s="248"/>
      <c r="I253" s="105"/>
    </row>
    <row r="254" spans="1:9">
      <c r="A254" s="105"/>
      <c r="H254" s="248"/>
      <c r="I254" s="105"/>
    </row>
    <row r="255" spans="1:9">
      <c r="A255" s="105"/>
      <c r="H255" s="248"/>
      <c r="I255" s="105"/>
    </row>
    <row r="256" spans="1:9">
      <c r="A256" s="105"/>
      <c r="H256" s="248"/>
      <c r="I256" s="105"/>
    </row>
    <row r="257" spans="2:8" s="105" customFormat="1">
      <c r="B257" s="433"/>
      <c r="H257" s="248"/>
    </row>
    <row r="258" spans="2:8" s="105" customFormat="1">
      <c r="B258" s="433"/>
      <c r="H258" s="248"/>
    </row>
    <row r="259" spans="2:8" s="105" customFormat="1">
      <c r="B259" s="433"/>
      <c r="H259" s="248"/>
    </row>
    <row r="260" spans="2:8" s="105" customFormat="1">
      <c r="B260" s="433"/>
      <c r="H260" s="248"/>
    </row>
    <row r="261" spans="2:8" s="105" customFormat="1">
      <c r="B261" s="433"/>
      <c r="H261" s="248"/>
    </row>
    <row r="262" spans="2:8" s="105" customFormat="1">
      <c r="B262" s="433"/>
      <c r="H262" s="248"/>
    </row>
    <row r="263" spans="2:8" s="105" customFormat="1">
      <c r="B263" s="433"/>
      <c r="H263" s="248"/>
    </row>
    <row r="264" spans="2:8" s="105" customFormat="1">
      <c r="B264" s="433"/>
      <c r="H264" s="248"/>
    </row>
    <row r="265" spans="2:8" s="105" customFormat="1">
      <c r="B265" s="433"/>
      <c r="H265" s="248"/>
    </row>
  </sheetData>
  <autoFilter ref="A6:I152">
    <filterColumn colId="8">
      <filters blank="1"/>
    </filterColumn>
  </autoFilter>
  <mergeCells count="18">
    <mergeCell ref="A157:I157"/>
    <mergeCell ref="A158:I158"/>
    <mergeCell ref="A159:I159"/>
    <mergeCell ref="G4:G5"/>
    <mergeCell ref="I4:I5"/>
    <mergeCell ref="A154:I154"/>
    <mergeCell ref="A155:I155"/>
    <mergeCell ref="A4:A5"/>
    <mergeCell ref="B4:B5"/>
    <mergeCell ref="C4:C5"/>
    <mergeCell ref="D4:D5"/>
    <mergeCell ref="E4:E5"/>
    <mergeCell ref="F4:F5"/>
    <mergeCell ref="A1:B1"/>
    <mergeCell ref="A2:I2"/>
    <mergeCell ref="A3:I3"/>
    <mergeCell ref="G1:I1"/>
    <mergeCell ref="A156:I156"/>
  </mergeCells>
  <pageMargins left="0.5" right="0.2" top="0.5" bottom="0.5" header="0.3" footer="0.3"/>
  <pageSetup paperSize="9" scale="85" orientation="portrait" r:id="rId1"/>
  <headerFooter>
    <oddFooter>&amp;C&amp;8&amp;P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0070C0"/>
  </sheetPr>
  <dimension ref="A1:I129"/>
  <sheetViews>
    <sheetView workbookViewId="0">
      <selection sqref="A1:I129"/>
    </sheetView>
  </sheetViews>
  <sheetFormatPr defaultColWidth="9.08203125" defaultRowHeight="13"/>
  <cols>
    <col min="1" max="1" width="4.9140625" style="331" customWidth="1"/>
    <col min="2" max="2" width="66.08203125" style="331" customWidth="1"/>
    <col min="3" max="3" width="11.08203125" style="331" customWidth="1"/>
    <col min="4" max="4" width="8.4140625" style="331" customWidth="1"/>
    <col min="5" max="5" width="8.6640625" style="331" customWidth="1"/>
    <col min="6" max="6" width="8" style="351" customWidth="1"/>
    <col min="7" max="7" width="7.9140625" style="352" customWidth="1"/>
    <col min="8" max="8" width="7.4140625" style="340" hidden="1" customWidth="1"/>
    <col min="9" max="9" width="8.6640625" style="351" customWidth="1"/>
    <col min="10" max="16384" width="9.08203125" style="331"/>
  </cols>
  <sheetData>
    <row r="1" spans="1:9" ht="18" customHeight="1">
      <c r="A1" s="1830"/>
      <c r="B1" s="1830"/>
      <c r="C1" s="776"/>
      <c r="D1" s="776"/>
      <c r="E1" s="776"/>
      <c r="F1" s="867"/>
      <c r="G1" s="1869" t="s">
        <v>2090</v>
      </c>
      <c r="H1" s="1870"/>
      <c r="I1" s="1869"/>
    </row>
    <row r="2" spans="1:9" ht="18" customHeight="1">
      <c r="A2" s="1831" t="s">
        <v>2091</v>
      </c>
      <c r="B2" s="1831"/>
      <c r="C2" s="1831"/>
      <c r="D2" s="1831"/>
      <c r="E2" s="1831"/>
      <c r="F2" s="1831"/>
      <c r="G2" s="1831"/>
      <c r="H2" s="1871"/>
      <c r="I2" s="1831"/>
    </row>
    <row r="3" spans="1:9" ht="18" customHeight="1">
      <c r="A3" s="1835" t="s">
        <v>3</v>
      </c>
      <c r="B3" s="1835"/>
      <c r="C3" s="1835"/>
      <c r="D3" s="1835"/>
      <c r="E3" s="1835"/>
      <c r="F3" s="1835"/>
      <c r="G3" s="1835"/>
      <c r="H3" s="1872"/>
      <c r="I3" s="1835"/>
    </row>
    <row r="4" spans="1:9" ht="21" customHeight="1">
      <c r="A4" s="1832" t="s">
        <v>4</v>
      </c>
      <c r="B4" s="1832" t="s">
        <v>5</v>
      </c>
      <c r="C4" s="1832" t="s">
        <v>737</v>
      </c>
      <c r="D4" s="1832" t="s">
        <v>897</v>
      </c>
      <c r="E4" s="1832" t="s">
        <v>739</v>
      </c>
      <c r="F4" s="1868" t="s">
        <v>727</v>
      </c>
      <c r="G4" s="1868" t="s">
        <v>1600</v>
      </c>
      <c r="H4" s="337"/>
      <c r="I4" s="1868" t="s">
        <v>33</v>
      </c>
    </row>
    <row r="5" spans="1:9" ht="21" customHeight="1">
      <c r="A5" s="1832"/>
      <c r="B5" s="1832"/>
      <c r="C5" s="1832"/>
      <c r="D5" s="1832"/>
      <c r="E5" s="1832"/>
      <c r="F5" s="1868"/>
      <c r="G5" s="1868"/>
      <c r="H5" s="341" t="s">
        <v>898</v>
      </c>
      <c r="I5" s="1868"/>
    </row>
    <row r="6" spans="1:9" s="486" customFormat="1" ht="18" customHeight="1">
      <c r="A6" s="868">
        <v>1</v>
      </c>
      <c r="B6" s="868">
        <v>2</v>
      </c>
      <c r="C6" s="868">
        <v>3</v>
      </c>
      <c r="D6" s="868">
        <v>4</v>
      </c>
      <c r="E6" s="868">
        <v>5</v>
      </c>
      <c r="F6" s="868">
        <v>6</v>
      </c>
      <c r="G6" s="868">
        <v>7</v>
      </c>
      <c r="H6" s="342"/>
      <c r="I6" s="868">
        <v>8</v>
      </c>
    </row>
    <row r="7" spans="1:9" ht="18" customHeight="1">
      <c r="A7" s="93"/>
      <c r="B7" s="721" t="s">
        <v>7</v>
      </c>
      <c r="C7" s="94"/>
      <c r="D7" s="94"/>
      <c r="E7" s="94"/>
      <c r="F7" s="869">
        <f>+F8+F126</f>
        <v>46744</v>
      </c>
      <c r="G7" s="869">
        <f>+G8+G126</f>
        <v>44407</v>
      </c>
      <c r="H7" s="338">
        <f>+H8+H126</f>
        <v>2337.0000000000027</v>
      </c>
      <c r="I7" s="869"/>
    </row>
    <row r="8" spans="1:9" ht="18" customHeight="1">
      <c r="A8" s="26" t="s">
        <v>37</v>
      </c>
      <c r="B8" s="54" t="s">
        <v>747</v>
      </c>
      <c r="C8" s="54"/>
      <c r="D8" s="721"/>
      <c r="E8" s="721"/>
      <c r="F8" s="869">
        <f>+F9</f>
        <v>46744</v>
      </c>
      <c r="G8" s="869">
        <f t="shared" ref="G8:H8" si="0">+G9</f>
        <v>44407</v>
      </c>
      <c r="H8" s="338">
        <f t="shared" si="0"/>
        <v>2337.0000000000027</v>
      </c>
      <c r="I8" s="869"/>
    </row>
    <row r="9" spans="1:9" ht="18" customHeight="1">
      <c r="A9" s="26">
        <v>1</v>
      </c>
      <c r="B9" s="54" t="s">
        <v>893</v>
      </c>
      <c r="C9" s="54"/>
      <c r="D9" s="721"/>
      <c r="E9" s="721"/>
      <c r="F9" s="869">
        <f>+F10+F50+F73+F112</f>
        <v>46744</v>
      </c>
      <c r="G9" s="869">
        <f>+G10+G50+G73+G112</f>
        <v>44407</v>
      </c>
      <c r="H9" s="338">
        <f>+H10+H50+H73+H112</f>
        <v>2337.0000000000027</v>
      </c>
      <c r="I9" s="869"/>
    </row>
    <row r="10" spans="1:9" ht="39" customHeight="1">
      <c r="A10" s="13" t="s">
        <v>710</v>
      </c>
      <c r="B10" s="12" t="s">
        <v>937</v>
      </c>
      <c r="C10" s="13"/>
      <c r="D10" s="336"/>
      <c r="E10" s="336"/>
      <c r="F10" s="144">
        <f>F11+F12+F33</f>
        <v>24222.000000000004</v>
      </c>
      <c r="G10" s="144">
        <v>23011</v>
      </c>
      <c r="H10" s="339">
        <f>F10-G10</f>
        <v>1211.0000000000036</v>
      </c>
      <c r="I10" s="144"/>
    </row>
    <row r="11" spans="1:9" ht="18" customHeight="1">
      <c r="A11" s="13" t="s">
        <v>742</v>
      </c>
      <c r="B11" s="12" t="s">
        <v>938</v>
      </c>
      <c r="C11" s="13"/>
      <c r="D11" s="336"/>
      <c r="E11" s="336"/>
      <c r="F11" s="144">
        <v>1696</v>
      </c>
      <c r="G11" s="144">
        <v>1611</v>
      </c>
      <c r="H11" s="339">
        <f>F11-G11</f>
        <v>85</v>
      </c>
      <c r="I11" s="144"/>
    </row>
    <row r="12" spans="1:9">
      <c r="A12" s="13" t="s">
        <v>742</v>
      </c>
      <c r="B12" s="12" t="s">
        <v>939</v>
      </c>
      <c r="C12" s="13"/>
      <c r="D12" s="336"/>
      <c r="E12" s="336"/>
      <c r="F12" s="144">
        <f>F32</f>
        <v>20641.600000000002</v>
      </c>
      <c r="G12" s="144">
        <v>19610</v>
      </c>
      <c r="H12" s="339">
        <f t="shared" ref="H12:H74" si="1">F12-G12</f>
        <v>1031.6000000000022</v>
      </c>
      <c r="I12" s="144"/>
    </row>
    <row r="13" spans="1:9" ht="18" hidden="1" customHeight="1">
      <c r="A13" s="184"/>
      <c r="B13" s="185" t="s">
        <v>940</v>
      </c>
      <c r="C13" s="184" t="s">
        <v>941</v>
      </c>
      <c r="D13" s="180">
        <v>6</v>
      </c>
      <c r="E13" s="343">
        <v>2</v>
      </c>
      <c r="F13" s="344">
        <f>+E13*D13</f>
        <v>12</v>
      </c>
      <c r="G13" s="345"/>
      <c r="H13" s="339"/>
      <c r="I13" s="344" t="s">
        <v>1774</v>
      </c>
    </row>
    <row r="14" spans="1:9" ht="18" hidden="1" customHeight="1">
      <c r="A14" s="184"/>
      <c r="B14" s="185" t="s">
        <v>942</v>
      </c>
      <c r="C14" s="184" t="s">
        <v>943</v>
      </c>
      <c r="D14" s="180">
        <v>8</v>
      </c>
      <c r="E14" s="343">
        <v>0.3</v>
      </c>
      <c r="F14" s="344">
        <f>E14*D14</f>
        <v>2.4</v>
      </c>
      <c r="G14" s="345"/>
      <c r="H14" s="339"/>
      <c r="I14" s="344" t="s">
        <v>1774</v>
      </c>
    </row>
    <row r="15" spans="1:9" ht="18" hidden="1" customHeight="1">
      <c r="A15" s="184"/>
      <c r="B15" s="185" t="s">
        <v>944</v>
      </c>
      <c r="C15" s="184" t="s">
        <v>943</v>
      </c>
      <c r="D15" s="180">
        <v>10</v>
      </c>
      <c r="E15" s="343">
        <v>0.2</v>
      </c>
      <c r="F15" s="344">
        <f>+E15*D15</f>
        <v>2</v>
      </c>
      <c r="G15" s="345"/>
      <c r="H15" s="339"/>
      <c r="I15" s="344" t="s">
        <v>1774</v>
      </c>
    </row>
    <row r="16" spans="1:9" ht="18" hidden="1" customHeight="1">
      <c r="A16" s="184"/>
      <c r="B16" s="185" t="s">
        <v>945</v>
      </c>
      <c r="C16" s="184" t="s">
        <v>946</v>
      </c>
      <c r="D16" s="180">
        <v>4</v>
      </c>
      <c r="E16" s="343">
        <v>0.5</v>
      </c>
      <c r="F16" s="344">
        <f>+D16*E16</f>
        <v>2</v>
      </c>
      <c r="G16" s="345"/>
      <c r="H16" s="339"/>
      <c r="I16" s="344" t="s">
        <v>1774</v>
      </c>
    </row>
    <row r="17" spans="1:9" ht="18" hidden="1" customHeight="1">
      <c r="A17" s="184"/>
      <c r="B17" s="185" t="s">
        <v>947</v>
      </c>
      <c r="C17" s="184" t="s">
        <v>845</v>
      </c>
      <c r="D17" s="180">
        <v>3</v>
      </c>
      <c r="E17" s="343">
        <v>3</v>
      </c>
      <c r="F17" s="344">
        <f t="shared" ref="F17:F30" si="2">+E17*D17</f>
        <v>9</v>
      </c>
      <c r="G17" s="345"/>
      <c r="H17" s="339"/>
      <c r="I17" s="344" t="s">
        <v>1774</v>
      </c>
    </row>
    <row r="18" spans="1:9" ht="18" hidden="1" customHeight="1">
      <c r="A18" s="184"/>
      <c r="B18" s="185" t="s">
        <v>948</v>
      </c>
      <c r="C18" s="184" t="s">
        <v>861</v>
      </c>
      <c r="D18" s="180">
        <v>2</v>
      </c>
      <c r="E18" s="343">
        <v>1</v>
      </c>
      <c r="F18" s="344">
        <f t="shared" si="2"/>
        <v>2</v>
      </c>
      <c r="G18" s="345"/>
      <c r="H18" s="339"/>
      <c r="I18" s="344" t="s">
        <v>1774</v>
      </c>
    </row>
    <row r="19" spans="1:9" ht="18" hidden="1" customHeight="1">
      <c r="A19" s="184"/>
      <c r="B19" s="185" t="s">
        <v>949</v>
      </c>
      <c r="C19" s="184" t="s">
        <v>845</v>
      </c>
      <c r="D19" s="180">
        <v>3</v>
      </c>
      <c r="E19" s="343">
        <v>2</v>
      </c>
      <c r="F19" s="344">
        <f t="shared" si="2"/>
        <v>6</v>
      </c>
      <c r="G19" s="345"/>
      <c r="H19" s="339"/>
      <c r="I19" s="344" t="s">
        <v>1774</v>
      </c>
    </row>
    <row r="20" spans="1:9" ht="18" hidden="1" customHeight="1">
      <c r="A20" s="184"/>
      <c r="B20" s="185" t="s">
        <v>950</v>
      </c>
      <c r="C20" s="184" t="s">
        <v>943</v>
      </c>
      <c r="D20" s="180">
        <v>150</v>
      </c>
      <c r="E20" s="343">
        <v>0.04</v>
      </c>
      <c r="F20" s="344">
        <f>+E20*D20</f>
        <v>6</v>
      </c>
      <c r="G20" s="345"/>
      <c r="H20" s="339"/>
      <c r="I20" s="344" t="s">
        <v>1774</v>
      </c>
    </row>
    <row r="21" spans="1:9" ht="18" hidden="1" customHeight="1">
      <c r="A21" s="184"/>
      <c r="B21" s="185" t="s">
        <v>951</v>
      </c>
      <c r="C21" s="184" t="s">
        <v>876</v>
      </c>
      <c r="D21" s="180">
        <v>50</v>
      </c>
      <c r="E21" s="343">
        <v>0.08</v>
      </c>
      <c r="F21" s="344">
        <f t="shared" si="2"/>
        <v>4</v>
      </c>
      <c r="G21" s="345"/>
      <c r="H21" s="339"/>
      <c r="I21" s="344" t="s">
        <v>1774</v>
      </c>
    </row>
    <row r="22" spans="1:9" ht="18" hidden="1" customHeight="1">
      <c r="A22" s="184"/>
      <c r="B22" s="185" t="s">
        <v>952</v>
      </c>
      <c r="C22" s="184" t="s">
        <v>876</v>
      </c>
      <c r="D22" s="180">
        <v>50</v>
      </c>
      <c r="E22" s="343">
        <v>0.05</v>
      </c>
      <c r="F22" s="344">
        <f t="shared" si="2"/>
        <v>2.5</v>
      </c>
      <c r="G22" s="345"/>
      <c r="H22" s="339"/>
      <c r="I22" s="344" t="s">
        <v>1774</v>
      </c>
    </row>
    <row r="23" spans="1:9" s="105" customFormat="1" ht="18" hidden="1" customHeight="1">
      <c r="A23" s="13"/>
      <c r="B23" s="12" t="s">
        <v>953</v>
      </c>
      <c r="C23" s="13"/>
      <c r="D23" s="28"/>
      <c r="E23" s="336">
        <v>0</v>
      </c>
      <c r="F23" s="144"/>
      <c r="G23" s="145"/>
      <c r="H23" s="339"/>
      <c r="I23" s="144" t="s">
        <v>1774</v>
      </c>
    </row>
    <row r="24" spans="1:9" ht="18" hidden="1" customHeight="1">
      <c r="A24" s="184"/>
      <c r="B24" s="185" t="s">
        <v>942</v>
      </c>
      <c r="C24" s="184" t="s">
        <v>943</v>
      </c>
      <c r="D24" s="180">
        <v>8</v>
      </c>
      <c r="E24" s="343">
        <v>0.3</v>
      </c>
      <c r="F24" s="344">
        <f>E24*D24</f>
        <v>2.4</v>
      </c>
      <c r="G24" s="345"/>
      <c r="H24" s="339"/>
      <c r="I24" s="144" t="s">
        <v>1774</v>
      </c>
    </row>
    <row r="25" spans="1:9" ht="18" hidden="1" customHeight="1">
      <c r="A25" s="184"/>
      <c r="B25" s="185" t="s">
        <v>944</v>
      </c>
      <c r="C25" s="184" t="s">
        <v>943</v>
      </c>
      <c r="D25" s="180">
        <v>10</v>
      </c>
      <c r="E25" s="343">
        <v>0.2</v>
      </c>
      <c r="F25" s="344">
        <f>+E25*D25</f>
        <v>2</v>
      </c>
      <c r="G25" s="345"/>
      <c r="H25" s="339"/>
      <c r="I25" s="144" t="s">
        <v>1774</v>
      </c>
    </row>
    <row r="26" spans="1:9" ht="18" hidden="1" customHeight="1">
      <c r="A26" s="184"/>
      <c r="B26" s="185" t="s">
        <v>945</v>
      </c>
      <c r="C26" s="184" t="s">
        <v>946</v>
      </c>
      <c r="D26" s="180">
        <v>4</v>
      </c>
      <c r="E26" s="343">
        <v>0.5</v>
      </c>
      <c r="F26" s="344">
        <f>+D26*E26</f>
        <v>2</v>
      </c>
      <c r="G26" s="345"/>
      <c r="H26" s="339"/>
      <c r="I26" s="144" t="s">
        <v>1774</v>
      </c>
    </row>
    <row r="27" spans="1:9" s="105" customFormat="1" ht="18" hidden="1" customHeight="1">
      <c r="A27" s="13"/>
      <c r="B27" s="12" t="s">
        <v>954</v>
      </c>
      <c r="C27" s="13"/>
      <c r="D27" s="28"/>
      <c r="E27" s="336">
        <v>0</v>
      </c>
      <c r="F27" s="144">
        <f t="shared" si="2"/>
        <v>0</v>
      </c>
      <c r="G27" s="145"/>
      <c r="H27" s="339"/>
      <c r="I27" s="144" t="s">
        <v>1774</v>
      </c>
    </row>
    <row r="28" spans="1:9" ht="18" hidden="1" customHeight="1">
      <c r="A28" s="184"/>
      <c r="B28" s="185" t="s">
        <v>955</v>
      </c>
      <c r="C28" s="184" t="s">
        <v>829</v>
      </c>
      <c r="D28" s="180">
        <v>100</v>
      </c>
      <c r="E28" s="343">
        <v>0.2</v>
      </c>
      <c r="F28" s="344">
        <f t="shared" si="2"/>
        <v>20</v>
      </c>
      <c r="G28" s="345"/>
      <c r="H28" s="339"/>
      <c r="I28" s="144" t="s">
        <v>1774</v>
      </c>
    </row>
    <row r="29" spans="1:9" ht="18" hidden="1" customHeight="1">
      <c r="A29" s="184"/>
      <c r="B29" s="185" t="s">
        <v>956</v>
      </c>
      <c r="C29" s="184" t="s">
        <v>829</v>
      </c>
      <c r="D29" s="180">
        <v>250</v>
      </c>
      <c r="E29" s="343">
        <v>0.2</v>
      </c>
      <c r="F29" s="344">
        <f t="shared" si="2"/>
        <v>50</v>
      </c>
      <c r="G29" s="345"/>
      <c r="H29" s="339"/>
      <c r="I29" s="144" t="s">
        <v>1774</v>
      </c>
    </row>
    <row r="30" spans="1:9" ht="18" hidden="1" customHeight="1">
      <c r="A30" s="184"/>
      <c r="B30" s="185" t="s">
        <v>957</v>
      </c>
      <c r="C30" s="184" t="s">
        <v>829</v>
      </c>
      <c r="D30" s="180">
        <v>200</v>
      </c>
      <c r="E30" s="343">
        <v>0.3</v>
      </c>
      <c r="F30" s="344">
        <f t="shared" si="2"/>
        <v>60</v>
      </c>
      <c r="G30" s="345"/>
      <c r="H30" s="339"/>
      <c r="I30" s="144" t="s">
        <v>1774</v>
      </c>
    </row>
    <row r="31" spans="1:9" s="333" customFormat="1" ht="18" hidden="1" customHeight="1">
      <c r="A31" s="204"/>
      <c r="B31" s="205" t="s">
        <v>958</v>
      </c>
      <c r="C31" s="204"/>
      <c r="D31" s="346"/>
      <c r="E31" s="347"/>
      <c r="F31" s="348">
        <f>SUM(F13:F30)</f>
        <v>184.3</v>
      </c>
      <c r="G31" s="345"/>
      <c r="H31" s="339"/>
      <c r="I31" s="144" t="s">
        <v>1774</v>
      </c>
    </row>
    <row r="32" spans="1:9" s="333" customFormat="1" ht="18" hidden="1" customHeight="1">
      <c r="A32" s="204"/>
      <c r="B32" s="205" t="s">
        <v>959</v>
      </c>
      <c r="C32" s="204"/>
      <c r="D32" s="346"/>
      <c r="E32" s="347"/>
      <c r="F32" s="348">
        <f>F31*56*2</f>
        <v>20641.600000000002</v>
      </c>
      <c r="G32" s="345"/>
      <c r="H32" s="339"/>
      <c r="I32" s="144" t="s">
        <v>1774</v>
      </c>
    </row>
    <row r="33" spans="1:9" ht="18" customHeight="1">
      <c r="A33" s="13" t="s">
        <v>742</v>
      </c>
      <c r="B33" s="12" t="s">
        <v>960</v>
      </c>
      <c r="C33" s="13"/>
      <c r="D33" s="28"/>
      <c r="E33" s="336">
        <v>0</v>
      </c>
      <c r="F33" s="144">
        <f>F49</f>
        <v>1884.3999999999999</v>
      </c>
      <c r="G33" s="144">
        <v>1790</v>
      </c>
      <c r="H33" s="339">
        <f t="shared" si="1"/>
        <v>94.399999999999864</v>
      </c>
      <c r="I33" s="144"/>
    </row>
    <row r="34" spans="1:9" ht="18" hidden="1" customHeight="1">
      <c r="A34" s="184"/>
      <c r="B34" s="185" t="s">
        <v>961</v>
      </c>
      <c r="C34" s="184" t="s">
        <v>941</v>
      </c>
      <c r="D34" s="180">
        <v>8</v>
      </c>
      <c r="E34" s="343">
        <v>2</v>
      </c>
      <c r="F34" s="344">
        <f>+E34*D34</f>
        <v>16</v>
      </c>
      <c r="G34" s="345"/>
      <c r="H34" s="339"/>
      <c r="I34" s="144" t="s">
        <v>1774</v>
      </c>
    </row>
    <row r="35" spans="1:9" ht="18" hidden="1" customHeight="1">
      <c r="A35" s="184"/>
      <c r="B35" s="185" t="s">
        <v>962</v>
      </c>
      <c r="C35" s="184" t="s">
        <v>943</v>
      </c>
      <c r="D35" s="180">
        <v>10</v>
      </c>
      <c r="E35" s="343">
        <v>0.3</v>
      </c>
      <c r="F35" s="344">
        <f>E35*D35</f>
        <v>3</v>
      </c>
      <c r="G35" s="345"/>
      <c r="H35" s="339"/>
      <c r="I35" s="144" t="s">
        <v>1774</v>
      </c>
    </row>
    <row r="36" spans="1:9" ht="18" hidden="1" customHeight="1">
      <c r="A36" s="184"/>
      <c r="B36" s="185" t="s">
        <v>963</v>
      </c>
      <c r="C36" s="184" t="s">
        <v>943</v>
      </c>
      <c r="D36" s="180">
        <v>12</v>
      </c>
      <c r="E36" s="343">
        <v>0.2</v>
      </c>
      <c r="F36" s="344">
        <f>+E36*D36</f>
        <v>2.4000000000000004</v>
      </c>
      <c r="G36" s="345"/>
      <c r="H36" s="339"/>
      <c r="I36" s="144" t="s">
        <v>1774</v>
      </c>
    </row>
    <row r="37" spans="1:9" ht="18" hidden="1" customHeight="1">
      <c r="A37" s="184"/>
      <c r="B37" s="185" t="s">
        <v>945</v>
      </c>
      <c r="C37" s="184" t="s">
        <v>946</v>
      </c>
      <c r="D37" s="180">
        <v>4</v>
      </c>
      <c r="E37" s="343">
        <v>0.5</v>
      </c>
      <c r="F37" s="344">
        <f>+D37*E37</f>
        <v>2</v>
      </c>
      <c r="G37" s="345"/>
      <c r="H37" s="339"/>
      <c r="I37" s="144" t="s">
        <v>1774</v>
      </c>
    </row>
    <row r="38" spans="1:9" ht="18" hidden="1" customHeight="1">
      <c r="A38" s="184"/>
      <c r="B38" s="185" t="s">
        <v>964</v>
      </c>
      <c r="C38" s="184" t="s">
        <v>845</v>
      </c>
      <c r="D38" s="180">
        <v>4</v>
      </c>
      <c r="E38" s="343">
        <v>3</v>
      </c>
      <c r="F38" s="344">
        <f t="shared" ref="F38:F43" si="3">+E38*D38</f>
        <v>12</v>
      </c>
      <c r="G38" s="345"/>
      <c r="H38" s="339"/>
      <c r="I38" s="144" t="s">
        <v>1774</v>
      </c>
    </row>
    <row r="39" spans="1:9" ht="18" hidden="1" customHeight="1">
      <c r="A39" s="184"/>
      <c r="B39" s="185" t="s">
        <v>948</v>
      </c>
      <c r="C39" s="184" t="s">
        <v>861</v>
      </c>
      <c r="D39" s="180">
        <v>2</v>
      </c>
      <c r="E39" s="343">
        <v>1</v>
      </c>
      <c r="F39" s="344">
        <f t="shared" si="3"/>
        <v>2</v>
      </c>
      <c r="G39" s="345"/>
      <c r="H39" s="339"/>
      <c r="I39" s="144" t="s">
        <v>1774</v>
      </c>
    </row>
    <row r="40" spans="1:9" ht="18" hidden="1" customHeight="1">
      <c r="A40" s="184"/>
      <c r="B40" s="185" t="s">
        <v>965</v>
      </c>
      <c r="C40" s="184" t="s">
        <v>845</v>
      </c>
      <c r="D40" s="180">
        <v>4</v>
      </c>
      <c r="E40" s="343">
        <v>2</v>
      </c>
      <c r="F40" s="344">
        <f t="shared" si="3"/>
        <v>8</v>
      </c>
      <c r="G40" s="345"/>
      <c r="H40" s="339"/>
      <c r="I40" s="144" t="s">
        <v>1774</v>
      </c>
    </row>
    <row r="41" spans="1:9" ht="18" hidden="1" customHeight="1">
      <c r="A41" s="184"/>
      <c r="B41" s="185" t="s">
        <v>966</v>
      </c>
      <c r="C41" s="184" t="s">
        <v>943</v>
      </c>
      <c r="D41" s="180">
        <v>200</v>
      </c>
      <c r="E41" s="343">
        <v>0.04</v>
      </c>
      <c r="F41" s="344">
        <f t="shared" si="3"/>
        <v>8</v>
      </c>
      <c r="G41" s="345"/>
      <c r="H41" s="339"/>
      <c r="I41" s="144" t="s">
        <v>1774</v>
      </c>
    </row>
    <row r="42" spans="1:9" ht="18" hidden="1" customHeight="1">
      <c r="A42" s="184"/>
      <c r="B42" s="185" t="s">
        <v>951</v>
      </c>
      <c r="C42" s="184" t="s">
        <v>876</v>
      </c>
      <c r="D42" s="180">
        <v>50</v>
      </c>
      <c r="E42" s="343">
        <v>0.08</v>
      </c>
      <c r="F42" s="344">
        <f t="shared" si="3"/>
        <v>4</v>
      </c>
      <c r="G42" s="345"/>
      <c r="H42" s="339"/>
      <c r="I42" s="144" t="s">
        <v>1774</v>
      </c>
    </row>
    <row r="43" spans="1:9" ht="18" hidden="1" customHeight="1">
      <c r="A43" s="184"/>
      <c r="B43" s="185" t="s">
        <v>952</v>
      </c>
      <c r="C43" s="184" t="s">
        <v>876</v>
      </c>
      <c r="D43" s="180">
        <v>50</v>
      </c>
      <c r="E43" s="343">
        <v>0.05</v>
      </c>
      <c r="F43" s="344">
        <f t="shared" si="3"/>
        <v>2.5</v>
      </c>
      <c r="G43" s="345"/>
      <c r="H43" s="339"/>
      <c r="I43" s="144" t="s">
        <v>1774</v>
      </c>
    </row>
    <row r="44" spans="1:9" s="105" customFormat="1" ht="18" hidden="1" customHeight="1">
      <c r="A44" s="13"/>
      <c r="B44" s="12" t="s">
        <v>953</v>
      </c>
      <c r="C44" s="13"/>
      <c r="D44" s="28"/>
      <c r="E44" s="336">
        <v>0</v>
      </c>
      <c r="F44" s="144"/>
      <c r="G44" s="145"/>
      <c r="H44" s="339"/>
      <c r="I44" s="144" t="s">
        <v>1774</v>
      </c>
    </row>
    <row r="45" spans="1:9" ht="18" hidden="1" customHeight="1">
      <c r="A45" s="184"/>
      <c r="B45" s="185" t="s">
        <v>962</v>
      </c>
      <c r="C45" s="184" t="s">
        <v>943</v>
      </c>
      <c r="D45" s="180">
        <v>10</v>
      </c>
      <c r="E45" s="343">
        <v>0.3</v>
      </c>
      <c r="F45" s="344">
        <f>E45*D45</f>
        <v>3</v>
      </c>
      <c r="G45" s="345"/>
      <c r="H45" s="339"/>
      <c r="I45" s="144" t="s">
        <v>1774</v>
      </c>
    </row>
    <row r="46" spans="1:9" ht="18" hidden="1" customHeight="1">
      <c r="A46" s="184"/>
      <c r="B46" s="185" t="s">
        <v>963</v>
      </c>
      <c r="C46" s="184" t="s">
        <v>943</v>
      </c>
      <c r="D46" s="180">
        <v>12</v>
      </c>
      <c r="E46" s="343">
        <v>0.2</v>
      </c>
      <c r="F46" s="344">
        <f>+E46*D46</f>
        <v>2.4000000000000004</v>
      </c>
      <c r="G46" s="345"/>
      <c r="H46" s="339"/>
      <c r="I46" s="144" t="s">
        <v>1774</v>
      </c>
    </row>
    <row r="47" spans="1:9" ht="18" hidden="1" customHeight="1">
      <c r="A47" s="184"/>
      <c r="B47" s="185" t="s">
        <v>945</v>
      </c>
      <c r="C47" s="184" t="s">
        <v>946</v>
      </c>
      <c r="D47" s="180">
        <v>4</v>
      </c>
      <c r="E47" s="343">
        <v>0.5</v>
      </c>
      <c r="F47" s="344">
        <f>+D47*E47</f>
        <v>2</v>
      </c>
      <c r="G47" s="345"/>
      <c r="H47" s="339"/>
      <c r="I47" s="144" t="s">
        <v>1774</v>
      </c>
    </row>
    <row r="48" spans="1:9" s="333" customFormat="1" ht="18" hidden="1" customHeight="1">
      <c r="A48" s="204"/>
      <c r="B48" s="205" t="s">
        <v>958</v>
      </c>
      <c r="C48" s="204"/>
      <c r="D48" s="346"/>
      <c r="E48" s="347"/>
      <c r="F48" s="348">
        <f>SUM(F34:F47)</f>
        <v>67.3</v>
      </c>
      <c r="G48" s="345"/>
      <c r="H48" s="339"/>
      <c r="I48" s="144" t="s">
        <v>1774</v>
      </c>
    </row>
    <row r="49" spans="1:9" s="333" customFormat="1" ht="18" hidden="1" customHeight="1">
      <c r="A49" s="204"/>
      <c r="B49" s="205" t="s">
        <v>967</v>
      </c>
      <c r="C49" s="204"/>
      <c r="D49" s="346"/>
      <c r="E49" s="347"/>
      <c r="F49" s="348">
        <f>F48*7*4</f>
        <v>1884.3999999999999</v>
      </c>
      <c r="G49" s="345"/>
      <c r="H49" s="339"/>
      <c r="I49" s="144" t="s">
        <v>1774</v>
      </c>
    </row>
    <row r="50" spans="1:9" ht="37.5" customHeight="1">
      <c r="A50" s="13" t="s">
        <v>711</v>
      </c>
      <c r="B50" s="12" t="s">
        <v>968</v>
      </c>
      <c r="C50" s="13"/>
      <c r="D50" s="28"/>
      <c r="E50" s="336"/>
      <c r="F50" s="144">
        <f>F51+F60</f>
        <v>6614.7999999999993</v>
      </c>
      <c r="G50" s="144">
        <v>6284</v>
      </c>
      <c r="H50" s="339">
        <f t="shared" si="1"/>
        <v>330.79999999999927</v>
      </c>
      <c r="I50" s="144"/>
    </row>
    <row r="51" spans="1:9" ht="30.75" customHeight="1">
      <c r="A51" s="13" t="s">
        <v>742</v>
      </c>
      <c r="B51" s="12" t="s">
        <v>969</v>
      </c>
      <c r="C51" s="13"/>
      <c r="D51" s="28"/>
      <c r="E51" s="336"/>
      <c r="F51" s="144">
        <f>F52+F59</f>
        <v>4694</v>
      </c>
      <c r="G51" s="144">
        <v>4459</v>
      </c>
      <c r="H51" s="339">
        <f t="shared" si="1"/>
        <v>235</v>
      </c>
      <c r="I51" s="144"/>
    </row>
    <row r="52" spans="1:9" ht="18" hidden="1" customHeight="1">
      <c r="A52" s="184"/>
      <c r="B52" s="185" t="s">
        <v>970</v>
      </c>
      <c r="C52" s="184"/>
      <c r="D52" s="180"/>
      <c r="E52" s="343"/>
      <c r="F52" s="344">
        <f>F58</f>
        <v>2406</v>
      </c>
      <c r="G52" s="345">
        <v>2286</v>
      </c>
      <c r="H52" s="339">
        <f t="shared" si="1"/>
        <v>120</v>
      </c>
      <c r="I52" s="144" t="s">
        <v>1774</v>
      </c>
    </row>
    <row r="53" spans="1:9" ht="18" hidden="1" customHeight="1">
      <c r="A53" s="184"/>
      <c r="B53" s="185" t="s">
        <v>971</v>
      </c>
      <c r="C53" s="184" t="s">
        <v>972</v>
      </c>
      <c r="D53" s="180">
        <v>10</v>
      </c>
      <c r="E53" s="343">
        <v>10</v>
      </c>
      <c r="F53" s="344">
        <f>E53*D53</f>
        <v>100</v>
      </c>
      <c r="G53" s="345"/>
      <c r="H53" s="339"/>
      <c r="I53" s="144" t="s">
        <v>1774</v>
      </c>
    </row>
    <row r="54" spans="1:9" ht="18" hidden="1" customHeight="1">
      <c r="A54" s="184"/>
      <c r="B54" s="185" t="s">
        <v>973</v>
      </c>
      <c r="C54" s="184" t="s">
        <v>972</v>
      </c>
      <c r="D54" s="180">
        <v>10</v>
      </c>
      <c r="E54" s="343">
        <v>0.25</v>
      </c>
      <c r="F54" s="344">
        <f>E54*D54*40</f>
        <v>100</v>
      </c>
      <c r="G54" s="345"/>
      <c r="H54" s="339"/>
      <c r="I54" s="144" t="s">
        <v>1774</v>
      </c>
    </row>
    <row r="55" spans="1:9" ht="18" hidden="1" customHeight="1">
      <c r="A55" s="184"/>
      <c r="B55" s="185" t="s">
        <v>974</v>
      </c>
      <c r="C55" s="184" t="s">
        <v>843</v>
      </c>
      <c r="D55" s="180">
        <v>9</v>
      </c>
      <c r="E55" s="343">
        <v>0.4</v>
      </c>
      <c r="F55" s="344">
        <f>E55*D55*40</f>
        <v>144</v>
      </c>
      <c r="G55" s="345"/>
      <c r="H55" s="339"/>
      <c r="I55" s="144" t="s">
        <v>1774</v>
      </c>
    </row>
    <row r="56" spans="1:9" s="105" customFormat="1" ht="18" hidden="1" customHeight="1">
      <c r="A56" s="13"/>
      <c r="B56" s="12" t="s">
        <v>975</v>
      </c>
      <c r="C56" s="13"/>
      <c r="D56" s="28"/>
      <c r="E56" s="336">
        <v>0</v>
      </c>
      <c r="F56" s="144">
        <v>0</v>
      </c>
      <c r="G56" s="145"/>
      <c r="H56" s="339"/>
      <c r="I56" s="144" t="s">
        <v>1774</v>
      </c>
    </row>
    <row r="57" spans="1:9" s="333" customFormat="1" ht="18" hidden="1" customHeight="1">
      <c r="A57" s="204"/>
      <c r="B57" s="205" t="s">
        <v>976</v>
      </c>
      <c r="C57" s="204"/>
      <c r="D57" s="346"/>
      <c r="E57" s="347"/>
      <c r="F57" s="348">
        <f>F56+F55+F54+F53</f>
        <v>344</v>
      </c>
      <c r="G57" s="345"/>
      <c r="H57" s="339"/>
      <c r="I57" s="144" t="s">
        <v>1774</v>
      </c>
    </row>
    <row r="58" spans="1:9" s="333" customFormat="1" ht="18" hidden="1" customHeight="1">
      <c r="A58" s="204"/>
      <c r="B58" s="205" t="s">
        <v>977</v>
      </c>
      <c r="C58" s="204"/>
      <c r="D58" s="346"/>
      <c r="E58" s="347"/>
      <c r="F58" s="348">
        <f>F57*7-2</f>
        <v>2406</v>
      </c>
      <c r="G58" s="345"/>
      <c r="H58" s="339"/>
      <c r="I58" s="144" t="s">
        <v>1774</v>
      </c>
    </row>
    <row r="59" spans="1:9" ht="18" hidden="1" customHeight="1">
      <c r="A59" s="184"/>
      <c r="B59" s="185" t="s">
        <v>978</v>
      </c>
      <c r="C59" s="184"/>
      <c r="D59" s="180"/>
      <c r="E59" s="343"/>
      <c r="F59" s="344">
        <v>2288</v>
      </c>
      <c r="G59" s="345">
        <v>2174</v>
      </c>
      <c r="H59" s="339">
        <f t="shared" si="1"/>
        <v>114</v>
      </c>
      <c r="I59" s="144" t="s">
        <v>1774</v>
      </c>
    </row>
    <row r="60" spans="1:9" ht="18" customHeight="1">
      <c r="A60" s="13" t="s">
        <v>742</v>
      </c>
      <c r="B60" s="12" t="s">
        <v>979</v>
      </c>
      <c r="C60" s="13"/>
      <c r="D60" s="28"/>
      <c r="E60" s="336"/>
      <c r="F60" s="144">
        <f>F72</f>
        <v>1920.7999999999997</v>
      </c>
      <c r="G60" s="144">
        <v>1825</v>
      </c>
      <c r="H60" s="339">
        <f t="shared" si="1"/>
        <v>95.799999999999727</v>
      </c>
      <c r="I60" s="144"/>
    </row>
    <row r="61" spans="1:9" ht="18" hidden="1" customHeight="1">
      <c r="A61" s="184"/>
      <c r="B61" s="185" t="s">
        <v>980</v>
      </c>
      <c r="C61" s="184" t="s">
        <v>845</v>
      </c>
      <c r="D61" s="180">
        <v>1</v>
      </c>
      <c r="E61" s="343">
        <v>3</v>
      </c>
      <c r="F61" s="344">
        <f t="shared" ref="F61:F70" si="4">+E61*D61</f>
        <v>3</v>
      </c>
      <c r="G61" s="345"/>
      <c r="H61" s="339"/>
      <c r="I61" s="144" t="s">
        <v>1774</v>
      </c>
    </row>
    <row r="62" spans="1:9" ht="18" hidden="1" customHeight="1">
      <c r="A62" s="184"/>
      <c r="B62" s="185" t="s">
        <v>948</v>
      </c>
      <c r="C62" s="184" t="s">
        <v>861</v>
      </c>
      <c r="D62" s="180">
        <v>2</v>
      </c>
      <c r="E62" s="343">
        <v>1</v>
      </c>
      <c r="F62" s="344">
        <f t="shared" si="4"/>
        <v>2</v>
      </c>
      <c r="G62" s="345"/>
      <c r="H62" s="339"/>
      <c r="I62" s="144" t="s">
        <v>1774</v>
      </c>
    </row>
    <row r="63" spans="1:9" ht="18" hidden="1" customHeight="1">
      <c r="A63" s="184"/>
      <c r="B63" s="185" t="s">
        <v>981</v>
      </c>
      <c r="C63" s="184" t="s">
        <v>845</v>
      </c>
      <c r="D63" s="180">
        <v>1</v>
      </c>
      <c r="E63" s="343">
        <v>2</v>
      </c>
      <c r="F63" s="344">
        <f t="shared" si="4"/>
        <v>2</v>
      </c>
      <c r="G63" s="345"/>
      <c r="H63" s="339"/>
      <c r="I63" s="144" t="s">
        <v>1774</v>
      </c>
    </row>
    <row r="64" spans="1:9" ht="18" hidden="1" customHeight="1">
      <c r="A64" s="184"/>
      <c r="B64" s="185" t="s">
        <v>982</v>
      </c>
      <c r="C64" s="184" t="s">
        <v>943</v>
      </c>
      <c r="D64" s="180">
        <v>80</v>
      </c>
      <c r="E64" s="343">
        <v>0.04</v>
      </c>
      <c r="F64" s="344">
        <f t="shared" si="4"/>
        <v>3.2</v>
      </c>
      <c r="G64" s="345"/>
      <c r="H64" s="339"/>
      <c r="I64" s="144" t="s">
        <v>1774</v>
      </c>
    </row>
    <row r="65" spans="1:9" ht="18" hidden="1" customHeight="1">
      <c r="A65" s="184"/>
      <c r="B65" s="185" t="s">
        <v>983</v>
      </c>
      <c r="C65" s="184" t="s">
        <v>876</v>
      </c>
      <c r="D65" s="180">
        <v>80</v>
      </c>
      <c r="E65" s="343">
        <v>0.08</v>
      </c>
      <c r="F65" s="344">
        <f t="shared" si="4"/>
        <v>6.4</v>
      </c>
      <c r="G65" s="345"/>
      <c r="H65" s="339"/>
      <c r="I65" s="144" t="s">
        <v>1774</v>
      </c>
    </row>
    <row r="66" spans="1:9" ht="18" hidden="1" customHeight="1">
      <c r="A66" s="184"/>
      <c r="B66" s="185" t="s">
        <v>984</v>
      </c>
      <c r="C66" s="184" t="s">
        <v>876</v>
      </c>
      <c r="D66" s="180">
        <v>80</v>
      </c>
      <c r="E66" s="343">
        <v>0.05</v>
      </c>
      <c r="F66" s="344">
        <f t="shared" si="4"/>
        <v>4</v>
      </c>
      <c r="G66" s="345"/>
      <c r="H66" s="339"/>
      <c r="I66" s="144" t="s">
        <v>1774</v>
      </c>
    </row>
    <row r="67" spans="1:9" ht="18" hidden="1" customHeight="1">
      <c r="A67" s="184"/>
      <c r="B67" s="185" t="s">
        <v>985</v>
      </c>
      <c r="C67" s="184"/>
      <c r="D67" s="180"/>
      <c r="E67" s="343">
        <v>0</v>
      </c>
      <c r="F67" s="344">
        <f t="shared" si="4"/>
        <v>0</v>
      </c>
      <c r="G67" s="345"/>
      <c r="H67" s="339"/>
      <c r="I67" s="144" t="s">
        <v>1774</v>
      </c>
    </row>
    <row r="68" spans="1:9" ht="18" hidden="1" customHeight="1">
      <c r="A68" s="184"/>
      <c r="B68" s="185" t="s">
        <v>986</v>
      </c>
      <c r="C68" s="184" t="s">
        <v>829</v>
      </c>
      <c r="D68" s="180">
        <v>60</v>
      </c>
      <c r="E68" s="343">
        <v>0.2</v>
      </c>
      <c r="F68" s="344">
        <f t="shared" si="4"/>
        <v>12</v>
      </c>
      <c r="G68" s="345"/>
      <c r="H68" s="339"/>
      <c r="I68" s="144" t="s">
        <v>1774</v>
      </c>
    </row>
    <row r="69" spans="1:9" ht="18" hidden="1" customHeight="1">
      <c r="A69" s="184"/>
      <c r="B69" s="185" t="s">
        <v>987</v>
      </c>
      <c r="C69" s="184" t="s">
        <v>829</v>
      </c>
      <c r="D69" s="180">
        <v>90</v>
      </c>
      <c r="E69" s="343">
        <v>0.2</v>
      </c>
      <c r="F69" s="344">
        <f t="shared" si="4"/>
        <v>18</v>
      </c>
      <c r="G69" s="345"/>
      <c r="H69" s="339"/>
      <c r="I69" s="144" t="s">
        <v>1774</v>
      </c>
    </row>
    <row r="70" spans="1:9" ht="18" hidden="1" customHeight="1">
      <c r="A70" s="184"/>
      <c r="B70" s="185" t="s">
        <v>988</v>
      </c>
      <c r="C70" s="184" t="s">
        <v>829</v>
      </c>
      <c r="D70" s="180">
        <v>60</v>
      </c>
      <c r="E70" s="343">
        <v>0.3</v>
      </c>
      <c r="F70" s="344">
        <f t="shared" si="4"/>
        <v>18</v>
      </c>
      <c r="G70" s="345"/>
      <c r="H70" s="339"/>
      <c r="I70" s="144" t="s">
        <v>1774</v>
      </c>
    </row>
    <row r="71" spans="1:9" s="333" customFormat="1" ht="18" hidden="1" customHeight="1">
      <c r="A71" s="204"/>
      <c r="B71" s="205" t="s">
        <v>989</v>
      </c>
      <c r="C71" s="204"/>
      <c r="D71" s="346"/>
      <c r="E71" s="347"/>
      <c r="F71" s="348">
        <f>SUM(F61:F70)</f>
        <v>68.599999999999994</v>
      </c>
      <c r="G71" s="345"/>
      <c r="H71" s="339"/>
      <c r="I71" s="144" t="s">
        <v>1774</v>
      </c>
    </row>
    <row r="72" spans="1:9" s="333" customFormat="1" ht="18" hidden="1" customHeight="1">
      <c r="A72" s="204"/>
      <c r="B72" s="205" t="s">
        <v>990</v>
      </c>
      <c r="C72" s="204"/>
      <c r="D72" s="346"/>
      <c r="E72" s="347"/>
      <c r="F72" s="348">
        <f>F71*7*4</f>
        <v>1920.7999999999997</v>
      </c>
      <c r="G72" s="345"/>
      <c r="H72" s="339"/>
      <c r="I72" s="144" t="s">
        <v>1774</v>
      </c>
    </row>
    <row r="73" spans="1:9" ht="69" customHeight="1">
      <c r="A73" s="13" t="s">
        <v>712</v>
      </c>
      <c r="B73" s="12" t="s">
        <v>991</v>
      </c>
      <c r="C73" s="13"/>
      <c r="D73" s="28"/>
      <c r="E73" s="336"/>
      <c r="F73" s="144">
        <f>F74+F95</f>
        <v>15104</v>
      </c>
      <c r="G73" s="144">
        <v>14349</v>
      </c>
      <c r="H73" s="339">
        <f t="shared" si="1"/>
        <v>755</v>
      </c>
      <c r="I73" s="144"/>
    </row>
    <row r="74" spans="1:9" ht="30" customHeight="1">
      <c r="A74" s="13" t="s">
        <v>742</v>
      </c>
      <c r="B74" s="12" t="s">
        <v>992</v>
      </c>
      <c r="C74" s="13"/>
      <c r="D74" s="28"/>
      <c r="E74" s="336"/>
      <c r="F74" s="144">
        <f>F94</f>
        <v>13176.800000000001</v>
      </c>
      <c r="G74" s="144">
        <v>12518</v>
      </c>
      <c r="H74" s="339">
        <f t="shared" si="1"/>
        <v>658.80000000000109</v>
      </c>
      <c r="I74" s="144"/>
    </row>
    <row r="75" spans="1:9" ht="18" hidden="1" customHeight="1">
      <c r="A75" s="184"/>
      <c r="B75" s="185" t="s">
        <v>993</v>
      </c>
      <c r="C75" s="184" t="s">
        <v>941</v>
      </c>
      <c r="D75" s="180">
        <v>10</v>
      </c>
      <c r="E75" s="343">
        <v>2</v>
      </c>
      <c r="F75" s="344">
        <f>+E75*D75</f>
        <v>20</v>
      </c>
      <c r="G75" s="345"/>
      <c r="H75" s="339"/>
      <c r="I75" s="144" t="s">
        <v>1774</v>
      </c>
    </row>
    <row r="76" spans="1:9" ht="18" hidden="1" customHeight="1">
      <c r="A76" s="184"/>
      <c r="B76" s="185" t="s">
        <v>994</v>
      </c>
      <c r="C76" s="184" t="s">
        <v>943</v>
      </c>
      <c r="D76" s="180">
        <v>12</v>
      </c>
      <c r="E76" s="343">
        <v>0.3</v>
      </c>
      <c r="F76" s="344">
        <f>E76*D76</f>
        <v>3.5999999999999996</v>
      </c>
      <c r="G76" s="345"/>
      <c r="H76" s="339"/>
      <c r="I76" s="144" t="s">
        <v>1774</v>
      </c>
    </row>
    <row r="77" spans="1:9" ht="18" hidden="1" customHeight="1">
      <c r="A77" s="184"/>
      <c r="B77" s="185" t="s">
        <v>995</v>
      </c>
      <c r="C77" s="184" t="s">
        <v>943</v>
      </c>
      <c r="D77" s="180">
        <v>14</v>
      </c>
      <c r="E77" s="343">
        <v>0.2</v>
      </c>
      <c r="F77" s="344">
        <f>+E77*D77</f>
        <v>2.8000000000000003</v>
      </c>
      <c r="G77" s="345"/>
      <c r="H77" s="339"/>
      <c r="I77" s="144" t="s">
        <v>1774</v>
      </c>
    </row>
    <row r="78" spans="1:9" ht="18" hidden="1" customHeight="1">
      <c r="A78" s="184"/>
      <c r="B78" s="185" t="s">
        <v>945</v>
      </c>
      <c r="C78" s="184" t="s">
        <v>946</v>
      </c>
      <c r="D78" s="180">
        <v>4</v>
      </c>
      <c r="E78" s="343">
        <v>0.5</v>
      </c>
      <c r="F78" s="344">
        <f>+D78*E78</f>
        <v>2</v>
      </c>
      <c r="G78" s="345"/>
      <c r="H78" s="339"/>
      <c r="I78" s="144" t="s">
        <v>1774</v>
      </c>
    </row>
    <row r="79" spans="1:9" ht="18" hidden="1" customHeight="1">
      <c r="A79" s="184"/>
      <c r="B79" s="185" t="s">
        <v>996</v>
      </c>
      <c r="C79" s="184" t="s">
        <v>845</v>
      </c>
      <c r="D79" s="180">
        <v>5</v>
      </c>
      <c r="E79" s="343">
        <v>3</v>
      </c>
      <c r="F79" s="344">
        <f>+E79*D79</f>
        <v>15</v>
      </c>
      <c r="G79" s="345"/>
      <c r="H79" s="339"/>
      <c r="I79" s="144" t="s">
        <v>1774</v>
      </c>
    </row>
    <row r="80" spans="1:9" ht="18" hidden="1" customHeight="1">
      <c r="A80" s="184"/>
      <c r="B80" s="185" t="s">
        <v>948</v>
      </c>
      <c r="C80" s="184" t="s">
        <v>861</v>
      </c>
      <c r="D80" s="180">
        <v>2</v>
      </c>
      <c r="E80" s="343">
        <v>1</v>
      </c>
      <c r="F80" s="344">
        <f>+E80*D80</f>
        <v>2</v>
      </c>
      <c r="G80" s="345"/>
      <c r="H80" s="339"/>
      <c r="I80" s="144" t="s">
        <v>1774</v>
      </c>
    </row>
    <row r="81" spans="1:9" ht="18" hidden="1" customHeight="1">
      <c r="A81" s="184"/>
      <c r="B81" s="185" t="s">
        <v>997</v>
      </c>
      <c r="C81" s="184" t="s">
        <v>845</v>
      </c>
      <c r="D81" s="180">
        <v>5</v>
      </c>
      <c r="E81" s="343">
        <v>2</v>
      </c>
      <c r="F81" s="344">
        <f>+E81*D81</f>
        <v>10</v>
      </c>
      <c r="G81" s="345"/>
      <c r="H81" s="339"/>
      <c r="I81" s="144" t="s">
        <v>1774</v>
      </c>
    </row>
    <row r="82" spans="1:9" ht="18" hidden="1" customHeight="1">
      <c r="A82" s="184"/>
      <c r="B82" s="185" t="s">
        <v>998</v>
      </c>
      <c r="C82" s="184" t="s">
        <v>943</v>
      </c>
      <c r="D82" s="180">
        <v>250</v>
      </c>
      <c r="E82" s="343">
        <v>0.04</v>
      </c>
      <c r="F82" s="344">
        <f>+E82*D82</f>
        <v>10</v>
      </c>
      <c r="G82" s="345"/>
      <c r="H82" s="339"/>
      <c r="I82" s="144" t="s">
        <v>1774</v>
      </c>
    </row>
    <row r="83" spans="1:9" ht="18" hidden="1" customHeight="1">
      <c r="A83" s="184"/>
      <c r="B83" s="185" t="s">
        <v>951</v>
      </c>
      <c r="C83" s="184" t="s">
        <v>876</v>
      </c>
      <c r="D83" s="180">
        <v>50</v>
      </c>
      <c r="E83" s="343">
        <v>0.08</v>
      </c>
      <c r="F83" s="344">
        <f t="shared" ref="F83:F92" si="5">+E83*D83</f>
        <v>4</v>
      </c>
      <c r="G83" s="345"/>
      <c r="H83" s="339"/>
      <c r="I83" s="144" t="s">
        <v>1774</v>
      </c>
    </row>
    <row r="84" spans="1:9" ht="18" hidden="1" customHeight="1">
      <c r="A84" s="184"/>
      <c r="B84" s="185" t="s">
        <v>952</v>
      </c>
      <c r="C84" s="184" t="s">
        <v>876</v>
      </c>
      <c r="D84" s="180">
        <v>50</v>
      </c>
      <c r="E84" s="343">
        <v>0.05</v>
      </c>
      <c r="F84" s="344">
        <f t="shared" si="5"/>
        <v>2.5</v>
      </c>
      <c r="G84" s="345"/>
      <c r="H84" s="339"/>
      <c r="I84" s="144" t="s">
        <v>1774</v>
      </c>
    </row>
    <row r="85" spans="1:9" s="105" customFormat="1" ht="18" hidden="1" customHeight="1">
      <c r="A85" s="13"/>
      <c r="B85" s="12" t="s">
        <v>953</v>
      </c>
      <c r="C85" s="13"/>
      <c r="D85" s="28"/>
      <c r="E85" s="336">
        <v>0</v>
      </c>
      <c r="F85" s="144"/>
      <c r="G85" s="145"/>
      <c r="H85" s="339"/>
      <c r="I85" s="144" t="s">
        <v>1774</v>
      </c>
    </row>
    <row r="86" spans="1:9" ht="18" hidden="1" customHeight="1">
      <c r="A86" s="184"/>
      <c r="B86" s="185" t="s">
        <v>994</v>
      </c>
      <c r="C86" s="184" t="s">
        <v>943</v>
      </c>
      <c r="D86" s="180">
        <v>12</v>
      </c>
      <c r="E86" s="343">
        <v>0.3</v>
      </c>
      <c r="F86" s="344">
        <f>E86*D86</f>
        <v>3.5999999999999996</v>
      </c>
      <c r="G86" s="345"/>
      <c r="H86" s="339"/>
      <c r="I86" s="144" t="s">
        <v>1774</v>
      </c>
    </row>
    <row r="87" spans="1:9" ht="18" hidden="1" customHeight="1">
      <c r="A87" s="184"/>
      <c r="B87" s="185" t="s">
        <v>995</v>
      </c>
      <c r="C87" s="184" t="s">
        <v>943</v>
      </c>
      <c r="D87" s="180">
        <v>14</v>
      </c>
      <c r="E87" s="343">
        <v>0.2</v>
      </c>
      <c r="F87" s="344">
        <f>+E87*D87</f>
        <v>2.8000000000000003</v>
      </c>
      <c r="G87" s="345"/>
      <c r="H87" s="339"/>
      <c r="I87" s="144" t="s">
        <v>1774</v>
      </c>
    </row>
    <row r="88" spans="1:9" ht="18" hidden="1" customHeight="1">
      <c r="A88" s="184"/>
      <c r="B88" s="185" t="s">
        <v>945</v>
      </c>
      <c r="C88" s="184" t="s">
        <v>946</v>
      </c>
      <c r="D88" s="180">
        <v>4</v>
      </c>
      <c r="E88" s="343">
        <v>0.5</v>
      </c>
      <c r="F88" s="344">
        <f>+D88*E88</f>
        <v>2</v>
      </c>
      <c r="G88" s="345"/>
      <c r="H88" s="339"/>
      <c r="I88" s="144" t="s">
        <v>1774</v>
      </c>
    </row>
    <row r="89" spans="1:9" s="105" customFormat="1" ht="18" hidden="1" customHeight="1">
      <c r="A89" s="13"/>
      <c r="B89" s="12" t="s">
        <v>954</v>
      </c>
      <c r="C89" s="13"/>
      <c r="D89" s="28"/>
      <c r="E89" s="336">
        <v>0</v>
      </c>
      <c r="F89" s="144">
        <f t="shared" si="5"/>
        <v>0</v>
      </c>
      <c r="G89" s="145"/>
      <c r="H89" s="339"/>
      <c r="I89" s="144" t="s">
        <v>1774</v>
      </c>
    </row>
    <row r="90" spans="1:9" ht="18" hidden="1" customHeight="1">
      <c r="A90" s="184"/>
      <c r="B90" s="185" t="s">
        <v>955</v>
      </c>
      <c r="C90" s="184" t="s">
        <v>829</v>
      </c>
      <c r="D90" s="180">
        <v>100</v>
      </c>
      <c r="E90" s="343">
        <v>0.2</v>
      </c>
      <c r="F90" s="344">
        <f t="shared" si="5"/>
        <v>20</v>
      </c>
      <c r="G90" s="345"/>
      <c r="H90" s="339"/>
      <c r="I90" s="144" t="s">
        <v>1774</v>
      </c>
    </row>
    <row r="91" spans="1:9" ht="18" hidden="1" customHeight="1">
      <c r="A91" s="184"/>
      <c r="B91" s="185" t="s">
        <v>999</v>
      </c>
      <c r="C91" s="184" t="s">
        <v>829</v>
      </c>
      <c r="D91" s="180">
        <v>300</v>
      </c>
      <c r="E91" s="343">
        <v>0.2</v>
      </c>
      <c r="F91" s="344">
        <f t="shared" si="5"/>
        <v>60</v>
      </c>
      <c r="G91" s="345"/>
      <c r="H91" s="339"/>
      <c r="I91" s="144" t="s">
        <v>1774</v>
      </c>
    </row>
    <row r="92" spans="1:9" ht="18" hidden="1" customHeight="1">
      <c r="A92" s="184"/>
      <c r="B92" s="185" t="s">
        <v>1000</v>
      </c>
      <c r="C92" s="184" t="s">
        <v>829</v>
      </c>
      <c r="D92" s="180">
        <v>250</v>
      </c>
      <c r="E92" s="343">
        <v>0.3</v>
      </c>
      <c r="F92" s="344">
        <f t="shared" si="5"/>
        <v>75</v>
      </c>
      <c r="G92" s="345"/>
      <c r="H92" s="339"/>
      <c r="I92" s="144" t="s">
        <v>1774</v>
      </c>
    </row>
    <row r="93" spans="1:9" s="333" customFormat="1" ht="18" hidden="1" customHeight="1">
      <c r="A93" s="204"/>
      <c r="B93" s="205" t="s">
        <v>958</v>
      </c>
      <c r="C93" s="204"/>
      <c r="D93" s="346"/>
      <c r="E93" s="347"/>
      <c r="F93" s="348">
        <f>SUM(F75:F92)</f>
        <v>235.3</v>
      </c>
      <c r="G93" s="345"/>
      <c r="H93" s="339"/>
      <c r="I93" s="144" t="s">
        <v>1774</v>
      </c>
    </row>
    <row r="94" spans="1:9" s="333" customFormat="1" ht="18" hidden="1" customHeight="1">
      <c r="A94" s="204"/>
      <c r="B94" s="205" t="s">
        <v>1001</v>
      </c>
      <c r="C94" s="204"/>
      <c r="D94" s="346"/>
      <c r="E94" s="347"/>
      <c r="F94" s="348">
        <f>F93*14*4</f>
        <v>13176.800000000001</v>
      </c>
      <c r="G94" s="345"/>
      <c r="H94" s="339"/>
      <c r="I94" s="144" t="s">
        <v>1774</v>
      </c>
    </row>
    <row r="95" spans="1:9" ht="27" customHeight="1">
      <c r="A95" s="13" t="s">
        <v>742</v>
      </c>
      <c r="B95" s="12" t="s">
        <v>1002</v>
      </c>
      <c r="C95" s="13"/>
      <c r="D95" s="28"/>
      <c r="E95" s="336"/>
      <c r="F95" s="144">
        <f>F111</f>
        <v>1927.1999999999998</v>
      </c>
      <c r="G95" s="144">
        <v>1831</v>
      </c>
      <c r="H95" s="339">
        <f>F95-G95</f>
        <v>96.199999999999818</v>
      </c>
      <c r="I95" s="144"/>
    </row>
    <row r="96" spans="1:9" ht="18" hidden="1" customHeight="1">
      <c r="A96" s="184"/>
      <c r="B96" s="185" t="s">
        <v>993</v>
      </c>
      <c r="C96" s="184" t="s">
        <v>941</v>
      </c>
      <c r="D96" s="180">
        <v>10</v>
      </c>
      <c r="E96" s="343">
        <v>2</v>
      </c>
      <c r="F96" s="344">
        <f>+E96*D96</f>
        <v>20</v>
      </c>
      <c r="G96" s="345"/>
      <c r="H96" s="339"/>
      <c r="I96" s="144" t="s">
        <v>1774</v>
      </c>
    </row>
    <row r="97" spans="1:9" ht="18" hidden="1" customHeight="1">
      <c r="A97" s="184"/>
      <c r="B97" s="185" t="s">
        <v>994</v>
      </c>
      <c r="C97" s="184" t="s">
        <v>943</v>
      </c>
      <c r="D97" s="180">
        <v>12</v>
      </c>
      <c r="E97" s="343">
        <v>0.3</v>
      </c>
      <c r="F97" s="344">
        <f>E97*D97</f>
        <v>3.5999999999999996</v>
      </c>
      <c r="G97" s="345"/>
      <c r="H97" s="339"/>
      <c r="I97" s="144" t="s">
        <v>1774</v>
      </c>
    </row>
    <row r="98" spans="1:9" ht="18" hidden="1" customHeight="1">
      <c r="A98" s="184"/>
      <c r="B98" s="185" t="s">
        <v>995</v>
      </c>
      <c r="C98" s="184" t="s">
        <v>943</v>
      </c>
      <c r="D98" s="180">
        <v>14</v>
      </c>
      <c r="E98" s="343">
        <v>0.2</v>
      </c>
      <c r="F98" s="344">
        <f>+E98*D98</f>
        <v>2.8000000000000003</v>
      </c>
      <c r="G98" s="345"/>
      <c r="H98" s="339"/>
      <c r="I98" s="144" t="s">
        <v>1774</v>
      </c>
    </row>
    <row r="99" spans="1:9" ht="18" hidden="1" customHeight="1">
      <c r="A99" s="184"/>
      <c r="B99" s="185" t="s">
        <v>945</v>
      </c>
      <c r="C99" s="184" t="s">
        <v>946</v>
      </c>
      <c r="D99" s="180">
        <v>4</v>
      </c>
      <c r="E99" s="343">
        <v>0.5</v>
      </c>
      <c r="F99" s="344">
        <f>+D99*E99</f>
        <v>2</v>
      </c>
      <c r="G99" s="345"/>
      <c r="H99" s="339"/>
      <c r="I99" s="144" t="s">
        <v>1774</v>
      </c>
    </row>
    <row r="100" spans="1:9" ht="18" hidden="1" customHeight="1">
      <c r="A100" s="184"/>
      <c r="B100" s="185" t="s">
        <v>996</v>
      </c>
      <c r="C100" s="184" t="s">
        <v>845</v>
      </c>
      <c r="D100" s="180">
        <v>5</v>
      </c>
      <c r="E100" s="343">
        <v>3</v>
      </c>
      <c r="F100" s="344">
        <f t="shared" ref="F100:F105" si="6">+E100*D100</f>
        <v>15</v>
      </c>
      <c r="G100" s="345"/>
      <c r="H100" s="339"/>
      <c r="I100" s="144" t="s">
        <v>1774</v>
      </c>
    </row>
    <row r="101" spans="1:9" ht="18" hidden="1" customHeight="1">
      <c r="A101" s="184"/>
      <c r="B101" s="185" t="s">
        <v>948</v>
      </c>
      <c r="C101" s="184" t="s">
        <v>861</v>
      </c>
      <c r="D101" s="180">
        <v>2</v>
      </c>
      <c r="E101" s="343">
        <v>1</v>
      </c>
      <c r="F101" s="344">
        <f t="shared" si="6"/>
        <v>2</v>
      </c>
      <c r="G101" s="345"/>
      <c r="H101" s="339"/>
      <c r="I101" s="144" t="s">
        <v>1774</v>
      </c>
    </row>
    <row r="102" spans="1:9" ht="18" hidden="1" customHeight="1">
      <c r="A102" s="184"/>
      <c r="B102" s="185" t="s">
        <v>997</v>
      </c>
      <c r="C102" s="184" t="s">
        <v>845</v>
      </c>
      <c r="D102" s="180">
        <v>5</v>
      </c>
      <c r="E102" s="343">
        <v>2</v>
      </c>
      <c r="F102" s="344">
        <f t="shared" si="6"/>
        <v>10</v>
      </c>
      <c r="G102" s="345"/>
      <c r="H102" s="339"/>
      <c r="I102" s="144" t="s">
        <v>1774</v>
      </c>
    </row>
    <row r="103" spans="1:9" ht="18" hidden="1" customHeight="1">
      <c r="A103" s="184"/>
      <c r="B103" s="185" t="s">
        <v>998</v>
      </c>
      <c r="C103" s="184" t="s">
        <v>943</v>
      </c>
      <c r="D103" s="180">
        <v>250</v>
      </c>
      <c r="E103" s="343">
        <v>0.04</v>
      </c>
      <c r="F103" s="344">
        <f t="shared" si="6"/>
        <v>10</v>
      </c>
      <c r="G103" s="345"/>
      <c r="H103" s="339"/>
      <c r="I103" s="144" t="s">
        <v>1774</v>
      </c>
    </row>
    <row r="104" spans="1:9" ht="18" hidden="1" customHeight="1">
      <c r="A104" s="184"/>
      <c r="B104" s="185" t="s">
        <v>951</v>
      </c>
      <c r="C104" s="184" t="s">
        <v>876</v>
      </c>
      <c r="D104" s="180">
        <v>50</v>
      </c>
      <c r="E104" s="343">
        <v>0.08</v>
      </c>
      <c r="F104" s="344">
        <f t="shared" si="6"/>
        <v>4</v>
      </c>
      <c r="G104" s="345"/>
      <c r="H104" s="339"/>
      <c r="I104" s="144" t="s">
        <v>1774</v>
      </c>
    </row>
    <row r="105" spans="1:9" ht="18" hidden="1" customHeight="1">
      <c r="A105" s="184"/>
      <c r="B105" s="185" t="s">
        <v>952</v>
      </c>
      <c r="C105" s="184" t="s">
        <v>876</v>
      </c>
      <c r="D105" s="180">
        <v>50</v>
      </c>
      <c r="E105" s="343">
        <v>0.05</v>
      </c>
      <c r="F105" s="344">
        <f t="shared" si="6"/>
        <v>2.5</v>
      </c>
      <c r="G105" s="345"/>
      <c r="H105" s="339"/>
      <c r="I105" s="144" t="s">
        <v>1774</v>
      </c>
    </row>
    <row r="106" spans="1:9" s="105" customFormat="1" ht="18" hidden="1" customHeight="1">
      <c r="A106" s="13"/>
      <c r="B106" s="12" t="s">
        <v>953</v>
      </c>
      <c r="C106" s="13"/>
      <c r="D106" s="28"/>
      <c r="E106" s="336">
        <v>0</v>
      </c>
      <c r="F106" s="144"/>
      <c r="G106" s="145"/>
      <c r="H106" s="339"/>
      <c r="I106" s="144" t="s">
        <v>1774</v>
      </c>
    </row>
    <row r="107" spans="1:9" ht="18" hidden="1" customHeight="1">
      <c r="A107" s="184"/>
      <c r="B107" s="185" t="s">
        <v>994</v>
      </c>
      <c r="C107" s="184" t="s">
        <v>943</v>
      </c>
      <c r="D107" s="180">
        <v>12</v>
      </c>
      <c r="E107" s="343">
        <v>0.3</v>
      </c>
      <c r="F107" s="344">
        <f>E107*D107</f>
        <v>3.5999999999999996</v>
      </c>
      <c r="G107" s="345"/>
      <c r="H107" s="339"/>
      <c r="I107" s="144" t="s">
        <v>1774</v>
      </c>
    </row>
    <row r="108" spans="1:9" ht="18" hidden="1" customHeight="1">
      <c r="A108" s="184"/>
      <c r="B108" s="185" t="s">
        <v>995</v>
      </c>
      <c r="C108" s="184" t="s">
        <v>943</v>
      </c>
      <c r="D108" s="180">
        <v>14</v>
      </c>
      <c r="E108" s="343">
        <v>0.2</v>
      </c>
      <c r="F108" s="344">
        <f>+E108*D108</f>
        <v>2.8000000000000003</v>
      </c>
      <c r="G108" s="345"/>
      <c r="H108" s="339"/>
      <c r="I108" s="144" t="s">
        <v>1774</v>
      </c>
    </row>
    <row r="109" spans="1:9" ht="18" hidden="1" customHeight="1">
      <c r="A109" s="184"/>
      <c r="B109" s="185" t="s">
        <v>945</v>
      </c>
      <c r="C109" s="184" t="s">
        <v>946</v>
      </c>
      <c r="D109" s="180">
        <v>4</v>
      </c>
      <c r="E109" s="343">
        <v>0.5</v>
      </c>
      <c r="F109" s="344">
        <f>+D109*E109</f>
        <v>2</v>
      </c>
      <c r="G109" s="345"/>
      <c r="H109" s="339"/>
      <c r="I109" s="144" t="s">
        <v>1774</v>
      </c>
    </row>
    <row r="110" spans="1:9" s="333" customFormat="1" ht="18" hidden="1" customHeight="1">
      <c r="A110" s="204"/>
      <c r="B110" s="205" t="s">
        <v>958</v>
      </c>
      <c r="C110" s="204"/>
      <c r="D110" s="346"/>
      <c r="E110" s="347"/>
      <c r="F110" s="348">
        <f>SUM(F96:F109)</f>
        <v>80.3</v>
      </c>
      <c r="G110" s="345"/>
      <c r="H110" s="339"/>
      <c r="I110" s="144" t="s">
        <v>1774</v>
      </c>
    </row>
    <row r="111" spans="1:9" s="333" customFormat="1" ht="18" hidden="1" customHeight="1">
      <c r="A111" s="204"/>
      <c r="B111" s="205" t="s">
        <v>1003</v>
      </c>
      <c r="C111" s="204"/>
      <c r="D111" s="346"/>
      <c r="E111" s="347"/>
      <c r="F111" s="348">
        <f>F110*6*4</f>
        <v>1927.1999999999998</v>
      </c>
      <c r="G111" s="345"/>
      <c r="H111" s="339"/>
      <c r="I111" s="144" t="s">
        <v>1774</v>
      </c>
    </row>
    <row r="112" spans="1:9" ht="71.25" customHeight="1">
      <c r="A112" s="13" t="s">
        <v>713</v>
      </c>
      <c r="B112" s="12" t="s">
        <v>1004</v>
      </c>
      <c r="C112" s="13"/>
      <c r="D112" s="28"/>
      <c r="E112" s="336"/>
      <c r="F112" s="144">
        <f>F113</f>
        <v>803.2</v>
      </c>
      <c r="G112" s="144">
        <v>763</v>
      </c>
      <c r="H112" s="339">
        <f t="shared" ref="H112" si="7">F112-G112</f>
        <v>40.200000000000045</v>
      </c>
      <c r="I112" s="144"/>
    </row>
    <row r="113" spans="1:9" ht="18" customHeight="1">
      <c r="A113" s="13"/>
      <c r="B113" s="12" t="s">
        <v>1005</v>
      </c>
      <c r="C113" s="13"/>
      <c r="D113" s="28"/>
      <c r="E113" s="336"/>
      <c r="F113" s="144">
        <f>F125</f>
        <v>803.2</v>
      </c>
      <c r="G113" s="144">
        <v>763</v>
      </c>
      <c r="H113" s="339">
        <f>F113-G113</f>
        <v>40.200000000000045</v>
      </c>
      <c r="I113" s="144"/>
    </row>
    <row r="114" spans="1:9" ht="18" hidden="1" customHeight="1">
      <c r="A114" s="184"/>
      <c r="B114" s="185" t="s">
        <v>1006</v>
      </c>
      <c r="C114" s="184" t="s">
        <v>941</v>
      </c>
      <c r="D114" s="180">
        <v>2</v>
      </c>
      <c r="E114" s="343">
        <v>2</v>
      </c>
      <c r="F114" s="344">
        <f>+E114*D114</f>
        <v>4</v>
      </c>
      <c r="G114" s="345"/>
      <c r="H114" s="339"/>
      <c r="I114" s="144" t="s">
        <v>1774</v>
      </c>
    </row>
    <row r="115" spans="1:9" ht="18" hidden="1" customHeight="1">
      <c r="A115" s="184"/>
      <c r="B115" s="185" t="s">
        <v>1007</v>
      </c>
      <c r="C115" s="184" t="s">
        <v>943</v>
      </c>
      <c r="D115" s="180">
        <v>2</v>
      </c>
      <c r="E115" s="343">
        <v>0.3</v>
      </c>
      <c r="F115" s="344">
        <f>E115*D115</f>
        <v>0.6</v>
      </c>
      <c r="G115" s="345"/>
      <c r="H115" s="339"/>
      <c r="I115" s="144" t="s">
        <v>1774</v>
      </c>
    </row>
    <row r="116" spans="1:9" ht="18" hidden="1" customHeight="1">
      <c r="A116" s="184"/>
      <c r="B116" s="185" t="s">
        <v>1008</v>
      </c>
      <c r="C116" s="184" t="s">
        <v>943</v>
      </c>
      <c r="D116" s="180">
        <v>3</v>
      </c>
      <c r="E116" s="343">
        <v>0.2</v>
      </c>
      <c r="F116" s="344">
        <f>+E116*D116</f>
        <v>0.60000000000000009</v>
      </c>
      <c r="G116" s="345"/>
      <c r="H116" s="339"/>
      <c r="I116" s="144" t="s">
        <v>1774</v>
      </c>
    </row>
    <row r="117" spans="1:9" ht="18" hidden="1" customHeight="1">
      <c r="A117" s="184"/>
      <c r="B117" s="185" t="s">
        <v>1009</v>
      </c>
      <c r="C117" s="184" t="s">
        <v>946</v>
      </c>
      <c r="D117" s="180">
        <v>2</v>
      </c>
      <c r="E117" s="343">
        <v>0.5</v>
      </c>
      <c r="F117" s="344">
        <f>+D117*E117</f>
        <v>1</v>
      </c>
      <c r="G117" s="345"/>
      <c r="H117" s="339"/>
      <c r="I117" s="144" t="s">
        <v>1774</v>
      </c>
    </row>
    <row r="118" spans="1:9" ht="18" hidden="1" customHeight="1">
      <c r="A118" s="184"/>
      <c r="B118" s="185" t="s">
        <v>980</v>
      </c>
      <c r="C118" s="184" t="s">
        <v>845</v>
      </c>
      <c r="D118" s="180">
        <v>1</v>
      </c>
      <c r="E118" s="343">
        <v>3</v>
      </c>
      <c r="F118" s="344">
        <f>+E118*D118</f>
        <v>3</v>
      </c>
      <c r="G118" s="345"/>
      <c r="H118" s="339"/>
      <c r="I118" s="144" t="s">
        <v>1774</v>
      </c>
    </row>
    <row r="119" spans="1:9" ht="18" hidden="1" customHeight="1">
      <c r="A119" s="184"/>
      <c r="B119" s="185" t="s">
        <v>948</v>
      </c>
      <c r="C119" s="184" t="s">
        <v>861</v>
      </c>
      <c r="D119" s="180">
        <v>2</v>
      </c>
      <c r="E119" s="343">
        <v>1</v>
      </c>
      <c r="F119" s="344">
        <f t="shared" ref="F119:F123" si="8">+E119*D119</f>
        <v>2</v>
      </c>
      <c r="G119" s="345"/>
      <c r="H119" s="339"/>
      <c r="I119" s="144" t="s">
        <v>1774</v>
      </c>
    </row>
    <row r="120" spans="1:9" ht="18" hidden="1" customHeight="1">
      <c r="A120" s="184"/>
      <c r="B120" s="185" t="s">
        <v>981</v>
      </c>
      <c r="C120" s="184" t="s">
        <v>845</v>
      </c>
      <c r="D120" s="180">
        <v>1</v>
      </c>
      <c r="E120" s="343">
        <v>2</v>
      </c>
      <c r="F120" s="344">
        <f t="shared" si="8"/>
        <v>2</v>
      </c>
      <c r="G120" s="345"/>
      <c r="H120" s="339"/>
      <c r="I120" s="144" t="s">
        <v>1774</v>
      </c>
    </row>
    <row r="121" spans="1:9" ht="18" hidden="1" customHeight="1">
      <c r="A121" s="184"/>
      <c r="B121" s="185" t="s">
        <v>1010</v>
      </c>
      <c r="C121" s="184" t="s">
        <v>943</v>
      </c>
      <c r="D121" s="180">
        <v>70</v>
      </c>
      <c r="E121" s="343">
        <v>0.04</v>
      </c>
      <c r="F121" s="344">
        <f t="shared" si="8"/>
        <v>2.8000000000000003</v>
      </c>
      <c r="G121" s="345"/>
      <c r="H121" s="339"/>
      <c r="I121" s="144" t="s">
        <v>1774</v>
      </c>
    </row>
    <row r="122" spans="1:9" ht="18" hidden="1" customHeight="1">
      <c r="A122" s="184"/>
      <c r="B122" s="185" t="s">
        <v>1011</v>
      </c>
      <c r="C122" s="184" t="s">
        <v>876</v>
      </c>
      <c r="D122" s="180">
        <v>70</v>
      </c>
      <c r="E122" s="343">
        <v>0.08</v>
      </c>
      <c r="F122" s="344">
        <f t="shared" si="8"/>
        <v>5.6000000000000005</v>
      </c>
      <c r="G122" s="345"/>
      <c r="H122" s="339"/>
      <c r="I122" s="144" t="s">
        <v>1774</v>
      </c>
    </row>
    <row r="123" spans="1:9" ht="18" hidden="1" customHeight="1">
      <c r="A123" s="184"/>
      <c r="B123" s="185" t="s">
        <v>1012</v>
      </c>
      <c r="C123" s="184" t="s">
        <v>876</v>
      </c>
      <c r="D123" s="180">
        <v>70</v>
      </c>
      <c r="E123" s="343">
        <v>0.05</v>
      </c>
      <c r="F123" s="344">
        <f t="shared" si="8"/>
        <v>3.5</v>
      </c>
      <c r="G123" s="345"/>
      <c r="H123" s="339"/>
      <c r="I123" s="144" t="s">
        <v>1774</v>
      </c>
    </row>
    <row r="124" spans="1:9" s="333" customFormat="1" ht="18" hidden="1" customHeight="1">
      <c r="A124" s="204"/>
      <c r="B124" s="205" t="s">
        <v>989</v>
      </c>
      <c r="C124" s="204"/>
      <c r="D124" s="346"/>
      <c r="E124" s="347"/>
      <c r="F124" s="348">
        <f>SUM(F114:F123)</f>
        <v>25.1</v>
      </c>
      <c r="G124" s="345"/>
      <c r="H124" s="339"/>
      <c r="I124" s="144" t="s">
        <v>1774</v>
      </c>
    </row>
    <row r="125" spans="1:9" s="333" customFormat="1" ht="18" hidden="1" customHeight="1">
      <c r="A125" s="204"/>
      <c r="B125" s="205" t="s">
        <v>1013</v>
      </c>
      <c r="C125" s="204"/>
      <c r="D125" s="349"/>
      <c r="E125" s="350"/>
      <c r="F125" s="348">
        <f>F124*8*4</f>
        <v>803.2</v>
      </c>
      <c r="G125" s="345"/>
      <c r="H125" s="339"/>
      <c r="I125" s="144" t="s">
        <v>1774</v>
      </c>
    </row>
    <row r="126" spans="1:9" ht="18" customHeight="1">
      <c r="A126" s="446" t="s">
        <v>38</v>
      </c>
      <c r="B126" s="870" t="s">
        <v>752</v>
      </c>
      <c r="C126" s="870"/>
      <c r="D126" s="871"/>
      <c r="E126" s="872"/>
      <c r="F126" s="873"/>
      <c r="G126" s="873"/>
      <c r="H126" s="338"/>
      <c r="I126" s="873"/>
    </row>
    <row r="127" spans="1:9">
      <c r="A127" s="105"/>
      <c r="B127" s="105"/>
      <c r="C127" s="105"/>
      <c r="D127" s="105"/>
      <c r="E127" s="105"/>
      <c r="F127" s="874"/>
      <c r="G127" s="874"/>
      <c r="I127" s="874"/>
    </row>
    <row r="128" spans="1:9" s="353" customFormat="1" ht="15.75" customHeight="1">
      <c r="A128" s="1824" t="s">
        <v>2489</v>
      </c>
      <c r="B128" s="1824"/>
      <c r="C128" s="1824"/>
      <c r="D128" s="1824"/>
      <c r="E128" s="1824"/>
      <c r="F128" s="1824"/>
      <c r="G128" s="1824"/>
      <c r="H128" s="1873"/>
      <c r="I128" s="1824"/>
    </row>
    <row r="129" spans="1:9" s="354" customFormat="1" ht="93.75" customHeight="1">
      <c r="A129" s="1801" t="s">
        <v>2092</v>
      </c>
      <c r="B129" s="1801"/>
      <c r="C129" s="1801"/>
      <c r="D129" s="1801"/>
      <c r="E129" s="1801"/>
      <c r="F129" s="1801"/>
      <c r="G129" s="1801"/>
      <c r="H129" s="1867"/>
      <c r="I129" s="1801"/>
    </row>
  </sheetData>
  <autoFilter ref="A6:M126">
    <filterColumn colId="8">
      <filters blank="1"/>
    </filterColumn>
  </autoFilter>
  <mergeCells count="14">
    <mergeCell ref="A129:I129"/>
    <mergeCell ref="G4:G5"/>
    <mergeCell ref="A1:B1"/>
    <mergeCell ref="G1:I1"/>
    <mergeCell ref="A2:I2"/>
    <mergeCell ref="I4:I5"/>
    <mergeCell ref="A3:I3"/>
    <mergeCell ref="A4:A5"/>
    <mergeCell ref="B4:B5"/>
    <mergeCell ref="C4:C5"/>
    <mergeCell ref="D4:D5"/>
    <mergeCell ref="E4:E5"/>
    <mergeCell ref="F4:F5"/>
    <mergeCell ref="A128:I128"/>
  </mergeCells>
  <pageMargins left="0.45" right="0.45" top="0.5" bottom="0.5" header="0.3" footer="0.3"/>
  <pageSetup paperSize="9" scale="75" orientation="portrait" r:id="rId1"/>
  <headerFooter>
    <oddFooter>&amp;C&amp;8&amp;P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189"/>
  <sheetViews>
    <sheetView topLeftCell="A19" zoomScale="115" zoomScaleNormal="115" workbookViewId="0">
      <selection activeCell="F6" sqref="F6:F10"/>
    </sheetView>
  </sheetViews>
  <sheetFormatPr defaultColWidth="9.08203125" defaultRowHeight="13"/>
  <cols>
    <col min="1" max="1" width="7.4140625" style="331" customWidth="1"/>
    <col min="2" max="2" width="50.4140625" style="331" customWidth="1"/>
    <col min="3" max="3" width="16" style="331" customWidth="1"/>
    <col min="4" max="4" width="12.4140625" style="331" hidden="1" customWidth="1"/>
    <col min="5" max="9" width="9.33203125" style="331" hidden="1" customWidth="1"/>
    <col min="10" max="10" width="17.4140625" style="331" customWidth="1"/>
    <col min="11" max="11" width="13.4140625" style="331" customWidth="1"/>
    <col min="12" max="16384" width="9.08203125" style="331"/>
  </cols>
  <sheetData>
    <row r="1" spans="1:11" ht="22.5" customHeight="1">
      <c r="A1" s="1831" t="s">
        <v>2790</v>
      </c>
      <c r="B1" s="1831"/>
      <c r="C1" s="1831"/>
      <c r="D1" s="1831"/>
      <c r="E1" s="1831"/>
      <c r="F1" s="1831"/>
      <c r="G1" s="1831"/>
      <c r="H1" s="1831"/>
      <c r="I1" s="1831"/>
      <c r="J1" s="1831"/>
    </row>
    <row r="2" spans="1:11" s="1114" customFormat="1" ht="18" hidden="1" customHeight="1">
      <c r="A2" s="1874"/>
      <c r="B2" s="1874"/>
      <c r="C2" s="1113"/>
      <c r="D2" s="1113"/>
      <c r="E2" s="1113"/>
      <c r="F2" s="1113"/>
      <c r="G2" s="1113"/>
      <c r="H2" s="1875" t="s">
        <v>2093</v>
      </c>
      <c r="I2" s="1875"/>
      <c r="J2" s="1875"/>
    </row>
    <row r="3" spans="1:11" ht="18" customHeight="1">
      <c r="A3" s="1831" t="s">
        <v>1393</v>
      </c>
      <c r="B3" s="1831"/>
      <c r="C3" s="1831"/>
      <c r="D3" s="1831"/>
      <c r="E3" s="1831"/>
      <c r="F3" s="1831"/>
      <c r="G3" s="1831"/>
      <c r="H3" s="1831"/>
      <c r="I3" s="1831"/>
      <c r="J3" s="1831"/>
    </row>
    <row r="4" spans="1:11" ht="30" customHeight="1">
      <c r="A4" s="1831" t="s">
        <v>1394</v>
      </c>
      <c r="B4" s="1831"/>
      <c r="C4" s="1831"/>
      <c r="D4" s="1831"/>
      <c r="E4" s="1831"/>
      <c r="F4" s="1831"/>
      <c r="G4" s="1831"/>
      <c r="H4" s="1831"/>
      <c r="I4" s="1831"/>
      <c r="J4" s="1831"/>
    </row>
    <row r="5" spans="1:11" s="333" customFormat="1" ht="30" customHeight="1">
      <c r="A5" s="1837" t="e">
        <f>#REF!</f>
        <v>#REF!</v>
      </c>
      <c r="B5" s="1837"/>
      <c r="C5" s="1837"/>
      <c r="D5" s="1837"/>
      <c r="E5" s="1837"/>
      <c r="F5" s="1837"/>
      <c r="G5" s="1837"/>
      <c r="H5" s="1837"/>
      <c r="I5" s="1837"/>
      <c r="J5" s="1837"/>
    </row>
    <row r="6" spans="1:11" ht="27.75" customHeight="1">
      <c r="A6" s="1835" t="s">
        <v>3</v>
      </c>
      <c r="B6" s="1835"/>
      <c r="C6" s="1835"/>
      <c r="D6" s="1835"/>
      <c r="E6" s="1835"/>
      <c r="F6" s="1835"/>
      <c r="G6" s="1835"/>
      <c r="H6" s="1835"/>
      <c r="I6" s="1835"/>
      <c r="J6" s="1835"/>
    </row>
    <row r="7" spans="1:11" ht="18" customHeight="1">
      <c r="A7" s="1825" t="s">
        <v>4</v>
      </c>
      <c r="B7" s="1825" t="s">
        <v>5</v>
      </c>
      <c r="C7" s="1833" t="s">
        <v>2537</v>
      </c>
      <c r="D7" s="1049"/>
      <c r="E7" s="1050"/>
      <c r="F7" s="1832" t="s">
        <v>724</v>
      </c>
      <c r="G7" s="1832"/>
      <c r="H7" s="1832"/>
      <c r="I7" s="1832" t="s">
        <v>727</v>
      </c>
      <c r="J7" s="1825" t="s">
        <v>33</v>
      </c>
    </row>
    <row r="8" spans="1:11" ht="22.5" customHeight="1">
      <c r="A8" s="1826"/>
      <c r="B8" s="1826"/>
      <c r="C8" s="1836"/>
      <c r="D8" s="789" t="s">
        <v>720</v>
      </c>
      <c r="E8" s="789" t="s">
        <v>6</v>
      </c>
      <c r="F8" s="789" t="s">
        <v>880</v>
      </c>
      <c r="G8" s="789" t="s">
        <v>720</v>
      </c>
      <c r="H8" s="789" t="s">
        <v>6</v>
      </c>
      <c r="I8" s="1832"/>
      <c r="J8" s="1826"/>
    </row>
    <row r="9" spans="1:11" s="487" customFormat="1" ht="18" hidden="1" customHeight="1">
      <c r="A9" s="484">
        <v>1</v>
      </c>
      <c r="B9" s="484">
        <v>2</v>
      </c>
      <c r="C9" s="484" t="s">
        <v>16</v>
      </c>
      <c r="D9" s="484" t="s">
        <v>18</v>
      </c>
      <c r="E9" s="484" t="s">
        <v>881</v>
      </c>
      <c r="F9" s="484" t="s">
        <v>22</v>
      </c>
      <c r="G9" s="484" t="s">
        <v>24</v>
      </c>
      <c r="H9" s="484" t="s">
        <v>882</v>
      </c>
      <c r="I9" s="484">
        <v>12</v>
      </c>
      <c r="J9" s="484" t="s">
        <v>22</v>
      </c>
    </row>
    <row r="10" spans="1:11" ht="26.25" customHeight="1">
      <c r="A10" s="721"/>
      <c r="B10" s="721" t="s">
        <v>7</v>
      </c>
      <c r="C10" s="777">
        <f>+C11+C13</f>
        <v>54496</v>
      </c>
      <c r="D10" s="777">
        <f t="shared" ref="D10:E10" si="0">+D11+D13</f>
        <v>60154</v>
      </c>
      <c r="E10" s="777">
        <f t="shared" si="0"/>
        <v>114650</v>
      </c>
      <c r="F10" s="777" t="e">
        <f>+#REF!+#REF!+#REF!+#REF!</f>
        <v>#REF!</v>
      </c>
      <c r="G10" s="777" t="e">
        <f>+#REF!+#REF!+#REF!+#REF!</f>
        <v>#REF!</v>
      </c>
      <c r="H10" s="777" t="e">
        <f>+#REF!+#REF!+#REF!+#REF!</f>
        <v>#REF!</v>
      </c>
      <c r="I10" s="777" t="e">
        <f>+#REF!+#REF!+#REF!+#REF!</f>
        <v>#REF!</v>
      </c>
      <c r="J10" s="1046" t="s">
        <v>2094</v>
      </c>
    </row>
    <row r="11" spans="1:11" s="333" customFormat="1" ht="26.25" customHeight="1">
      <c r="A11" s="875" t="s">
        <v>8</v>
      </c>
      <c r="B11" s="711" t="s">
        <v>1395</v>
      </c>
      <c r="C11" s="876">
        <f>SUM(C12)</f>
        <v>0</v>
      </c>
      <c r="D11" s="876">
        <f t="shared" ref="D11:E11" si="1">SUM(D12)</f>
        <v>21113</v>
      </c>
      <c r="E11" s="876">
        <f t="shared" si="1"/>
        <v>21113</v>
      </c>
      <c r="F11" s="876"/>
      <c r="G11" s="876"/>
      <c r="H11" s="876"/>
      <c r="I11" s="876"/>
      <c r="J11" s="877"/>
    </row>
    <row r="12" spans="1:11" ht="26.25" customHeight="1">
      <c r="A12" s="18">
        <v>1</v>
      </c>
      <c r="B12" s="638" t="s">
        <v>1981</v>
      </c>
      <c r="C12" s="878"/>
      <c r="D12" s="878">
        <f>+'6 SN'!G9</f>
        <v>21113</v>
      </c>
      <c r="E12" s="878">
        <f>+D12+C12</f>
        <v>21113</v>
      </c>
      <c r="F12" s="878"/>
      <c r="G12" s="878"/>
      <c r="H12" s="878"/>
      <c r="I12" s="878"/>
      <c r="J12" s="722"/>
    </row>
    <row r="13" spans="1:11" ht="26.25" customHeight="1">
      <c r="A13" s="40" t="s">
        <v>26</v>
      </c>
      <c r="B13" s="711" t="s">
        <v>1396</v>
      </c>
      <c r="C13" s="777">
        <f>SUM(C14:C21)</f>
        <v>54496</v>
      </c>
      <c r="D13" s="777">
        <f t="shared" ref="D13:E13" si="2">SUM(D14:D21)</f>
        <v>39041</v>
      </c>
      <c r="E13" s="777">
        <f t="shared" si="2"/>
        <v>93537</v>
      </c>
      <c r="F13" s="777"/>
      <c r="G13" s="777"/>
      <c r="H13" s="777"/>
      <c r="I13" s="777"/>
      <c r="J13" s="721"/>
    </row>
    <row r="14" spans="1:11" s="334" customFormat="1" ht="26.25" customHeight="1">
      <c r="A14" s="13">
        <v>1</v>
      </c>
      <c r="B14" s="12" t="s">
        <v>25</v>
      </c>
      <c r="C14" s="779">
        <f>VLOOKUP(B14,'6 ĐT'!$B$9:$G$125,6,0)</f>
        <v>9330</v>
      </c>
      <c r="D14" s="779">
        <f>VLOOKUP(B14,'6 SN'!$B$49:$G$326,6,0)</f>
        <v>3902</v>
      </c>
      <c r="E14" s="779">
        <f>+D14+C14</f>
        <v>13232</v>
      </c>
      <c r="F14" s="779"/>
      <c r="G14" s="779">
        <f>+'[2]5-1'!H35</f>
        <v>220</v>
      </c>
      <c r="H14" s="779">
        <f>+G14+F14</f>
        <v>220</v>
      </c>
      <c r="I14" s="779"/>
      <c r="J14" s="445"/>
    </row>
    <row r="15" spans="1:11" ht="26.25" customHeight="1">
      <c r="A15" s="13">
        <v>2</v>
      </c>
      <c r="B15" s="12" t="s">
        <v>23</v>
      </c>
      <c r="C15" s="779">
        <f>VLOOKUP(B15,'6 ĐT'!$B$9:$G$125,6,0)</f>
        <v>2850</v>
      </c>
      <c r="D15" s="779">
        <f>VLOOKUP(B15,'6 SN'!$B$49:$G$326,6,0)</f>
        <v>4625</v>
      </c>
      <c r="E15" s="779">
        <f t="shared" ref="E15:E21" si="3">+D15+C15</f>
        <v>7475</v>
      </c>
      <c r="F15" s="779"/>
      <c r="G15" s="779">
        <f>+'[2]5-1'!H41</f>
        <v>430.8</v>
      </c>
      <c r="H15" s="779">
        <f t="shared" ref="H15:H21" si="4">+G15+F15</f>
        <v>430.8</v>
      </c>
      <c r="I15" s="779"/>
      <c r="J15" s="714"/>
      <c r="K15" s="187"/>
    </row>
    <row r="16" spans="1:11" ht="26.25" customHeight="1">
      <c r="A16" s="13">
        <v>3</v>
      </c>
      <c r="B16" s="12" t="s">
        <v>21</v>
      </c>
      <c r="C16" s="779">
        <f>VLOOKUP(B16,'6 ĐT'!$B$9:$G$125,6,0)</f>
        <v>2280</v>
      </c>
      <c r="D16" s="779">
        <f>VLOOKUP(B16,'6 SN'!$B$49:$G$326,6,0)</f>
        <v>2389</v>
      </c>
      <c r="E16" s="779">
        <f t="shared" si="3"/>
        <v>4669</v>
      </c>
      <c r="F16" s="779"/>
      <c r="G16" s="779">
        <f>+'[2]5-1'!H47</f>
        <v>377</v>
      </c>
      <c r="H16" s="779">
        <f t="shared" si="4"/>
        <v>377</v>
      </c>
      <c r="I16" s="779"/>
      <c r="J16" s="714"/>
    </row>
    <row r="17" spans="1:13" ht="26.25" customHeight="1">
      <c r="A17" s="13">
        <v>4</v>
      </c>
      <c r="B17" s="12" t="s">
        <v>19</v>
      </c>
      <c r="C17" s="779">
        <f>VLOOKUP(B17,'6 ĐT'!$B$9:$G$125,6,0)</f>
        <v>15220</v>
      </c>
      <c r="D17" s="779">
        <f>VLOOKUP(B17,'6 SN'!$B$49:$G$326,6,0)</f>
        <v>5349</v>
      </c>
      <c r="E17" s="779">
        <f t="shared" si="3"/>
        <v>20569</v>
      </c>
      <c r="F17" s="779"/>
      <c r="G17" s="779">
        <f>+'[2]5-1'!H53</f>
        <v>222.4</v>
      </c>
      <c r="H17" s="779">
        <f t="shared" si="4"/>
        <v>222.4</v>
      </c>
      <c r="I17" s="779"/>
      <c r="J17" s="714"/>
    </row>
    <row r="18" spans="1:13" ht="26.25" customHeight="1">
      <c r="A18" s="13">
        <v>5</v>
      </c>
      <c r="B18" s="12" t="s">
        <v>17</v>
      </c>
      <c r="C18" s="779">
        <f>VLOOKUP(B18,'6 ĐT'!$B$9:$G$125,6,0)</f>
        <v>2945</v>
      </c>
      <c r="D18" s="779">
        <f>VLOOKUP(B18,'6 SN'!$B$49:$G$326,6,0)</f>
        <v>7760</v>
      </c>
      <c r="E18" s="779">
        <f>+D18+C18</f>
        <v>10705</v>
      </c>
      <c r="F18" s="779"/>
      <c r="G18" s="779">
        <f>+'[2]5-1'!H59</f>
        <v>370.5</v>
      </c>
      <c r="H18" s="779">
        <f t="shared" si="4"/>
        <v>370.5</v>
      </c>
      <c r="I18" s="779"/>
      <c r="J18" s="714"/>
    </row>
    <row r="19" spans="1:13" ht="26.25" customHeight="1">
      <c r="A19" s="13">
        <v>6</v>
      </c>
      <c r="B19" s="12" t="s">
        <v>15</v>
      </c>
      <c r="C19" s="779">
        <f>VLOOKUP(B19,'6 ĐT'!$B$9:$G$125,6,0)</f>
        <v>2565</v>
      </c>
      <c r="D19" s="779">
        <f>VLOOKUP(B19,'6 SN'!$B$49:$G$326,6,0)</f>
        <v>4494</v>
      </c>
      <c r="E19" s="779">
        <f t="shared" si="3"/>
        <v>7059</v>
      </c>
      <c r="F19" s="779"/>
      <c r="G19" s="779">
        <f>+'[2]5-1'!H65</f>
        <v>442</v>
      </c>
      <c r="H19" s="779">
        <f t="shared" si="4"/>
        <v>442</v>
      </c>
      <c r="I19" s="779"/>
      <c r="J19" s="714"/>
    </row>
    <row r="20" spans="1:13" ht="26.25" customHeight="1">
      <c r="A20" s="13">
        <v>7</v>
      </c>
      <c r="B20" s="12" t="s">
        <v>13</v>
      </c>
      <c r="C20" s="779">
        <f>VLOOKUP(B20,'6 ĐT'!$B$9:$G$125,6,0)</f>
        <v>3421</v>
      </c>
      <c r="D20" s="779">
        <f>VLOOKUP(B20,'6 SN'!$B$49:$G$326,6,0)</f>
        <v>4538</v>
      </c>
      <c r="E20" s="779">
        <f t="shared" si="3"/>
        <v>7959</v>
      </c>
      <c r="F20" s="779"/>
      <c r="G20" s="779">
        <f>+'[2]5-1'!H71</f>
        <v>464.8</v>
      </c>
      <c r="H20" s="779">
        <f t="shared" si="4"/>
        <v>464.8</v>
      </c>
      <c r="I20" s="779"/>
      <c r="J20" s="714"/>
    </row>
    <row r="21" spans="1:13" ht="26.25" customHeight="1">
      <c r="A21" s="41">
        <v>8</v>
      </c>
      <c r="B21" s="705" t="s">
        <v>11</v>
      </c>
      <c r="C21" s="788">
        <f>VLOOKUP(B21,'6 ĐT'!$B$9:$G$125,6,0)</f>
        <v>15885</v>
      </c>
      <c r="D21" s="788">
        <f>VLOOKUP(B21,'6 SN'!$B$49:$G$326,6,0)</f>
        <v>5984</v>
      </c>
      <c r="E21" s="788">
        <f t="shared" si="3"/>
        <v>21869</v>
      </c>
      <c r="F21" s="788"/>
      <c r="G21" s="788">
        <f>+'[2]5-1'!H77</f>
        <v>336.1</v>
      </c>
      <c r="H21" s="788">
        <f t="shared" si="4"/>
        <v>336.1</v>
      </c>
      <c r="I21" s="788"/>
      <c r="J21" s="786"/>
      <c r="M21" s="331" t="s">
        <v>750</v>
      </c>
    </row>
    <row r="22" spans="1:13" ht="18" customHeight="1">
      <c r="A22" s="105"/>
      <c r="B22" s="105"/>
      <c r="C22" s="105"/>
      <c r="D22" s="105"/>
      <c r="E22" s="105"/>
      <c r="F22" s="105"/>
      <c r="G22" s="105"/>
      <c r="H22" s="105"/>
      <c r="I22" s="105"/>
      <c r="J22" s="105"/>
    </row>
    <row r="23" spans="1:13" ht="18" customHeight="1">
      <c r="A23" s="1801" t="s">
        <v>2513</v>
      </c>
      <c r="B23" s="1801"/>
      <c r="C23" s="1801"/>
      <c r="D23" s="1801"/>
      <c r="E23" s="1801"/>
      <c r="F23" s="1801"/>
      <c r="G23" s="1801"/>
      <c r="H23" s="1801"/>
      <c r="I23" s="1801"/>
      <c r="J23" s="1801"/>
    </row>
    <row r="24" spans="1:13" ht="18" customHeight="1">
      <c r="B24" s="335"/>
    </row>
    <row r="25" spans="1:13" ht="18" customHeight="1"/>
    <row r="26" spans="1:13" ht="18" customHeight="1"/>
    <row r="27" spans="1:13" ht="18" customHeight="1"/>
    <row r="28" spans="1:13" ht="18" customHeight="1"/>
    <row r="29" spans="1:13" ht="18" customHeight="1"/>
    <row r="30" spans="1:13" ht="18" customHeight="1"/>
    <row r="31" spans="1:13" ht="18" customHeight="1"/>
    <row r="32" spans="1:13" ht="18" customHeight="1"/>
    <row r="33" ht="18" customHeight="1"/>
    <row r="34" ht="18"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sheetData>
  <autoFilter ref="A9:J21"/>
  <mergeCells count="14">
    <mergeCell ref="A1:J1"/>
    <mergeCell ref="A5:J5"/>
    <mergeCell ref="A23:J23"/>
    <mergeCell ref="J7:J8"/>
    <mergeCell ref="A2:B2"/>
    <mergeCell ref="H2:J2"/>
    <mergeCell ref="A3:J3"/>
    <mergeCell ref="A4:J4"/>
    <mergeCell ref="A6:J6"/>
    <mergeCell ref="A7:A8"/>
    <mergeCell ref="B7:B8"/>
    <mergeCell ref="F7:H7"/>
    <mergeCell ref="I7:I8"/>
    <mergeCell ref="C7:C8"/>
  </mergeCells>
  <pageMargins left="0.69" right="0.5" top="0.5" bottom="0.5" header="0.47" footer="0.3"/>
  <pageSetup paperSize="9" scale="90" orientation="portrait" r:id="rId1"/>
  <headerFooter>
    <oddFooter>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141"/>
  <sheetViews>
    <sheetView topLeftCell="A74" zoomScaleNormal="100" workbookViewId="0">
      <selection activeCell="F6" sqref="F6:F10"/>
    </sheetView>
  </sheetViews>
  <sheetFormatPr defaultColWidth="9.08203125" defaultRowHeight="13"/>
  <cols>
    <col min="1" max="1" width="4.9140625" style="8" customWidth="1"/>
    <col min="2" max="2" width="36.4140625" style="8" customWidth="1"/>
    <col min="3" max="3" width="14.4140625" style="8" customWidth="1"/>
    <col min="4" max="4" width="7.9140625" style="8" customWidth="1"/>
    <col min="5" max="5" width="10.33203125" style="8" customWidth="1"/>
    <col min="6" max="6" width="8.6640625" style="8" customWidth="1"/>
    <col min="7" max="7" width="11" style="8" customWidth="1"/>
    <col min="8" max="8" width="8" style="8" customWidth="1"/>
    <col min="9" max="16384" width="9.08203125" style="8"/>
  </cols>
  <sheetData>
    <row r="1" spans="1:9" ht="22.5" customHeight="1">
      <c r="A1" s="1714" t="s">
        <v>2791</v>
      </c>
      <c r="B1" s="1714"/>
      <c r="C1" s="1714"/>
      <c r="D1" s="1714"/>
      <c r="E1" s="1714"/>
      <c r="F1" s="1714"/>
      <c r="G1" s="1714"/>
      <c r="H1" s="1714"/>
    </row>
    <row r="2" spans="1:9" s="164" customFormat="1" ht="18" hidden="1" customHeight="1">
      <c r="A2" s="1772"/>
      <c r="B2" s="1772"/>
      <c r="C2" s="1088"/>
      <c r="D2" s="1088"/>
      <c r="E2" s="1088"/>
      <c r="F2" s="1088"/>
      <c r="G2" s="1088"/>
      <c r="H2" s="1100" t="s">
        <v>1397</v>
      </c>
    </row>
    <row r="3" spans="1:9" ht="18" customHeight="1">
      <c r="A3" s="1714" t="s">
        <v>2098</v>
      </c>
      <c r="B3" s="1714"/>
      <c r="C3" s="1714"/>
      <c r="D3" s="1714"/>
      <c r="E3" s="1714"/>
      <c r="F3" s="1714"/>
      <c r="G3" s="1714"/>
      <c r="H3" s="1714"/>
    </row>
    <row r="4" spans="1:9" s="35" customFormat="1" ht="18" customHeight="1">
      <c r="A4" s="1716" t="e">
        <f>#REF!</f>
        <v>#REF!</v>
      </c>
      <c r="B4" s="1716"/>
      <c r="C4" s="1716"/>
      <c r="D4" s="1716"/>
      <c r="E4" s="1716"/>
      <c r="F4" s="1716"/>
      <c r="G4" s="1716"/>
      <c r="H4" s="1716"/>
    </row>
    <row r="5" spans="1:9" ht="18" customHeight="1">
      <c r="A5" s="1798" t="s">
        <v>3</v>
      </c>
      <c r="B5" s="1798"/>
      <c r="C5" s="1798"/>
      <c r="D5" s="1798"/>
      <c r="E5" s="1798"/>
      <c r="F5" s="1798"/>
      <c r="G5" s="1798"/>
      <c r="H5" s="1798"/>
    </row>
    <row r="6" spans="1:9" ht="45" customHeight="1">
      <c r="A6" s="65" t="s">
        <v>4</v>
      </c>
      <c r="B6" s="65" t="s">
        <v>5</v>
      </c>
      <c r="C6" s="65" t="s">
        <v>34</v>
      </c>
      <c r="D6" s="65" t="s">
        <v>32</v>
      </c>
      <c r="E6" s="65" t="s">
        <v>35</v>
      </c>
      <c r="F6" s="65" t="s">
        <v>36</v>
      </c>
      <c r="G6" s="65" t="s">
        <v>2537</v>
      </c>
      <c r="H6" s="65" t="s">
        <v>33</v>
      </c>
    </row>
    <row r="7" spans="1:9" s="485" customFormat="1" ht="18" hidden="1" customHeight="1">
      <c r="A7" s="484" t="s">
        <v>10</v>
      </c>
      <c r="B7" s="484" t="s">
        <v>12</v>
      </c>
      <c r="C7" s="484" t="s">
        <v>14</v>
      </c>
      <c r="D7" s="484" t="s">
        <v>16</v>
      </c>
      <c r="E7" s="484" t="s">
        <v>77</v>
      </c>
      <c r="F7" s="484" t="s">
        <v>20</v>
      </c>
      <c r="G7" s="484" t="s">
        <v>22</v>
      </c>
      <c r="H7" s="484" t="s">
        <v>24</v>
      </c>
    </row>
    <row r="8" spans="1:9" ht="21" customHeight="1">
      <c r="A8" s="40"/>
      <c r="B8" s="40" t="s">
        <v>6</v>
      </c>
      <c r="C8" s="40"/>
      <c r="D8" s="40"/>
      <c r="E8" s="40"/>
      <c r="F8" s="23">
        <f>F9+F17+F29+F39+F64+F75+F86+F100</f>
        <v>56799</v>
      </c>
      <c r="G8" s="23">
        <f>G9+G17+G29+G39+G64+G75+G86+G100</f>
        <v>54496</v>
      </c>
      <c r="H8" s="23"/>
    </row>
    <row r="9" spans="1:9" ht="18" customHeight="1">
      <c r="A9" s="14" t="s">
        <v>8</v>
      </c>
      <c r="B9" s="55" t="s">
        <v>25</v>
      </c>
      <c r="C9" s="40"/>
      <c r="D9" s="36"/>
      <c r="E9" s="23"/>
      <c r="F9" s="23">
        <f>SUM(F10:F16)</f>
        <v>9633</v>
      </c>
      <c r="G9" s="23">
        <f>SUM(G10:G16)</f>
        <v>9330</v>
      </c>
      <c r="H9" s="11"/>
      <c r="I9" s="75"/>
    </row>
    <row r="10" spans="1:9" ht="26">
      <c r="A10" s="32">
        <v>1</v>
      </c>
      <c r="B10" s="12" t="s">
        <v>1809</v>
      </c>
      <c r="C10" s="702"/>
      <c r="D10" s="17"/>
      <c r="E10" s="16"/>
      <c r="F10" s="20"/>
      <c r="G10" s="20"/>
      <c r="H10" s="174"/>
    </row>
    <row r="11" spans="1:9">
      <c r="A11" s="32"/>
      <c r="B11" s="12" t="s">
        <v>1811</v>
      </c>
      <c r="C11" s="702" t="s">
        <v>603</v>
      </c>
      <c r="D11" s="17">
        <v>1</v>
      </c>
      <c r="E11" s="17" t="s">
        <v>118</v>
      </c>
      <c r="F11" s="20">
        <v>8433</v>
      </c>
      <c r="G11" s="44">
        <v>8190</v>
      </c>
      <c r="H11" s="24"/>
    </row>
    <row r="12" spans="1:9" ht="26">
      <c r="A12" s="32">
        <v>2</v>
      </c>
      <c r="B12" s="12" t="s">
        <v>604</v>
      </c>
      <c r="C12" s="702"/>
      <c r="D12" s="17"/>
      <c r="E12" s="16"/>
      <c r="F12" s="20"/>
      <c r="G12" s="20"/>
      <c r="H12" s="24"/>
    </row>
    <row r="13" spans="1:9" ht="18" customHeight="1">
      <c r="A13" s="32"/>
      <c r="B13" s="12" t="s">
        <v>2939</v>
      </c>
      <c r="C13" s="702" t="s">
        <v>601</v>
      </c>
      <c r="D13" s="17" t="s">
        <v>2350</v>
      </c>
      <c r="E13" s="17" t="s">
        <v>118</v>
      </c>
      <c r="F13" s="20">
        <v>300</v>
      </c>
      <c r="G13" s="20">
        <v>285</v>
      </c>
      <c r="H13" s="24"/>
    </row>
    <row r="14" spans="1:9" ht="18" customHeight="1">
      <c r="A14" s="32"/>
      <c r="B14" s="12" t="s">
        <v>2940</v>
      </c>
      <c r="C14" s="702" t="s">
        <v>601</v>
      </c>
      <c r="D14" s="17" t="s">
        <v>2350</v>
      </c>
      <c r="E14" s="17" t="s">
        <v>118</v>
      </c>
      <c r="F14" s="20">
        <v>300</v>
      </c>
      <c r="G14" s="20">
        <v>285</v>
      </c>
      <c r="H14" s="24"/>
    </row>
    <row r="15" spans="1:9" ht="18" customHeight="1">
      <c r="A15" s="32"/>
      <c r="B15" s="12" t="s">
        <v>2941</v>
      </c>
      <c r="C15" s="702" t="s">
        <v>601</v>
      </c>
      <c r="D15" s="17" t="s">
        <v>2350</v>
      </c>
      <c r="E15" s="17" t="s">
        <v>118</v>
      </c>
      <c r="F15" s="20">
        <v>300</v>
      </c>
      <c r="G15" s="20">
        <v>285</v>
      </c>
      <c r="H15" s="24"/>
    </row>
    <row r="16" spans="1:9" ht="18" customHeight="1">
      <c r="A16" s="32"/>
      <c r="B16" s="12" t="s">
        <v>1813</v>
      </c>
      <c r="C16" s="702" t="s">
        <v>601</v>
      </c>
      <c r="D16" s="17" t="s">
        <v>2350</v>
      </c>
      <c r="E16" s="17" t="s">
        <v>118</v>
      </c>
      <c r="F16" s="20">
        <v>300</v>
      </c>
      <c r="G16" s="20">
        <v>285</v>
      </c>
      <c r="H16" s="24"/>
    </row>
    <row r="17" spans="1:9" ht="18" customHeight="1">
      <c r="A17" s="14" t="s">
        <v>26</v>
      </c>
      <c r="B17" s="55" t="s">
        <v>23</v>
      </c>
      <c r="C17" s="40"/>
      <c r="D17" s="36"/>
      <c r="E17" s="23"/>
      <c r="F17" s="23">
        <f>SUM(F18:F28)</f>
        <v>3000</v>
      </c>
      <c r="G17" s="23">
        <f>SUM(G18:G28)</f>
        <v>2850</v>
      </c>
      <c r="H17" s="25"/>
      <c r="I17" s="75"/>
    </row>
    <row r="18" spans="1:9" ht="26">
      <c r="A18" s="32">
        <v>1</v>
      </c>
      <c r="B18" s="12" t="s">
        <v>639</v>
      </c>
      <c r="C18" s="18"/>
      <c r="D18" s="56"/>
      <c r="E18" s="44"/>
      <c r="F18" s="44"/>
      <c r="G18" s="44"/>
      <c r="H18" s="174"/>
    </row>
    <row r="19" spans="1:9" ht="18" customHeight="1">
      <c r="A19" s="32"/>
      <c r="B19" s="12" t="s">
        <v>2352</v>
      </c>
      <c r="C19" s="18" t="s">
        <v>345</v>
      </c>
      <c r="D19" s="17" t="s">
        <v>2350</v>
      </c>
      <c r="E19" s="17" t="s">
        <v>118</v>
      </c>
      <c r="F19" s="44">
        <v>300</v>
      </c>
      <c r="G19" s="44">
        <v>285</v>
      </c>
      <c r="H19" s="174"/>
    </row>
    <row r="20" spans="1:9" ht="18" customHeight="1">
      <c r="A20" s="32"/>
      <c r="B20" s="12" t="s">
        <v>2353</v>
      </c>
      <c r="C20" s="18" t="s">
        <v>345</v>
      </c>
      <c r="D20" s="17" t="s">
        <v>2350</v>
      </c>
      <c r="E20" s="17" t="s">
        <v>118</v>
      </c>
      <c r="F20" s="44">
        <v>300</v>
      </c>
      <c r="G20" s="44">
        <v>285</v>
      </c>
      <c r="H20" s="174"/>
    </row>
    <row r="21" spans="1:9" ht="18" customHeight="1">
      <c r="A21" s="32"/>
      <c r="B21" s="12" t="s">
        <v>2354</v>
      </c>
      <c r="C21" s="18" t="s">
        <v>345</v>
      </c>
      <c r="D21" s="17" t="s">
        <v>2350</v>
      </c>
      <c r="E21" s="17" t="s">
        <v>118</v>
      </c>
      <c r="F21" s="44">
        <v>300</v>
      </c>
      <c r="G21" s="44">
        <v>285</v>
      </c>
      <c r="H21" s="174"/>
    </row>
    <row r="22" spans="1:9">
      <c r="A22" s="32"/>
      <c r="B22" s="12" t="s">
        <v>2355</v>
      </c>
      <c r="C22" s="18" t="s">
        <v>329</v>
      </c>
      <c r="D22" s="17" t="s">
        <v>2350</v>
      </c>
      <c r="E22" s="17" t="s">
        <v>118</v>
      </c>
      <c r="F22" s="44">
        <v>300</v>
      </c>
      <c r="G22" s="44">
        <v>285</v>
      </c>
      <c r="H22" s="174"/>
    </row>
    <row r="23" spans="1:9" ht="18" customHeight="1">
      <c r="A23" s="32"/>
      <c r="B23" s="12" t="s">
        <v>2356</v>
      </c>
      <c r="C23" s="18" t="s">
        <v>329</v>
      </c>
      <c r="D23" s="17" t="s">
        <v>2350</v>
      </c>
      <c r="E23" s="17" t="s">
        <v>118</v>
      </c>
      <c r="F23" s="44">
        <v>300</v>
      </c>
      <c r="G23" s="44">
        <v>285</v>
      </c>
      <c r="H23" s="174"/>
    </row>
    <row r="24" spans="1:9" ht="18" customHeight="1">
      <c r="A24" s="32"/>
      <c r="B24" s="12" t="s">
        <v>2357</v>
      </c>
      <c r="C24" s="18" t="s">
        <v>329</v>
      </c>
      <c r="D24" s="17" t="s">
        <v>2350</v>
      </c>
      <c r="E24" s="17" t="s">
        <v>118</v>
      </c>
      <c r="F24" s="44">
        <v>300</v>
      </c>
      <c r="G24" s="44">
        <v>285</v>
      </c>
      <c r="H24" s="174"/>
    </row>
    <row r="25" spans="1:9" ht="18" customHeight="1">
      <c r="A25" s="32"/>
      <c r="B25" s="12" t="s">
        <v>2358</v>
      </c>
      <c r="C25" s="18" t="s">
        <v>368</v>
      </c>
      <c r="D25" s="17" t="s">
        <v>2350</v>
      </c>
      <c r="E25" s="17" t="s">
        <v>118</v>
      </c>
      <c r="F25" s="44">
        <v>300</v>
      </c>
      <c r="G25" s="44">
        <v>285</v>
      </c>
      <c r="H25" s="174"/>
    </row>
    <row r="26" spans="1:9" ht="18" customHeight="1">
      <c r="A26" s="32"/>
      <c r="B26" s="12" t="s">
        <v>2359</v>
      </c>
      <c r="C26" s="18" t="s">
        <v>340</v>
      </c>
      <c r="D26" s="17" t="s">
        <v>2350</v>
      </c>
      <c r="E26" s="17" t="s">
        <v>118</v>
      </c>
      <c r="F26" s="44">
        <v>300</v>
      </c>
      <c r="G26" s="44">
        <v>285</v>
      </c>
      <c r="H26" s="174"/>
    </row>
    <row r="27" spans="1:9" ht="18" customHeight="1">
      <c r="A27" s="32"/>
      <c r="B27" s="12" t="s">
        <v>2360</v>
      </c>
      <c r="C27" s="18" t="s">
        <v>334</v>
      </c>
      <c r="D27" s="17" t="s">
        <v>2350</v>
      </c>
      <c r="E27" s="17" t="s">
        <v>118</v>
      </c>
      <c r="F27" s="44">
        <v>300</v>
      </c>
      <c r="G27" s="44">
        <v>285</v>
      </c>
      <c r="H27" s="174"/>
    </row>
    <row r="28" spans="1:9" ht="18" customHeight="1">
      <c r="A28" s="32"/>
      <c r="B28" s="12" t="s">
        <v>2361</v>
      </c>
      <c r="C28" s="18" t="s">
        <v>334</v>
      </c>
      <c r="D28" s="17" t="s">
        <v>2350</v>
      </c>
      <c r="E28" s="17" t="s">
        <v>118</v>
      </c>
      <c r="F28" s="44">
        <v>300</v>
      </c>
      <c r="G28" s="44">
        <v>285</v>
      </c>
      <c r="H28" s="174"/>
    </row>
    <row r="29" spans="1:9" ht="18" customHeight="1">
      <c r="A29" s="14" t="s">
        <v>28</v>
      </c>
      <c r="B29" s="55" t="s">
        <v>21</v>
      </c>
      <c r="C29" s="40"/>
      <c r="D29" s="56"/>
      <c r="E29" s="23"/>
      <c r="F29" s="23">
        <f>SUM(F30:F38)</f>
        <v>2400</v>
      </c>
      <c r="G29" s="23">
        <f>SUM(G30:G38)</f>
        <v>2280</v>
      </c>
      <c r="H29" s="25"/>
      <c r="I29" s="75"/>
    </row>
    <row r="30" spans="1:9" ht="26">
      <c r="A30" s="32">
        <v>1</v>
      </c>
      <c r="B30" s="12" t="s">
        <v>639</v>
      </c>
      <c r="C30" s="18"/>
      <c r="D30" s="56"/>
      <c r="E30" s="44"/>
      <c r="F30" s="44"/>
      <c r="G30" s="44"/>
      <c r="H30" s="25"/>
    </row>
    <row r="31" spans="1:9">
      <c r="A31" s="32"/>
      <c r="B31" s="12" t="s">
        <v>1814</v>
      </c>
      <c r="C31" s="18" t="s">
        <v>207</v>
      </c>
      <c r="D31" s="17" t="s">
        <v>2350</v>
      </c>
      <c r="E31" s="17" t="s">
        <v>118</v>
      </c>
      <c r="F31" s="44">
        <v>300</v>
      </c>
      <c r="G31" s="44">
        <v>285</v>
      </c>
      <c r="H31" s="25"/>
    </row>
    <row r="32" spans="1:9" ht="18" customHeight="1">
      <c r="A32" s="32"/>
      <c r="B32" s="12" t="s">
        <v>1815</v>
      </c>
      <c r="C32" s="18" t="s">
        <v>177</v>
      </c>
      <c r="D32" s="17" t="s">
        <v>2350</v>
      </c>
      <c r="E32" s="17" t="s">
        <v>118</v>
      </c>
      <c r="F32" s="44">
        <v>300</v>
      </c>
      <c r="G32" s="44">
        <v>285</v>
      </c>
      <c r="H32" s="25"/>
    </row>
    <row r="33" spans="1:9" ht="18" customHeight="1">
      <c r="A33" s="32"/>
      <c r="B33" s="12" t="s">
        <v>1816</v>
      </c>
      <c r="C33" s="18" t="s">
        <v>176</v>
      </c>
      <c r="D33" s="17" t="s">
        <v>2350</v>
      </c>
      <c r="E33" s="17" t="s">
        <v>118</v>
      </c>
      <c r="F33" s="44">
        <v>300</v>
      </c>
      <c r="G33" s="44">
        <v>285</v>
      </c>
      <c r="H33" s="25"/>
    </row>
    <row r="34" spans="1:9" ht="18" customHeight="1">
      <c r="A34" s="32"/>
      <c r="B34" s="12" t="s">
        <v>2128</v>
      </c>
      <c r="C34" s="18" t="s">
        <v>176</v>
      </c>
      <c r="D34" s="17" t="s">
        <v>2350</v>
      </c>
      <c r="E34" s="17" t="s">
        <v>118</v>
      </c>
      <c r="F34" s="44">
        <v>300</v>
      </c>
      <c r="G34" s="44">
        <v>285</v>
      </c>
      <c r="H34" s="25"/>
    </row>
    <row r="35" spans="1:9" ht="18" customHeight="1">
      <c r="A35" s="32"/>
      <c r="B35" s="12" t="s">
        <v>2129</v>
      </c>
      <c r="C35" s="18" t="s">
        <v>176</v>
      </c>
      <c r="D35" s="17" t="s">
        <v>2350</v>
      </c>
      <c r="E35" s="17" t="s">
        <v>118</v>
      </c>
      <c r="F35" s="44">
        <v>300</v>
      </c>
      <c r="G35" s="44">
        <v>285</v>
      </c>
      <c r="H35" s="25"/>
    </row>
    <row r="36" spans="1:9" ht="18" customHeight="1">
      <c r="A36" s="32"/>
      <c r="B36" s="12" t="s">
        <v>1817</v>
      </c>
      <c r="C36" s="18" t="s">
        <v>183</v>
      </c>
      <c r="D36" s="17" t="s">
        <v>2350</v>
      </c>
      <c r="E36" s="17" t="s">
        <v>118</v>
      </c>
      <c r="F36" s="44">
        <v>300</v>
      </c>
      <c r="G36" s="44">
        <v>285</v>
      </c>
      <c r="H36" s="25"/>
    </row>
    <row r="37" spans="1:9">
      <c r="A37" s="32"/>
      <c r="B37" s="12" t="s">
        <v>2130</v>
      </c>
      <c r="C37" s="18" t="s">
        <v>192</v>
      </c>
      <c r="D37" s="17" t="s">
        <v>2350</v>
      </c>
      <c r="E37" s="17" t="s">
        <v>118</v>
      </c>
      <c r="F37" s="44">
        <v>300</v>
      </c>
      <c r="G37" s="44">
        <v>285</v>
      </c>
      <c r="H37" s="25"/>
    </row>
    <row r="38" spans="1:9">
      <c r="A38" s="32"/>
      <c r="B38" s="12" t="s">
        <v>2131</v>
      </c>
      <c r="C38" s="18" t="s">
        <v>192</v>
      </c>
      <c r="D38" s="17" t="s">
        <v>2350</v>
      </c>
      <c r="E38" s="17" t="s">
        <v>118</v>
      </c>
      <c r="F38" s="44">
        <v>300</v>
      </c>
      <c r="G38" s="44">
        <v>285</v>
      </c>
      <c r="H38" s="25"/>
    </row>
    <row r="39" spans="1:9" ht="18" customHeight="1">
      <c r="A39" s="14" t="s">
        <v>29</v>
      </c>
      <c r="B39" s="55" t="s">
        <v>19</v>
      </c>
      <c r="C39" s="40"/>
      <c r="D39" s="36"/>
      <c r="E39" s="23"/>
      <c r="F39" s="23">
        <f>SUM(F40:F63)</f>
        <v>15833</v>
      </c>
      <c r="G39" s="23">
        <f>SUM(G40:G63)</f>
        <v>15220</v>
      </c>
      <c r="H39" s="25"/>
      <c r="I39" s="75"/>
    </row>
    <row r="40" spans="1:9" ht="30" customHeight="1">
      <c r="A40" s="32">
        <v>1</v>
      </c>
      <c r="B40" s="12" t="s">
        <v>1860</v>
      </c>
      <c r="C40" s="18"/>
      <c r="D40" s="56"/>
      <c r="E40" s="44"/>
      <c r="F40" s="44"/>
      <c r="G40" s="44"/>
      <c r="H40" s="25"/>
    </row>
    <row r="41" spans="1:9" ht="18" customHeight="1">
      <c r="A41" s="32"/>
      <c r="B41" s="12" t="s">
        <v>1807</v>
      </c>
      <c r="C41" s="18" t="s">
        <v>599</v>
      </c>
      <c r="D41" s="56">
        <v>1</v>
      </c>
      <c r="E41" s="17" t="s">
        <v>118</v>
      </c>
      <c r="F41" s="44">
        <v>1000</v>
      </c>
      <c r="G41" s="44">
        <v>950</v>
      </c>
      <c r="H41" s="25"/>
    </row>
    <row r="42" spans="1:9" ht="18" customHeight="1">
      <c r="A42" s="32"/>
      <c r="B42" s="12" t="s">
        <v>1808</v>
      </c>
      <c r="C42" s="18" t="s">
        <v>597</v>
      </c>
      <c r="D42" s="56">
        <v>1</v>
      </c>
      <c r="E42" s="17" t="s">
        <v>118</v>
      </c>
      <c r="F42" s="44">
        <v>1000</v>
      </c>
      <c r="G42" s="44">
        <v>950</v>
      </c>
      <c r="H42" s="25"/>
    </row>
    <row r="43" spans="1:9" ht="30" customHeight="1">
      <c r="A43" s="32">
        <v>2</v>
      </c>
      <c r="B43" s="12" t="s">
        <v>1809</v>
      </c>
      <c r="C43" s="18"/>
      <c r="D43" s="56"/>
      <c r="E43" s="44"/>
      <c r="F43" s="44"/>
      <c r="G43" s="44"/>
      <c r="H43" s="25"/>
    </row>
    <row r="44" spans="1:9" ht="30" customHeight="1">
      <c r="A44" s="32"/>
      <c r="B44" s="12" t="s">
        <v>1812</v>
      </c>
      <c r="C44" s="18" t="s">
        <v>590</v>
      </c>
      <c r="D44" s="56">
        <v>1</v>
      </c>
      <c r="E44" s="17" t="s">
        <v>118</v>
      </c>
      <c r="F44" s="44">
        <v>8433</v>
      </c>
      <c r="G44" s="44">
        <v>8190</v>
      </c>
      <c r="H44" s="25"/>
    </row>
    <row r="45" spans="1:9" ht="26">
      <c r="A45" s="32">
        <v>3</v>
      </c>
      <c r="B45" s="12" t="s">
        <v>605</v>
      </c>
      <c r="C45" s="18"/>
      <c r="D45" s="56"/>
      <c r="E45" s="44"/>
      <c r="F45" s="44"/>
      <c r="G45" s="44"/>
      <c r="H45" s="25"/>
    </row>
    <row r="46" spans="1:9" ht="18" customHeight="1">
      <c r="A46" s="32"/>
      <c r="B46" s="12" t="s">
        <v>1818</v>
      </c>
      <c r="C46" s="18" t="s">
        <v>1830</v>
      </c>
      <c r="D46" s="17" t="s">
        <v>2350</v>
      </c>
      <c r="E46" s="17" t="s">
        <v>118</v>
      </c>
      <c r="F46" s="44">
        <v>300</v>
      </c>
      <c r="G46" s="44">
        <v>285</v>
      </c>
      <c r="H46" s="879"/>
    </row>
    <row r="47" spans="1:9" ht="18" customHeight="1">
      <c r="A47" s="32"/>
      <c r="B47" s="12" t="s">
        <v>1819</v>
      </c>
      <c r="C47" s="18" t="s">
        <v>600</v>
      </c>
      <c r="D47" s="17" t="s">
        <v>2350</v>
      </c>
      <c r="E47" s="17" t="s">
        <v>118</v>
      </c>
      <c r="F47" s="44">
        <v>300</v>
      </c>
      <c r="G47" s="44">
        <v>285</v>
      </c>
      <c r="H47" s="879"/>
    </row>
    <row r="48" spans="1:9" ht="18" customHeight="1">
      <c r="A48" s="32"/>
      <c r="B48" s="12" t="s">
        <v>2132</v>
      </c>
      <c r="C48" s="18" t="s">
        <v>598</v>
      </c>
      <c r="D48" s="17" t="s">
        <v>2350</v>
      </c>
      <c r="E48" s="17" t="s">
        <v>118</v>
      </c>
      <c r="F48" s="44">
        <v>300</v>
      </c>
      <c r="G48" s="44">
        <v>285</v>
      </c>
      <c r="H48" s="879"/>
    </row>
    <row r="49" spans="1:9" ht="18" customHeight="1">
      <c r="A49" s="32"/>
      <c r="B49" s="12" t="s">
        <v>1822</v>
      </c>
      <c r="C49" s="18" t="s">
        <v>596</v>
      </c>
      <c r="D49" s="17" t="s">
        <v>2350</v>
      </c>
      <c r="E49" s="17" t="s">
        <v>118</v>
      </c>
      <c r="F49" s="44">
        <v>300</v>
      </c>
      <c r="G49" s="44">
        <v>285</v>
      </c>
      <c r="H49" s="879"/>
    </row>
    <row r="50" spans="1:9" ht="18" customHeight="1">
      <c r="A50" s="32"/>
      <c r="B50" s="12" t="s">
        <v>1823</v>
      </c>
      <c r="C50" s="18" t="s">
        <v>589</v>
      </c>
      <c r="D50" s="17" t="s">
        <v>2350</v>
      </c>
      <c r="E50" s="17" t="s">
        <v>118</v>
      </c>
      <c r="F50" s="44">
        <v>300</v>
      </c>
      <c r="G50" s="44">
        <v>285</v>
      </c>
      <c r="H50" s="879"/>
    </row>
    <row r="51" spans="1:9" ht="18" customHeight="1">
      <c r="A51" s="32"/>
      <c r="B51" s="12" t="s">
        <v>2916</v>
      </c>
      <c r="C51" s="18" t="s">
        <v>589</v>
      </c>
      <c r="D51" s="17" t="s">
        <v>2350</v>
      </c>
      <c r="E51" s="17" t="s">
        <v>118</v>
      </c>
      <c r="F51" s="44">
        <v>300</v>
      </c>
      <c r="G51" s="44">
        <v>285</v>
      </c>
      <c r="H51" s="879"/>
    </row>
    <row r="52" spans="1:9" ht="18" customHeight="1">
      <c r="A52" s="32"/>
      <c r="B52" s="12" t="s">
        <v>1824</v>
      </c>
      <c r="C52" s="18" t="s">
        <v>589</v>
      </c>
      <c r="D52" s="17" t="s">
        <v>2350</v>
      </c>
      <c r="E52" s="17" t="s">
        <v>118</v>
      </c>
      <c r="F52" s="44">
        <v>300</v>
      </c>
      <c r="G52" s="44">
        <v>285</v>
      </c>
      <c r="H52" s="879"/>
    </row>
    <row r="53" spans="1:9" ht="18" customHeight="1">
      <c r="A53" s="32"/>
      <c r="B53" s="12" t="s">
        <v>1825</v>
      </c>
      <c r="C53" s="18" t="s">
        <v>589</v>
      </c>
      <c r="D53" s="17" t="s">
        <v>2350</v>
      </c>
      <c r="E53" s="17" t="s">
        <v>118</v>
      </c>
      <c r="F53" s="44">
        <v>300</v>
      </c>
      <c r="G53" s="44">
        <v>285</v>
      </c>
      <c r="H53" s="879"/>
    </row>
    <row r="54" spans="1:9" ht="18" customHeight="1">
      <c r="A54" s="32"/>
      <c r="B54" s="12" t="s">
        <v>2917</v>
      </c>
      <c r="C54" s="18" t="s">
        <v>1830</v>
      </c>
      <c r="D54" s="17" t="s">
        <v>2350</v>
      </c>
      <c r="E54" s="17" t="s">
        <v>118</v>
      </c>
      <c r="F54" s="44">
        <v>300</v>
      </c>
      <c r="G54" s="44">
        <v>285</v>
      </c>
      <c r="H54" s="879"/>
    </row>
    <row r="55" spans="1:9" ht="18" customHeight="1">
      <c r="A55" s="32"/>
      <c r="B55" s="12" t="s">
        <v>1826</v>
      </c>
      <c r="C55" s="18" t="s">
        <v>594</v>
      </c>
      <c r="D55" s="17" t="s">
        <v>2350</v>
      </c>
      <c r="E55" s="17" t="s">
        <v>118</v>
      </c>
      <c r="F55" s="44">
        <v>300</v>
      </c>
      <c r="G55" s="44">
        <v>285</v>
      </c>
      <c r="H55" s="879"/>
    </row>
    <row r="56" spans="1:9" ht="18" customHeight="1">
      <c r="A56" s="32"/>
      <c r="B56" s="12" t="s">
        <v>1821</v>
      </c>
      <c r="C56" s="18" t="s">
        <v>596</v>
      </c>
      <c r="D56" s="17" t="s">
        <v>2350</v>
      </c>
      <c r="E56" s="17" t="s">
        <v>118</v>
      </c>
      <c r="F56" s="44">
        <v>300</v>
      </c>
      <c r="G56" s="44">
        <v>285</v>
      </c>
      <c r="H56" s="879"/>
    </row>
    <row r="57" spans="1:9">
      <c r="A57" s="32"/>
      <c r="B57" s="12" t="s">
        <v>2918</v>
      </c>
      <c r="C57" s="18" t="s">
        <v>660</v>
      </c>
      <c r="D57" s="17" t="s">
        <v>2350</v>
      </c>
      <c r="E57" s="17" t="s">
        <v>118</v>
      </c>
      <c r="F57" s="44">
        <v>300</v>
      </c>
      <c r="G57" s="44">
        <v>285</v>
      </c>
      <c r="H57" s="879"/>
    </row>
    <row r="58" spans="1:9" ht="18" customHeight="1">
      <c r="A58" s="32"/>
      <c r="B58" s="12" t="s">
        <v>2919</v>
      </c>
      <c r="C58" s="18" t="s">
        <v>598</v>
      </c>
      <c r="D58" s="17" t="s">
        <v>2350</v>
      </c>
      <c r="E58" s="17" t="s">
        <v>118</v>
      </c>
      <c r="F58" s="44">
        <v>300</v>
      </c>
      <c r="G58" s="44">
        <v>285</v>
      </c>
      <c r="H58" s="879"/>
    </row>
    <row r="59" spans="1:9" ht="18" customHeight="1">
      <c r="A59" s="32"/>
      <c r="B59" s="12" t="s">
        <v>1820</v>
      </c>
      <c r="C59" s="18" t="s">
        <v>596</v>
      </c>
      <c r="D59" s="17" t="s">
        <v>2350</v>
      </c>
      <c r="E59" s="17" t="s">
        <v>118</v>
      </c>
      <c r="F59" s="44">
        <v>300</v>
      </c>
      <c r="G59" s="44">
        <v>285</v>
      </c>
      <c r="H59" s="879"/>
    </row>
    <row r="60" spans="1:9" ht="18" customHeight="1">
      <c r="A60" s="32"/>
      <c r="B60" s="12" t="s">
        <v>2920</v>
      </c>
      <c r="C60" s="18" t="s">
        <v>2833</v>
      </c>
      <c r="D60" s="17" t="s">
        <v>2350</v>
      </c>
      <c r="E60" s="17" t="s">
        <v>118</v>
      </c>
      <c r="F60" s="44">
        <v>300</v>
      </c>
      <c r="G60" s="44">
        <v>285</v>
      </c>
      <c r="H60" s="879"/>
    </row>
    <row r="61" spans="1:9">
      <c r="A61" s="32"/>
      <c r="B61" s="12" t="s">
        <v>1829</v>
      </c>
      <c r="C61" s="18" t="s">
        <v>597</v>
      </c>
      <c r="D61" s="17" t="s">
        <v>2350</v>
      </c>
      <c r="E61" s="17" t="s">
        <v>118</v>
      </c>
      <c r="F61" s="44">
        <v>300</v>
      </c>
      <c r="G61" s="44">
        <v>285</v>
      </c>
      <c r="H61" s="879"/>
    </row>
    <row r="62" spans="1:9" ht="18" customHeight="1">
      <c r="A62" s="32"/>
      <c r="B62" s="12" t="s">
        <v>1828</v>
      </c>
      <c r="C62" s="18" t="s">
        <v>597</v>
      </c>
      <c r="D62" s="17" t="s">
        <v>2350</v>
      </c>
      <c r="E62" s="17" t="s">
        <v>118</v>
      </c>
      <c r="F62" s="44">
        <v>300</v>
      </c>
      <c r="G62" s="44">
        <v>285</v>
      </c>
      <c r="H62" s="879"/>
    </row>
    <row r="63" spans="1:9" ht="18" customHeight="1">
      <c r="A63" s="32"/>
      <c r="B63" s="12" t="s">
        <v>1827</v>
      </c>
      <c r="C63" s="18" t="s">
        <v>597</v>
      </c>
      <c r="D63" s="17" t="s">
        <v>2350</v>
      </c>
      <c r="E63" s="17" t="s">
        <v>118</v>
      </c>
      <c r="F63" s="44">
        <v>300</v>
      </c>
      <c r="G63" s="44">
        <v>285</v>
      </c>
      <c r="H63" s="879"/>
    </row>
    <row r="64" spans="1:9" ht="18" customHeight="1">
      <c r="A64" s="14" t="s">
        <v>30</v>
      </c>
      <c r="B64" s="55" t="s">
        <v>17</v>
      </c>
      <c r="C64" s="40"/>
      <c r="D64" s="36"/>
      <c r="E64" s="23"/>
      <c r="F64" s="23">
        <f>SUM(F65:F74)</f>
        <v>3100</v>
      </c>
      <c r="G64" s="23">
        <f>SUM(G65:G74)</f>
        <v>2945</v>
      </c>
      <c r="H64" s="25"/>
      <c r="I64" s="75"/>
    </row>
    <row r="65" spans="1:8">
      <c r="A65" s="32">
        <v>1</v>
      </c>
      <c r="B65" s="12" t="s">
        <v>637</v>
      </c>
      <c r="C65" s="18"/>
      <c r="D65" s="56"/>
      <c r="E65" s="44"/>
      <c r="F65" s="44"/>
      <c r="G65" s="44"/>
      <c r="H65" s="174"/>
    </row>
    <row r="66" spans="1:8" ht="39">
      <c r="A66" s="32"/>
      <c r="B66" s="12" t="s">
        <v>638</v>
      </c>
      <c r="C66" s="18" t="s">
        <v>286</v>
      </c>
      <c r="D66" s="56">
        <v>1</v>
      </c>
      <c r="E66" s="17" t="s">
        <v>118</v>
      </c>
      <c r="F66" s="44">
        <v>1000</v>
      </c>
      <c r="G66" s="44">
        <v>950</v>
      </c>
      <c r="H66" s="25"/>
    </row>
    <row r="67" spans="1:8" ht="26">
      <c r="A67" s="32">
        <v>2</v>
      </c>
      <c r="B67" s="12" t="s">
        <v>639</v>
      </c>
      <c r="C67" s="18"/>
      <c r="D67" s="56"/>
      <c r="E67" s="44"/>
      <c r="F67" s="44"/>
      <c r="G67" s="44"/>
      <c r="H67" s="174"/>
    </row>
    <row r="68" spans="1:8" ht="18" customHeight="1">
      <c r="A68" s="32"/>
      <c r="B68" s="12" t="s">
        <v>1837</v>
      </c>
      <c r="C68" s="18" t="s">
        <v>282</v>
      </c>
      <c r="D68" s="17" t="s">
        <v>2350</v>
      </c>
      <c r="E68" s="17" t="s">
        <v>118</v>
      </c>
      <c r="F68" s="44">
        <v>300</v>
      </c>
      <c r="G68" s="44">
        <v>285</v>
      </c>
      <c r="H68" s="174"/>
    </row>
    <row r="69" spans="1:8">
      <c r="A69" s="32"/>
      <c r="B69" s="12" t="s">
        <v>1831</v>
      </c>
      <c r="C69" s="18" t="s">
        <v>290</v>
      </c>
      <c r="D69" s="17" t="s">
        <v>2350</v>
      </c>
      <c r="E69" s="17" t="s">
        <v>118</v>
      </c>
      <c r="F69" s="44">
        <v>300</v>
      </c>
      <c r="G69" s="44">
        <v>285</v>
      </c>
      <c r="H69" s="174"/>
    </row>
    <row r="70" spans="1:8" ht="18" customHeight="1">
      <c r="A70" s="32"/>
      <c r="B70" s="12" t="s">
        <v>1832</v>
      </c>
      <c r="C70" s="18" t="s">
        <v>285</v>
      </c>
      <c r="D70" s="17" t="s">
        <v>2350</v>
      </c>
      <c r="E70" s="17" t="s">
        <v>118</v>
      </c>
      <c r="F70" s="44">
        <v>300</v>
      </c>
      <c r="G70" s="44">
        <v>285</v>
      </c>
      <c r="H70" s="174"/>
    </row>
    <row r="71" spans="1:8">
      <c r="A71" s="32"/>
      <c r="B71" s="12" t="s">
        <v>1833</v>
      </c>
      <c r="C71" s="18" t="s">
        <v>631</v>
      </c>
      <c r="D71" s="17" t="s">
        <v>2350</v>
      </c>
      <c r="E71" s="17" t="s">
        <v>118</v>
      </c>
      <c r="F71" s="44">
        <v>300</v>
      </c>
      <c r="G71" s="44">
        <v>285</v>
      </c>
      <c r="H71" s="174"/>
    </row>
    <row r="72" spans="1:8" ht="18" customHeight="1">
      <c r="A72" s="32"/>
      <c r="B72" s="12" t="s">
        <v>1834</v>
      </c>
      <c r="C72" s="18" t="s">
        <v>293</v>
      </c>
      <c r="D72" s="17" t="s">
        <v>2350</v>
      </c>
      <c r="E72" s="17" t="s">
        <v>118</v>
      </c>
      <c r="F72" s="44">
        <v>300</v>
      </c>
      <c r="G72" s="44">
        <v>285</v>
      </c>
      <c r="H72" s="174"/>
    </row>
    <row r="73" spans="1:8" ht="18" customHeight="1">
      <c r="A73" s="32"/>
      <c r="B73" s="12" t="s">
        <v>1835</v>
      </c>
      <c r="C73" s="18" t="s">
        <v>293</v>
      </c>
      <c r="D73" s="17" t="s">
        <v>2350</v>
      </c>
      <c r="E73" s="17" t="s">
        <v>118</v>
      </c>
      <c r="F73" s="44">
        <v>300</v>
      </c>
      <c r="G73" s="44">
        <v>285</v>
      </c>
      <c r="H73" s="174"/>
    </row>
    <row r="74" spans="1:8" ht="18" customHeight="1">
      <c r="A74" s="32"/>
      <c r="B74" s="12" t="s">
        <v>1836</v>
      </c>
      <c r="C74" s="18" t="s">
        <v>293</v>
      </c>
      <c r="D74" s="17" t="s">
        <v>2350</v>
      </c>
      <c r="E74" s="17" t="s">
        <v>118</v>
      </c>
      <c r="F74" s="44">
        <v>300</v>
      </c>
      <c r="G74" s="44">
        <v>285</v>
      </c>
      <c r="H74" s="174"/>
    </row>
    <row r="75" spans="1:8" ht="18" customHeight="1">
      <c r="A75" s="14" t="s">
        <v>31</v>
      </c>
      <c r="B75" s="55" t="s">
        <v>15</v>
      </c>
      <c r="C75" s="40"/>
      <c r="D75" s="36"/>
      <c r="E75" s="23"/>
      <c r="F75" s="23">
        <f>SUM(F76:F85)</f>
        <v>2700</v>
      </c>
      <c r="G75" s="23">
        <f>SUM(G76:G85)</f>
        <v>2565</v>
      </c>
      <c r="H75" s="25"/>
    </row>
    <row r="76" spans="1:8" ht="26">
      <c r="A76" s="32">
        <v>1</v>
      </c>
      <c r="B76" s="12" t="s">
        <v>1838</v>
      </c>
      <c r="C76" s="18"/>
      <c r="D76" s="56"/>
      <c r="E76" s="44"/>
      <c r="F76" s="44"/>
      <c r="G76" s="44"/>
      <c r="H76" s="25"/>
    </row>
    <row r="77" spans="1:8" ht="18" customHeight="1">
      <c r="A77" s="32"/>
      <c r="B77" s="12" t="s">
        <v>1839</v>
      </c>
      <c r="C77" s="18" t="s">
        <v>217</v>
      </c>
      <c r="D77" s="17" t="s">
        <v>2350</v>
      </c>
      <c r="E77" s="17" t="s">
        <v>118</v>
      </c>
      <c r="F77" s="44">
        <v>300</v>
      </c>
      <c r="G77" s="44">
        <v>285</v>
      </c>
      <c r="H77" s="25"/>
    </row>
    <row r="78" spans="1:8" ht="18" customHeight="1">
      <c r="A78" s="32"/>
      <c r="B78" s="12" t="s">
        <v>1840</v>
      </c>
      <c r="C78" s="18" t="s">
        <v>217</v>
      </c>
      <c r="D78" s="17" t="s">
        <v>2350</v>
      </c>
      <c r="E78" s="17" t="s">
        <v>118</v>
      </c>
      <c r="F78" s="44">
        <v>300</v>
      </c>
      <c r="G78" s="44">
        <v>285</v>
      </c>
      <c r="H78" s="25"/>
    </row>
    <row r="79" spans="1:8" ht="18" customHeight="1">
      <c r="A79" s="32"/>
      <c r="B79" s="12" t="s">
        <v>1841</v>
      </c>
      <c r="C79" s="18" t="s">
        <v>215</v>
      </c>
      <c r="D79" s="17" t="s">
        <v>2350</v>
      </c>
      <c r="E79" s="17" t="s">
        <v>118</v>
      </c>
      <c r="F79" s="44">
        <v>300</v>
      </c>
      <c r="G79" s="44">
        <v>285</v>
      </c>
      <c r="H79" s="25"/>
    </row>
    <row r="80" spans="1:8" ht="18" customHeight="1">
      <c r="A80" s="32"/>
      <c r="B80" s="12" t="s">
        <v>1842</v>
      </c>
      <c r="C80" s="18" t="s">
        <v>215</v>
      </c>
      <c r="D80" s="17" t="s">
        <v>2350</v>
      </c>
      <c r="E80" s="17" t="s">
        <v>118</v>
      </c>
      <c r="F80" s="44">
        <v>300</v>
      </c>
      <c r="G80" s="44">
        <v>285</v>
      </c>
      <c r="H80" s="25"/>
    </row>
    <row r="81" spans="1:9" ht="18" customHeight="1">
      <c r="A81" s="32"/>
      <c r="B81" s="12" t="s">
        <v>1843</v>
      </c>
      <c r="C81" s="18" t="s">
        <v>215</v>
      </c>
      <c r="D81" s="17" t="s">
        <v>2350</v>
      </c>
      <c r="E81" s="17" t="s">
        <v>118</v>
      </c>
      <c r="F81" s="44">
        <v>300</v>
      </c>
      <c r="G81" s="44">
        <v>285</v>
      </c>
      <c r="H81" s="25"/>
    </row>
    <row r="82" spans="1:9" ht="18" customHeight="1">
      <c r="A82" s="32"/>
      <c r="B82" s="12" t="s">
        <v>2459</v>
      </c>
      <c r="C82" s="18" t="s">
        <v>217</v>
      </c>
      <c r="D82" s="17" t="s">
        <v>2350</v>
      </c>
      <c r="E82" s="17" t="s">
        <v>118</v>
      </c>
      <c r="F82" s="44">
        <v>300</v>
      </c>
      <c r="G82" s="44">
        <v>285</v>
      </c>
      <c r="H82" s="25"/>
    </row>
    <row r="83" spans="1:9" ht="18" customHeight="1">
      <c r="A83" s="32"/>
      <c r="B83" s="12" t="s">
        <v>1844</v>
      </c>
      <c r="C83" s="18" t="s">
        <v>216</v>
      </c>
      <c r="D83" s="17" t="s">
        <v>2350</v>
      </c>
      <c r="E83" s="17" t="s">
        <v>118</v>
      </c>
      <c r="F83" s="44">
        <v>300</v>
      </c>
      <c r="G83" s="44">
        <v>285</v>
      </c>
      <c r="H83" s="25"/>
    </row>
    <row r="84" spans="1:9" ht="18" customHeight="1">
      <c r="A84" s="32"/>
      <c r="B84" s="12" t="s">
        <v>1845</v>
      </c>
      <c r="C84" s="18" t="s">
        <v>216</v>
      </c>
      <c r="D84" s="17" t="s">
        <v>2350</v>
      </c>
      <c r="E84" s="17" t="s">
        <v>118</v>
      </c>
      <c r="F84" s="44">
        <v>300</v>
      </c>
      <c r="G84" s="44">
        <v>285</v>
      </c>
      <c r="H84" s="25"/>
    </row>
    <row r="85" spans="1:9" ht="18" customHeight="1">
      <c r="A85" s="32"/>
      <c r="B85" s="12" t="s">
        <v>1846</v>
      </c>
      <c r="C85" s="18" t="s">
        <v>216</v>
      </c>
      <c r="D85" s="17" t="s">
        <v>2350</v>
      </c>
      <c r="E85" s="17" t="s">
        <v>118</v>
      </c>
      <c r="F85" s="44">
        <v>300</v>
      </c>
      <c r="G85" s="44">
        <v>285</v>
      </c>
      <c r="H85" s="25"/>
    </row>
    <row r="86" spans="1:9" ht="18" customHeight="1">
      <c r="A86" s="14" t="s">
        <v>80</v>
      </c>
      <c r="B86" s="55" t="s">
        <v>13</v>
      </c>
      <c r="C86" s="40"/>
      <c r="D86" s="36"/>
      <c r="E86" s="23"/>
      <c r="F86" s="23">
        <f>SUM(F87:F99)</f>
        <v>3600</v>
      </c>
      <c r="G86" s="23">
        <f>SUM(G87:G99)+1</f>
        <v>3421</v>
      </c>
      <c r="H86" s="25"/>
      <c r="I86" s="75"/>
    </row>
    <row r="87" spans="1:9" ht="26">
      <c r="A87" s="32">
        <v>1</v>
      </c>
      <c r="B87" s="12" t="s">
        <v>1838</v>
      </c>
      <c r="C87" s="18"/>
      <c r="D87" s="56"/>
      <c r="E87" s="44"/>
      <c r="F87" s="44"/>
      <c r="G87" s="44"/>
      <c r="H87" s="25"/>
    </row>
    <row r="88" spans="1:9" ht="18" customHeight="1">
      <c r="A88" s="32"/>
      <c r="B88" s="12" t="s">
        <v>1847</v>
      </c>
      <c r="C88" s="18" t="s">
        <v>107</v>
      </c>
      <c r="D88" s="17" t="s">
        <v>2350</v>
      </c>
      <c r="E88" s="17" t="s">
        <v>118</v>
      </c>
      <c r="F88" s="44">
        <v>300</v>
      </c>
      <c r="G88" s="44">
        <v>285</v>
      </c>
      <c r="H88" s="25"/>
    </row>
    <row r="89" spans="1:9" ht="18" customHeight="1">
      <c r="A89" s="32"/>
      <c r="B89" s="12" t="s">
        <v>1848</v>
      </c>
      <c r="C89" s="18" t="s">
        <v>107</v>
      </c>
      <c r="D89" s="17" t="s">
        <v>2350</v>
      </c>
      <c r="E89" s="17" t="s">
        <v>118</v>
      </c>
      <c r="F89" s="44">
        <v>300</v>
      </c>
      <c r="G89" s="44">
        <v>285</v>
      </c>
      <c r="H89" s="25"/>
    </row>
    <row r="90" spans="1:9" ht="18" customHeight="1">
      <c r="A90" s="32"/>
      <c r="B90" s="12" t="s">
        <v>1849</v>
      </c>
      <c r="C90" s="18" t="s">
        <v>123</v>
      </c>
      <c r="D90" s="17" t="s">
        <v>2350</v>
      </c>
      <c r="E90" s="17" t="s">
        <v>118</v>
      </c>
      <c r="F90" s="44">
        <v>300</v>
      </c>
      <c r="G90" s="44">
        <v>285</v>
      </c>
      <c r="H90" s="25"/>
    </row>
    <row r="91" spans="1:9" ht="18" customHeight="1">
      <c r="A91" s="32"/>
      <c r="B91" s="12" t="s">
        <v>1850</v>
      </c>
      <c r="C91" s="18" t="s">
        <v>122</v>
      </c>
      <c r="D91" s="17" t="s">
        <v>2350</v>
      </c>
      <c r="E91" s="17" t="s">
        <v>118</v>
      </c>
      <c r="F91" s="44">
        <v>300</v>
      </c>
      <c r="G91" s="44">
        <v>285</v>
      </c>
      <c r="H91" s="25"/>
    </row>
    <row r="92" spans="1:9" ht="18" customHeight="1">
      <c r="A92" s="32"/>
      <c r="B92" s="12" t="s">
        <v>1851</v>
      </c>
      <c r="C92" s="18" t="s">
        <v>122</v>
      </c>
      <c r="D92" s="17" t="s">
        <v>2350</v>
      </c>
      <c r="E92" s="17" t="s">
        <v>118</v>
      </c>
      <c r="F92" s="44">
        <v>300</v>
      </c>
      <c r="G92" s="44">
        <v>285</v>
      </c>
      <c r="H92" s="25"/>
    </row>
    <row r="93" spans="1:9" ht="18" customHeight="1">
      <c r="A93" s="32"/>
      <c r="B93" s="12" t="s">
        <v>1852</v>
      </c>
      <c r="C93" s="18" t="s">
        <v>113</v>
      </c>
      <c r="D93" s="17" t="s">
        <v>2350</v>
      </c>
      <c r="E93" s="17" t="s">
        <v>118</v>
      </c>
      <c r="F93" s="44">
        <v>300</v>
      </c>
      <c r="G93" s="44">
        <v>285</v>
      </c>
      <c r="H93" s="25"/>
    </row>
    <row r="94" spans="1:9" ht="18" customHeight="1">
      <c r="A94" s="32"/>
      <c r="B94" s="12" t="s">
        <v>1853</v>
      </c>
      <c r="C94" s="18" t="s">
        <v>1858</v>
      </c>
      <c r="D94" s="17" t="s">
        <v>2350</v>
      </c>
      <c r="E94" s="17" t="s">
        <v>118</v>
      </c>
      <c r="F94" s="44">
        <v>300</v>
      </c>
      <c r="G94" s="44">
        <v>285</v>
      </c>
      <c r="H94" s="25"/>
    </row>
    <row r="95" spans="1:9" ht="18" customHeight="1">
      <c r="A95" s="32"/>
      <c r="B95" s="12" t="s">
        <v>1854</v>
      </c>
      <c r="C95" s="18" t="s">
        <v>122</v>
      </c>
      <c r="D95" s="17" t="s">
        <v>2350</v>
      </c>
      <c r="E95" s="17" t="s">
        <v>118</v>
      </c>
      <c r="F95" s="44">
        <v>300</v>
      </c>
      <c r="G95" s="44">
        <v>285</v>
      </c>
      <c r="H95" s="25"/>
    </row>
    <row r="96" spans="1:9" ht="18" customHeight="1">
      <c r="A96" s="32"/>
      <c r="B96" s="12" t="s">
        <v>1855</v>
      </c>
      <c r="C96" s="18" t="s">
        <v>114</v>
      </c>
      <c r="D96" s="17" t="s">
        <v>2350</v>
      </c>
      <c r="E96" s="17" t="s">
        <v>118</v>
      </c>
      <c r="F96" s="44">
        <v>300</v>
      </c>
      <c r="G96" s="44">
        <v>285</v>
      </c>
      <c r="H96" s="25"/>
    </row>
    <row r="97" spans="1:9" ht="18" customHeight="1">
      <c r="A97" s="32"/>
      <c r="B97" s="12" t="s">
        <v>1856</v>
      </c>
      <c r="C97" s="18" t="s">
        <v>125</v>
      </c>
      <c r="D97" s="17" t="s">
        <v>2350</v>
      </c>
      <c r="E97" s="17" t="s">
        <v>118</v>
      </c>
      <c r="F97" s="44">
        <v>300</v>
      </c>
      <c r="G97" s="44">
        <v>285</v>
      </c>
      <c r="H97" s="25"/>
    </row>
    <row r="98" spans="1:9" ht="18" customHeight="1">
      <c r="A98" s="32"/>
      <c r="B98" s="12" t="s">
        <v>1857</v>
      </c>
      <c r="C98" s="18" t="s">
        <v>110</v>
      </c>
      <c r="D98" s="17" t="s">
        <v>2350</v>
      </c>
      <c r="E98" s="17" t="s">
        <v>118</v>
      </c>
      <c r="F98" s="44">
        <v>300</v>
      </c>
      <c r="G98" s="44">
        <v>285</v>
      </c>
      <c r="H98" s="25"/>
    </row>
    <row r="99" spans="1:9" ht="18" customHeight="1">
      <c r="A99" s="32"/>
      <c r="B99" s="12" t="s">
        <v>2133</v>
      </c>
      <c r="C99" s="18" t="s">
        <v>107</v>
      </c>
      <c r="D99" s="17" t="s">
        <v>2350</v>
      </c>
      <c r="E99" s="17" t="s">
        <v>118</v>
      </c>
      <c r="F99" s="44">
        <v>300</v>
      </c>
      <c r="G99" s="44">
        <v>285</v>
      </c>
      <c r="H99" s="25"/>
    </row>
    <row r="100" spans="1:9" ht="18" customHeight="1">
      <c r="A100" s="14" t="s">
        <v>81</v>
      </c>
      <c r="B100" s="55" t="s">
        <v>11</v>
      </c>
      <c r="C100" s="40"/>
      <c r="D100" s="36"/>
      <c r="E100" s="23"/>
      <c r="F100" s="23">
        <f>SUM(F101:F130)</f>
        <v>16533</v>
      </c>
      <c r="G100" s="23">
        <f>SUM(G101:G130)</f>
        <v>15885</v>
      </c>
      <c r="H100" s="25"/>
      <c r="I100" s="75"/>
    </row>
    <row r="101" spans="1:9" ht="26">
      <c r="A101" s="880">
        <v>1</v>
      </c>
      <c r="B101" s="881" t="s">
        <v>1809</v>
      </c>
      <c r="C101" s="882"/>
      <c r="D101" s="758"/>
      <c r="E101" s="764"/>
      <c r="F101" s="764"/>
      <c r="G101" s="764"/>
      <c r="H101" s="883"/>
    </row>
    <row r="102" spans="1:9" ht="26">
      <c r="A102" s="880"/>
      <c r="B102" s="881" t="s">
        <v>1810</v>
      </c>
      <c r="C102" s="882" t="s">
        <v>568</v>
      </c>
      <c r="D102" s="758">
        <v>1</v>
      </c>
      <c r="E102" s="17" t="s">
        <v>118</v>
      </c>
      <c r="F102" s="764">
        <v>8433</v>
      </c>
      <c r="G102" s="44">
        <v>8190</v>
      </c>
      <c r="H102" s="883"/>
    </row>
    <row r="103" spans="1:9" ht="26">
      <c r="A103" s="32">
        <v>2</v>
      </c>
      <c r="B103" s="12" t="s">
        <v>707</v>
      </c>
      <c r="C103" s="18" t="s">
        <v>1859</v>
      </c>
      <c r="D103" s="56"/>
      <c r="E103" s="44"/>
      <c r="F103" s="44"/>
      <c r="G103" s="44"/>
      <c r="H103" s="883"/>
    </row>
    <row r="104" spans="1:9" ht="18" customHeight="1">
      <c r="A104" s="880"/>
      <c r="B104" s="881" t="s">
        <v>1954</v>
      </c>
      <c r="C104" s="882" t="s">
        <v>691</v>
      </c>
      <c r="D104" s="17" t="s">
        <v>2350</v>
      </c>
      <c r="E104" s="17" t="s">
        <v>118</v>
      </c>
      <c r="F104" s="764">
        <v>300</v>
      </c>
      <c r="G104" s="764">
        <v>285</v>
      </c>
      <c r="H104" s="883"/>
    </row>
    <row r="105" spans="1:9" ht="18" customHeight="1">
      <c r="A105" s="880"/>
      <c r="B105" s="881" t="s">
        <v>1955</v>
      </c>
      <c r="C105" s="882" t="s">
        <v>691</v>
      </c>
      <c r="D105" s="17" t="s">
        <v>2350</v>
      </c>
      <c r="E105" s="17" t="s">
        <v>118</v>
      </c>
      <c r="F105" s="764">
        <v>300</v>
      </c>
      <c r="G105" s="764">
        <v>285</v>
      </c>
      <c r="H105" s="883"/>
    </row>
    <row r="106" spans="1:9" ht="18" customHeight="1">
      <c r="A106" s="880"/>
      <c r="B106" s="881" t="s">
        <v>1956</v>
      </c>
      <c r="C106" s="882" t="s">
        <v>691</v>
      </c>
      <c r="D106" s="17" t="s">
        <v>2350</v>
      </c>
      <c r="E106" s="17" t="s">
        <v>118</v>
      </c>
      <c r="F106" s="764">
        <v>300</v>
      </c>
      <c r="G106" s="764">
        <v>285</v>
      </c>
      <c r="H106" s="883"/>
    </row>
    <row r="107" spans="1:9" ht="18" customHeight="1">
      <c r="A107" s="880"/>
      <c r="B107" s="881" t="s">
        <v>1957</v>
      </c>
      <c r="C107" s="882" t="s">
        <v>615</v>
      </c>
      <c r="D107" s="17" t="s">
        <v>2350</v>
      </c>
      <c r="E107" s="17" t="s">
        <v>118</v>
      </c>
      <c r="F107" s="764">
        <v>300</v>
      </c>
      <c r="G107" s="764">
        <v>285</v>
      </c>
      <c r="H107" s="883"/>
    </row>
    <row r="108" spans="1:9" ht="18" customHeight="1">
      <c r="A108" s="880"/>
      <c r="B108" s="881" t="s">
        <v>1958</v>
      </c>
      <c r="C108" s="882" t="s">
        <v>615</v>
      </c>
      <c r="D108" s="17" t="s">
        <v>2350</v>
      </c>
      <c r="E108" s="17" t="s">
        <v>118</v>
      </c>
      <c r="F108" s="764">
        <v>300</v>
      </c>
      <c r="G108" s="764">
        <v>285</v>
      </c>
      <c r="H108" s="883"/>
    </row>
    <row r="109" spans="1:9" ht="18" customHeight="1">
      <c r="A109" s="880"/>
      <c r="B109" s="881" t="s">
        <v>1959</v>
      </c>
      <c r="C109" s="882" t="s">
        <v>615</v>
      </c>
      <c r="D109" s="17" t="s">
        <v>2350</v>
      </c>
      <c r="E109" s="17" t="s">
        <v>118</v>
      </c>
      <c r="F109" s="764">
        <v>300</v>
      </c>
      <c r="G109" s="764">
        <v>285</v>
      </c>
      <c r="H109" s="883"/>
    </row>
    <row r="110" spans="1:9" ht="18" customHeight="1">
      <c r="A110" s="880"/>
      <c r="B110" s="881" t="s">
        <v>1960</v>
      </c>
      <c r="C110" s="882" t="s">
        <v>615</v>
      </c>
      <c r="D110" s="17" t="s">
        <v>2350</v>
      </c>
      <c r="E110" s="17" t="s">
        <v>118</v>
      </c>
      <c r="F110" s="764">
        <v>300</v>
      </c>
      <c r="G110" s="764">
        <v>285</v>
      </c>
      <c r="H110" s="883"/>
    </row>
    <row r="111" spans="1:9" ht="18" customHeight="1">
      <c r="A111" s="880"/>
      <c r="B111" s="881" t="s">
        <v>1961</v>
      </c>
      <c r="C111" s="882" t="s">
        <v>615</v>
      </c>
      <c r="D111" s="17" t="s">
        <v>2350</v>
      </c>
      <c r="E111" s="17" t="s">
        <v>118</v>
      </c>
      <c r="F111" s="764">
        <v>300</v>
      </c>
      <c r="G111" s="764">
        <v>285</v>
      </c>
      <c r="H111" s="883"/>
    </row>
    <row r="112" spans="1:9" ht="18" customHeight="1">
      <c r="A112" s="880"/>
      <c r="B112" s="881" t="s">
        <v>1962</v>
      </c>
      <c r="C112" s="882" t="s">
        <v>615</v>
      </c>
      <c r="D112" s="17" t="s">
        <v>2350</v>
      </c>
      <c r="E112" s="17" t="s">
        <v>118</v>
      </c>
      <c r="F112" s="764">
        <v>300</v>
      </c>
      <c r="G112" s="764">
        <v>285</v>
      </c>
      <c r="H112" s="883"/>
    </row>
    <row r="113" spans="1:8" ht="18" customHeight="1">
      <c r="A113" s="880"/>
      <c r="B113" s="881" t="s">
        <v>1963</v>
      </c>
      <c r="C113" s="882" t="s">
        <v>615</v>
      </c>
      <c r="D113" s="17" t="s">
        <v>2350</v>
      </c>
      <c r="E113" s="17" t="s">
        <v>118</v>
      </c>
      <c r="F113" s="764">
        <v>300</v>
      </c>
      <c r="G113" s="764">
        <v>285</v>
      </c>
      <c r="H113" s="883"/>
    </row>
    <row r="114" spans="1:8" ht="18" customHeight="1">
      <c r="A114" s="880"/>
      <c r="B114" s="881" t="s">
        <v>1964</v>
      </c>
      <c r="C114" s="882" t="s">
        <v>1976</v>
      </c>
      <c r="D114" s="17" t="s">
        <v>2350</v>
      </c>
      <c r="E114" s="17" t="s">
        <v>118</v>
      </c>
      <c r="F114" s="764">
        <v>300</v>
      </c>
      <c r="G114" s="764">
        <v>285</v>
      </c>
      <c r="H114" s="883"/>
    </row>
    <row r="115" spans="1:8" ht="18" customHeight="1">
      <c r="A115" s="880"/>
      <c r="B115" s="881" t="s">
        <v>1965</v>
      </c>
      <c r="C115" s="882" t="s">
        <v>693</v>
      </c>
      <c r="D115" s="17" t="s">
        <v>2350</v>
      </c>
      <c r="E115" s="17" t="s">
        <v>118</v>
      </c>
      <c r="F115" s="764">
        <v>300</v>
      </c>
      <c r="G115" s="764">
        <v>285</v>
      </c>
      <c r="H115" s="883"/>
    </row>
    <row r="116" spans="1:8" ht="18" customHeight="1">
      <c r="A116" s="880"/>
      <c r="B116" s="881" t="s">
        <v>1966</v>
      </c>
      <c r="C116" s="882" t="s">
        <v>693</v>
      </c>
      <c r="D116" s="17" t="s">
        <v>2350</v>
      </c>
      <c r="E116" s="17" t="s">
        <v>118</v>
      </c>
      <c r="F116" s="764">
        <v>300</v>
      </c>
      <c r="G116" s="764">
        <v>285</v>
      </c>
      <c r="H116" s="883"/>
    </row>
    <row r="117" spans="1:8" ht="18" customHeight="1">
      <c r="A117" s="880"/>
      <c r="B117" s="881" t="s">
        <v>1967</v>
      </c>
      <c r="C117" s="882" t="s">
        <v>693</v>
      </c>
      <c r="D117" s="17" t="s">
        <v>2350</v>
      </c>
      <c r="E117" s="17" t="s">
        <v>118</v>
      </c>
      <c r="F117" s="764">
        <v>300</v>
      </c>
      <c r="G117" s="764">
        <v>285</v>
      </c>
      <c r="H117" s="883"/>
    </row>
    <row r="118" spans="1:8" ht="18" customHeight="1">
      <c r="A118" s="880"/>
      <c r="B118" s="881" t="s">
        <v>1968</v>
      </c>
      <c r="C118" s="882" t="s">
        <v>693</v>
      </c>
      <c r="D118" s="17" t="s">
        <v>2350</v>
      </c>
      <c r="E118" s="17" t="s">
        <v>118</v>
      </c>
      <c r="F118" s="764">
        <v>300</v>
      </c>
      <c r="G118" s="764">
        <v>285</v>
      </c>
      <c r="H118" s="883"/>
    </row>
    <row r="119" spans="1:8" ht="18" customHeight="1">
      <c r="A119" s="880"/>
      <c r="B119" s="881" t="s">
        <v>1969</v>
      </c>
      <c r="C119" s="882" t="s">
        <v>693</v>
      </c>
      <c r="D119" s="17" t="s">
        <v>2350</v>
      </c>
      <c r="E119" s="17" t="s">
        <v>118</v>
      </c>
      <c r="F119" s="764">
        <v>300</v>
      </c>
      <c r="G119" s="764">
        <v>285</v>
      </c>
      <c r="H119" s="883"/>
    </row>
    <row r="120" spans="1:8" ht="18" customHeight="1">
      <c r="A120" s="880"/>
      <c r="B120" s="881" t="s">
        <v>1970</v>
      </c>
      <c r="C120" s="882" t="s">
        <v>693</v>
      </c>
      <c r="D120" s="17" t="s">
        <v>2350</v>
      </c>
      <c r="E120" s="17" t="s">
        <v>118</v>
      </c>
      <c r="F120" s="764">
        <v>300</v>
      </c>
      <c r="G120" s="764">
        <v>285</v>
      </c>
      <c r="H120" s="883"/>
    </row>
    <row r="121" spans="1:8" ht="18" customHeight="1">
      <c r="A121" s="880"/>
      <c r="B121" s="881" t="s">
        <v>1971</v>
      </c>
      <c r="C121" s="882" t="s">
        <v>587</v>
      </c>
      <c r="D121" s="17" t="s">
        <v>2350</v>
      </c>
      <c r="E121" s="17" t="s">
        <v>118</v>
      </c>
      <c r="F121" s="764">
        <v>300</v>
      </c>
      <c r="G121" s="764">
        <v>285</v>
      </c>
      <c r="H121" s="883"/>
    </row>
    <row r="122" spans="1:8" ht="18" customHeight="1">
      <c r="A122" s="880"/>
      <c r="B122" s="881" t="s">
        <v>1972</v>
      </c>
      <c r="C122" s="882" t="s">
        <v>587</v>
      </c>
      <c r="D122" s="17" t="s">
        <v>2350</v>
      </c>
      <c r="E122" s="17" t="s">
        <v>118</v>
      </c>
      <c r="F122" s="764">
        <v>300</v>
      </c>
      <c r="G122" s="764">
        <v>285</v>
      </c>
      <c r="H122" s="883"/>
    </row>
    <row r="123" spans="1:8" ht="18" customHeight="1">
      <c r="A123" s="880"/>
      <c r="B123" s="881" t="s">
        <v>1973</v>
      </c>
      <c r="C123" s="882" t="s">
        <v>587</v>
      </c>
      <c r="D123" s="17" t="s">
        <v>2350</v>
      </c>
      <c r="E123" s="17" t="s">
        <v>118</v>
      </c>
      <c r="F123" s="764">
        <v>300</v>
      </c>
      <c r="G123" s="764">
        <v>285</v>
      </c>
      <c r="H123" s="883"/>
    </row>
    <row r="124" spans="1:8" ht="18" customHeight="1">
      <c r="A124" s="880"/>
      <c r="B124" s="881" t="s">
        <v>1974</v>
      </c>
      <c r="C124" s="882" t="s">
        <v>587</v>
      </c>
      <c r="D124" s="17" t="s">
        <v>2350</v>
      </c>
      <c r="E124" s="17" t="s">
        <v>118</v>
      </c>
      <c r="F124" s="764">
        <v>300</v>
      </c>
      <c r="G124" s="764">
        <v>285</v>
      </c>
      <c r="H124" s="883"/>
    </row>
    <row r="125" spans="1:8" ht="18" customHeight="1">
      <c r="A125" s="32"/>
      <c r="B125" s="12" t="s">
        <v>1975</v>
      </c>
      <c r="C125" s="18" t="s">
        <v>587</v>
      </c>
      <c r="D125" s="17" t="s">
        <v>2350</v>
      </c>
      <c r="E125" s="17" t="s">
        <v>118</v>
      </c>
      <c r="F125" s="44">
        <v>300</v>
      </c>
      <c r="G125" s="44">
        <v>285</v>
      </c>
      <c r="H125" s="25"/>
    </row>
    <row r="126" spans="1:8" ht="18" customHeight="1">
      <c r="A126" s="32"/>
      <c r="B126" s="12" t="s">
        <v>2134</v>
      </c>
      <c r="C126" s="18" t="s">
        <v>587</v>
      </c>
      <c r="D126" s="17" t="s">
        <v>2350</v>
      </c>
      <c r="E126" s="17" t="s">
        <v>118</v>
      </c>
      <c r="F126" s="44">
        <v>300</v>
      </c>
      <c r="G126" s="44">
        <v>285</v>
      </c>
      <c r="H126" s="25"/>
    </row>
    <row r="127" spans="1:8" ht="18" customHeight="1">
      <c r="A127" s="32"/>
      <c r="B127" s="12" t="s">
        <v>2135</v>
      </c>
      <c r="C127" s="18" t="s">
        <v>587</v>
      </c>
      <c r="D127" s="17" t="s">
        <v>2350</v>
      </c>
      <c r="E127" s="17" t="s">
        <v>118</v>
      </c>
      <c r="F127" s="44">
        <v>300</v>
      </c>
      <c r="G127" s="44">
        <v>285</v>
      </c>
      <c r="H127" s="25"/>
    </row>
    <row r="128" spans="1:8" ht="18" customHeight="1">
      <c r="A128" s="32"/>
      <c r="B128" s="12" t="s">
        <v>2136</v>
      </c>
      <c r="C128" s="18" t="s">
        <v>587</v>
      </c>
      <c r="D128" s="17" t="s">
        <v>2350</v>
      </c>
      <c r="E128" s="17" t="s">
        <v>118</v>
      </c>
      <c r="F128" s="44">
        <v>300</v>
      </c>
      <c r="G128" s="44">
        <v>285</v>
      </c>
      <c r="H128" s="25"/>
    </row>
    <row r="129" spans="1:8" ht="18" customHeight="1">
      <c r="A129" s="32"/>
      <c r="B129" s="12" t="s">
        <v>2137</v>
      </c>
      <c r="C129" s="18" t="s">
        <v>694</v>
      </c>
      <c r="D129" s="17" t="s">
        <v>2350</v>
      </c>
      <c r="E129" s="17" t="s">
        <v>118</v>
      </c>
      <c r="F129" s="44">
        <v>300</v>
      </c>
      <c r="G129" s="44">
        <v>285</v>
      </c>
      <c r="H129" s="25"/>
    </row>
    <row r="130" spans="1:8" ht="18" customHeight="1">
      <c r="A130" s="77"/>
      <c r="B130" s="705" t="s">
        <v>2138</v>
      </c>
      <c r="C130" s="704" t="s">
        <v>568</v>
      </c>
      <c r="D130" s="884" t="s">
        <v>2350</v>
      </c>
      <c r="E130" s="60" t="s">
        <v>118</v>
      </c>
      <c r="F130" s="45">
        <v>300</v>
      </c>
      <c r="G130" s="45">
        <v>285</v>
      </c>
      <c r="H130" s="47"/>
    </row>
    <row r="131" spans="1:8" ht="18" customHeight="1">
      <c r="A131" s="1819" t="s">
        <v>2514</v>
      </c>
      <c r="B131" s="1819"/>
      <c r="C131" s="1819"/>
      <c r="D131" s="1819"/>
      <c r="E131" s="1819"/>
      <c r="F131" s="1819"/>
      <c r="G131" s="1819"/>
      <c r="H131" s="1819"/>
    </row>
    <row r="132" spans="1:8" ht="18" customHeight="1">
      <c r="F132" s="75"/>
    </row>
    <row r="133" spans="1:8" ht="18" customHeight="1">
      <c r="F133" s="75"/>
    </row>
    <row r="134" spans="1:8" ht="18" customHeight="1">
      <c r="F134" s="75"/>
    </row>
    <row r="135" spans="1:8" ht="18" customHeight="1">
      <c r="F135" s="75"/>
    </row>
    <row r="136" spans="1:8" ht="18" customHeight="1">
      <c r="F136" s="75"/>
    </row>
    <row r="137" spans="1:8" ht="18" customHeight="1">
      <c r="F137" s="75"/>
    </row>
    <row r="138" spans="1:8" ht="18" customHeight="1">
      <c r="F138" s="75"/>
    </row>
    <row r="139" spans="1:8" ht="18" customHeight="1">
      <c r="F139" s="75"/>
    </row>
    <row r="140" spans="1:8">
      <c r="F140" s="75"/>
    </row>
    <row r="141" spans="1:8">
      <c r="F141" s="75"/>
    </row>
  </sheetData>
  <autoFilter ref="A7:H125"/>
  <mergeCells count="6">
    <mergeCell ref="A2:B2"/>
    <mergeCell ref="A3:H3"/>
    <mergeCell ref="A5:H5"/>
    <mergeCell ref="A131:H131"/>
    <mergeCell ref="A1:H1"/>
    <mergeCell ref="A4:H4"/>
  </mergeCells>
  <pageMargins left="0.5" right="0.5" top="0.5" bottom="0.5" header="0.47" footer="0.3"/>
  <pageSetup paperSize="9" scale="90" orientation="portrait" r:id="rId1"/>
  <headerFooter>
    <oddFooter>Page &amp;P</oddFooter>
  </headerFooter>
  <ignoredErrors>
    <ignoredError sqref="A7:G7"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0070C0"/>
  </sheetPr>
  <dimension ref="A1:U355"/>
  <sheetViews>
    <sheetView workbookViewId="0">
      <selection sqref="A1:I348"/>
    </sheetView>
  </sheetViews>
  <sheetFormatPr defaultColWidth="9.08203125" defaultRowHeight="13" outlineLevelRow="2"/>
  <cols>
    <col min="1" max="1" width="4.9140625" style="105" customWidth="1"/>
    <col min="2" max="2" width="68" style="105" customWidth="1"/>
    <col min="3" max="3" width="8.33203125" style="864" customWidth="1"/>
    <col min="4" max="4" width="6.33203125" style="105" customWidth="1"/>
    <col min="5" max="5" width="6.4140625" style="893" customWidth="1"/>
    <col min="6" max="6" width="8" style="893" customWidth="1"/>
    <col min="7" max="7" width="7.4140625" style="893" customWidth="1"/>
    <col min="8" max="8" width="6.4140625" style="314" hidden="1" customWidth="1"/>
    <col min="9" max="9" width="7.4140625" style="893" customWidth="1"/>
    <col min="10" max="16384" width="9.08203125" style="105"/>
  </cols>
  <sheetData>
    <row r="1" spans="1:9" ht="18" customHeight="1">
      <c r="A1" s="1830"/>
      <c r="B1" s="1830"/>
      <c r="C1" s="886"/>
      <c r="D1" s="887"/>
      <c r="E1" s="700"/>
      <c r="F1" s="888"/>
      <c r="G1" s="1823" t="s">
        <v>2095</v>
      </c>
      <c r="H1" s="1864"/>
      <c r="I1" s="1823"/>
    </row>
    <row r="2" spans="1:9" ht="18" customHeight="1">
      <c r="A2" s="1831" t="s">
        <v>2102</v>
      </c>
      <c r="B2" s="1831"/>
      <c r="C2" s="1831"/>
      <c r="D2" s="1831"/>
      <c r="E2" s="1831"/>
      <c r="F2" s="1831"/>
      <c r="G2" s="1831"/>
      <c r="H2" s="1876"/>
      <c r="I2" s="1831"/>
    </row>
    <row r="3" spans="1:9" ht="18" customHeight="1">
      <c r="A3" s="801"/>
      <c r="B3" s="801"/>
      <c r="C3" s="801"/>
      <c r="D3" s="801"/>
      <c r="E3" s="801"/>
      <c r="F3" s="1837" t="s">
        <v>3</v>
      </c>
      <c r="G3" s="1837"/>
      <c r="H3" s="1881"/>
      <c r="I3" s="1837"/>
    </row>
    <row r="4" spans="1:9" ht="21" customHeight="1">
      <c r="A4" s="1832" t="s">
        <v>4</v>
      </c>
      <c r="B4" s="1832" t="s">
        <v>5</v>
      </c>
      <c r="C4" s="1832" t="s">
        <v>737</v>
      </c>
      <c r="D4" s="1832" t="s">
        <v>897</v>
      </c>
      <c r="E4" s="1832" t="s">
        <v>739</v>
      </c>
      <c r="F4" s="1832" t="s">
        <v>1015</v>
      </c>
      <c r="G4" s="1832" t="s">
        <v>1600</v>
      </c>
      <c r="H4" s="310"/>
      <c r="I4" s="1832" t="s">
        <v>33</v>
      </c>
    </row>
    <row r="5" spans="1:9" ht="21" customHeight="1">
      <c r="A5" s="1832"/>
      <c r="B5" s="1832"/>
      <c r="C5" s="1832"/>
      <c r="D5" s="1832"/>
      <c r="E5" s="1832"/>
      <c r="F5" s="1832"/>
      <c r="G5" s="1832"/>
      <c r="H5" s="311" t="s">
        <v>898</v>
      </c>
      <c r="I5" s="1832"/>
    </row>
    <row r="6" spans="1:9" s="58" customFormat="1" ht="18" customHeight="1">
      <c r="A6" s="462">
        <v>1</v>
      </c>
      <c r="B6" s="462">
        <v>2</v>
      </c>
      <c r="C6" s="462">
        <v>3</v>
      </c>
      <c r="D6" s="462">
        <v>4</v>
      </c>
      <c r="E6" s="462">
        <v>5</v>
      </c>
      <c r="F6" s="462">
        <v>6</v>
      </c>
      <c r="G6" s="462">
        <v>7</v>
      </c>
      <c r="H6" s="312"/>
      <c r="I6" s="462">
        <v>8</v>
      </c>
    </row>
    <row r="7" spans="1:9" ht="18" customHeight="1">
      <c r="A7" s="722"/>
      <c r="B7" s="721" t="s">
        <v>7</v>
      </c>
      <c r="C7" s="721"/>
      <c r="D7" s="785"/>
      <c r="E7" s="777"/>
      <c r="F7" s="777">
        <f>+F8+F49</f>
        <v>63320</v>
      </c>
      <c r="G7" s="777">
        <f>+G8+G49</f>
        <v>60154</v>
      </c>
      <c r="H7" s="628">
        <f>+H8+H49</f>
        <v>3166</v>
      </c>
      <c r="I7" s="777"/>
    </row>
    <row r="8" spans="1:9" s="106" customFormat="1" ht="18" customHeight="1">
      <c r="A8" s="40" t="s">
        <v>8</v>
      </c>
      <c r="B8" s="54" t="s">
        <v>733</v>
      </c>
      <c r="C8" s="40"/>
      <c r="D8" s="785"/>
      <c r="E8" s="777"/>
      <c r="F8" s="23">
        <f>+F9</f>
        <v>22224</v>
      </c>
      <c r="G8" s="23">
        <f t="shared" ref="G8:H8" si="0">+G9</f>
        <v>21113</v>
      </c>
      <c r="H8" s="245">
        <f t="shared" si="0"/>
        <v>1111</v>
      </c>
      <c r="I8" s="777"/>
    </row>
    <row r="9" spans="1:9" s="106" customFormat="1" ht="18" customHeight="1">
      <c r="A9" s="40">
        <v>1</v>
      </c>
      <c r="B9" s="54" t="s">
        <v>2321</v>
      </c>
      <c r="C9" s="40"/>
      <c r="D9" s="36"/>
      <c r="E9" s="36"/>
      <c r="F9" s="23">
        <f>+F10+F18+F20+F22+F24+F39+F19</f>
        <v>22224</v>
      </c>
      <c r="G9" s="23">
        <f t="shared" ref="G9:H9" si="1">+G10+G18+G20+G22+G24+G39+G19</f>
        <v>21113</v>
      </c>
      <c r="H9" s="245">
        <f t="shared" si="1"/>
        <v>1111</v>
      </c>
      <c r="I9" s="777"/>
    </row>
    <row r="10" spans="1:9" s="724" customFormat="1" ht="27" customHeight="1">
      <c r="A10" s="40" t="s">
        <v>742</v>
      </c>
      <c r="B10" s="638" t="s">
        <v>1027</v>
      </c>
      <c r="C10" s="40"/>
      <c r="D10" s="56">
        <f>SUM(D11:D17)</f>
        <v>37</v>
      </c>
      <c r="E10" s="56"/>
      <c r="F10" s="44">
        <f t="shared" ref="F10:H10" si="2">SUM(F11:F17)</f>
        <v>15824</v>
      </c>
      <c r="G10" s="44">
        <f t="shared" si="2"/>
        <v>15033</v>
      </c>
      <c r="H10" s="247">
        <f t="shared" si="2"/>
        <v>791</v>
      </c>
      <c r="I10" s="876"/>
    </row>
    <row r="11" spans="1:9" s="301" customFormat="1" ht="26" hidden="1">
      <c r="A11" s="122"/>
      <c r="B11" s="148" t="s">
        <v>1775</v>
      </c>
      <c r="C11" s="122" t="s">
        <v>1776</v>
      </c>
      <c r="D11" s="604">
        <v>4</v>
      </c>
      <c r="E11" s="604">
        <v>300</v>
      </c>
      <c r="F11" s="190">
        <f>D11*E11</f>
        <v>1200</v>
      </c>
      <c r="G11" s="190">
        <f>ROUND(F11*95%,0)</f>
        <v>1140</v>
      </c>
      <c r="H11" s="171">
        <f>F11-G11</f>
        <v>60</v>
      </c>
      <c r="I11" s="304" t="s">
        <v>1774</v>
      </c>
    </row>
    <row r="12" spans="1:9" s="301" customFormat="1" ht="26" hidden="1">
      <c r="A12" s="122"/>
      <c r="B12" s="148" t="s">
        <v>1777</v>
      </c>
      <c r="C12" s="122" t="s">
        <v>1019</v>
      </c>
      <c r="D12" s="604">
        <v>4</v>
      </c>
      <c r="E12" s="604">
        <v>350</v>
      </c>
      <c r="F12" s="190">
        <f t="shared" ref="F12:F17" si="3">D12*E12</f>
        <v>1400</v>
      </c>
      <c r="G12" s="190">
        <f t="shared" ref="G12:G19" si="4">ROUND(F12*95%,0)</f>
        <v>1330</v>
      </c>
      <c r="H12" s="171">
        <f t="shared" ref="H12:H19" si="5">F12-G12</f>
        <v>70</v>
      </c>
      <c r="I12" s="304" t="s">
        <v>1774</v>
      </c>
    </row>
    <row r="13" spans="1:9" s="301" customFormat="1" ht="44.25" hidden="1" customHeight="1">
      <c r="A13" s="122"/>
      <c r="B13" s="148" t="s">
        <v>1778</v>
      </c>
      <c r="C13" s="122" t="s">
        <v>1776</v>
      </c>
      <c r="D13" s="604">
        <v>4</v>
      </c>
      <c r="E13" s="604">
        <v>600</v>
      </c>
      <c r="F13" s="190">
        <f t="shared" si="3"/>
        <v>2400</v>
      </c>
      <c r="G13" s="190">
        <f t="shared" si="4"/>
        <v>2280</v>
      </c>
      <c r="H13" s="171">
        <f t="shared" si="5"/>
        <v>120</v>
      </c>
      <c r="I13" s="304" t="s">
        <v>1774</v>
      </c>
    </row>
    <row r="14" spans="1:9" s="301" customFormat="1" ht="54.75" hidden="1" customHeight="1">
      <c r="A14" s="122"/>
      <c r="B14" s="148" t="s">
        <v>1779</v>
      </c>
      <c r="C14" s="122" t="s">
        <v>903</v>
      </c>
      <c r="D14" s="604">
        <v>12</v>
      </c>
      <c r="E14" s="604">
        <v>300</v>
      </c>
      <c r="F14" s="190">
        <f t="shared" si="3"/>
        <v>3600</v>
      </c>
      <c r="G14" s="190">
        <f t="shared" si="4"/>
        <v>3420</v>
      </c>
      <c r="H14" s="171">
        <f t="shared" si="5"/>
        <v>180</v>
      </c>
      <c r="I14" s="304" t="s">
        <v>1774</v>
      </c>
    </row>
    <row r="15" spans="1:9" s="301" customFormat="1" ht="39" hidden="1">
      <c r="A15" s="122"/>
      <c r="B15" s="148" t="s">
        <v>1780</v>
      </c>
      <c r="C15" s="122" t="s">
        <v>1030</v>
      </c>
      <c r="D15" s="604">
        <v>8</v>
      </c>
      <c r="E15" s="604">
        <v>150</v>
      </c>
      <c r="F15" s="190">
        <f t="shared" si="3"/>
        <v>1200</v>
      </c>
      <c r="G15" s="190">
        <f t="shared" si="4"/>
        <v>1140</v>
      </c>
      <c r="H15" s="171">
        <f t="shared" si="5"/>
        <v>60</v>
      </c>
      <c r="I15" s="304" t="s">
        <v>1774</v>
      </c>
    </row>
    <row r="16" spans="1:9" s="301" customFormat="1" ht="26" hidden="1">
      <c r="A16" s="122"/>
      <c r="B16" s="148" t="s">
        <v>1781</v>
      </c>
      <c r="C16" s="122" t="s">
        <v>1776</v>
      </c>
      <c r="D16" s="604">
        <v>4</v>
      </c>
      <c r="E16" s="604">
        <v>550</v>
      </c>
      <c r="F16" s="190">
        <f t="shared" si="3"/>
        <v>2200</v>
      </c>
      <c r="G16" s="190">
        <f t="shared" si="4"/>
        <v>2090</v>
      </c>
      <c r="H16" s="171">
        <f t="shared" si="5"/>
        <v>110</v>
      </c>
      <c r="I16" s="304" t="s">
        <v>1774</v>
      </c>
    </row>
    <row r="17" spans="1:9" s="301" customFormat="1" ht="26" hidden="1">
      <c r="A17" s="122"/>
      <c r="B17" s="148" t="s">
        <v>1782</v>
      </c>
      <c r="C17" s="122" t="s">
        <v>1783</v>
      </c>
      <c r="D17" s="604">
        <v>1</v>
      </c>
      <c r="E17" s="604">
        <v>3824</v>
      </c>
      <c r="F17" s="190">
        <f t="shared" si="3"/>
        <v>3824</v>
      </c>
      <c r="G17" s="190">
        <f t="shared" si="4"/>
        <v>3633</v>
      </c>
      <c r="H17" s="171">
        <f t="shared" si="5"/>
        <v>191</v>
      </c>
      <c r="I17" s="304" t="s">
        <v>1774</v>
      </c>
    </row>
    <row r="18" spans="1:9" s="444" customFormat="1" ht="25.5" customHeight="1">
      <c r="A18" s="18" t="s">
        <v>742</v>
      </c>
      <c r="B18" s="638" t="s">
        <v>1016</v>
      </c>
      <c r="C18" s="18" t="s">
        <v>1776</v>
      </c>
      <c r="D18" s="56">
        <v>13</v>
      </c>
      <c r="E18" s="56">
        <v>200</v>
      </c>
      <c r="F18" s="44">
        <f>D18*E18</f>
        <v>2600</v>
      </c>
      <c r="G18" s="44">
        <f t="shared" si="4"/>
        <v>2470</v>
      </c>
      <c r="H18" s="247">
        <f t="shared" si="5"/>
        <v>130</v>
      </c>
      <c r="I18" s="889"/>
    </row>
    <row r="19" spans="1:9" s="301" customFormat="1" ht="26" hidden="1">
      <c r="A19" s="122" t="s">
        <v>742</v>
      </c>
      <c r="B19" s="148" t="s">
        <v>2322</v>
      </c>
      <c r="C19" s="122" t="s">
        <v>902</v>
      </c>
      <c r="D19" s="604"/>
      <c r="E19" s="604">
        <v>1200</v>
      </c>
      <c r="F19" s="190">
        <f>D19*E19</f>
        <v>0</v>
      </c>
      <c r="G19" s="190">
        <f t="shared" si="4"/>
        <v>0</v>
      </c>
      <c r="H19" s="171">
        <f t="shared" si="5"/>
        <v>0</v>
      </c>
      <c r="I19" s="315" t="s">
        <v>1774</v>
      </c>
    </row>
    <row r="20" spans="1:9" s="444" customFormat="1" ht="52">
      <c r="A20" s="18" t="s">
        <v>742</v>
      </c>
      <c r="B20" s="12" t="s">
        <v>1017</v>
      </c>
      <c r="C20" s="18"/>
      <c r="D20" s="56">
        <f t="shared" ref="D20:E20" si="6">+D21</f>
        <v>4</v>
      </c>
      <c r="E20" s="56">
        <f t="shared" si="6"/>
        <v>500</v>
      </c>
      <c r="F20" s="44">
        <f>+F21</f>
        <v>2000</v>
      </c>
      <c r="G20" s="44">
        <f t="shared" ref="G20:H20" si="7">+G21</f>
        <v>1900</v>
      </c>
      <c r="H20" s="247">
        <f t="shared" si="7"/>
        <v>100</v>
      </c>
      <c r="I20" s="714"/>
    </row>
    <row r="21" spans="1:9" s="301" customFormat="1" ht="91" hidden="1">
      <c r="A21" s="122"/>
      <c r="B21" s="148" t="s">
        <v>1784</v>
      </c>
      <c r="C21" s="122" t="s">
        <v>1018</v>
      </c>
      <c r="D21" s="604">
        <v>4</v>
      </c>
      <c r="E21" s="604">
        <v>500</v>
      </c>
      <c r="F21" s="190">
        <f>D21*E21</f>
        <v>2000</v>
      </c>
      <c r="G21" s="190">
        <f t="shared" ref="G21:G23" si="8">ROUND(F21*95%,0)</f>
        <v>1900</v>
      </c>
      <c r="H21" s="171">
        <f t="shared" ref="H21:H23" si="9">F21-G21</f>
        <v>100</v>
      </c>
      <c r="I21" s="304" t="s">
        <v>1774</v>
      </c>
    </row>
    <row r="22" spans="1:9" s="444" customFormat="1" ht="52">
      <c r="A22" s="18" t="s">
        <v>742</v>
      </c>
      <c r="B22" s="12" t="s">
        <v>1020</v>
      </c>
      <c r="C22" s="18" t="s">
        <v>903</v>
      </c>
      <c r="D22" s="56">
        <v>6</v>
      </c>
      <c r="E22" s="56">
        <v>300</v>
      </c>
      <c r="F22" s="44">
        <f>D22*E22</f>
        <v>1800</v>
      </c>
      <c r="G22" s="44">
        <f t="shared" si="8"/>
        <v>1710</v>
      </c>
      <c r="H22" s="247">
        <f t="shared" si="9"/>
        <v>90</v>
      </c>
      <c r="I22" s="714"/>
    </row>
    <row r="23" spans="1:9" s="301" customFormat="1" ht="91" hidden="1">
      <c r="A23" s="122"/>
      <c r="B23" s="148" t="s">
        <v>1785</v>
      </c>
      <c r="C23" s="122" t="s">
        <v>903</v>
      </c>
      <c r="D23" s="604">
        <v>6</v>
      </c>
      <c r="E23" s="604">
        <v>300</v>
      </c>
      <c r="F23" s="190">
        <f>D23*E23</f>
        <v>1800</v>
      </c>
      <c r="G23" s="190">
        <f t="shared" si="8"/>
        <v>1710</v>
      </c>
      <c r="H23" s="171">
        <f t="shared" si="9"/>
        <v>90</v>
      </c>
      <c r="I23" s="304" t="s">
        <v>1774</v>
      </c>
    </row>
    <row r="24" spans="1:9" s="319" customFormat="1" ht="26" hidden="1">
      <c r="A24" s="122" t="s">
        <v>742</v>
      </c>
      <c r="B24" s="148" t="s">
        <v>1021</v>
      </c>
      <c r="C24" s="122"/>
      <c r="D24" s="604">
        <f>SUM(D25:D38)</f>
        <v>0</v>
      </c>
      <c r="E24" s="604"/>
      <c r="F24" s="190">
        <f t="shared" ref="F24:H24" si="10">SUM(F25:F38)</f>
        <v>0</v>
      </c>
      <c r="G24" s="190">
        <f t="shared" si="10"/>
        <v>0</v>
      </c>
      <c r="H24" s="171">
        <f t="shared" si="10"/>
        <v>0</v>
      </c>
      <c r="I24" s="304" t="s">
        <v>1774</v>
      </c>
    </row>
    <row r="25" spans="1:9" s="301" customFormat="1" ht="18" hidden="1" customHeight="1">
      <c r="A25" s="613"/>
      <c r="B25" s="148" t="s">
        <v>1786</v>
      </c>
      <c r="C25" s="112"/>
      <c r="D25" s="604"/>
      <c r="E25" s="604"/>
      <c r="F25" s="190"/>
      <c r="G25" s="190"/>
      <c r="H25" s="171"/>
      <c r="I25" s="304" t="s">
        <v>1774</v>
      </c>
    </row>
    <row r="26" spans="1:9" s="323" customFormat="1" ht="18" hidden="1" customHeight="1">
      <c r="A26" s="614"/>
      <c r="B26" s="154" t="s">
        <v>1787</v>
      </c>
      <c r="C26" s="613" t="s">
        <v>1022</v>
      </c>
      <c r="D26" s="129"/>
      <c r="E26" s="129">
        <v>300</v>
      </c>
      <c r="F26" s="155"/>
      <c r="G26" s="190">
        <f t="shared" ref="G26:G38" si="11">ROUND(F26*95%,0)</f>
        <v>0</v>
      </c>
      <c r="H26" s="171">
        <f t="shared" ref="H26:H38" si="12">F26-G26</f>
        <v>0</v>
      </c>
      <c r="I26" s="304" t="s">
        <v>1774</v>
      </c>
    </row>
    <row r="27" spans="1:9" s="323" customFormat="1" ht="18" hidden="1" customHeight="1">
      <c r="A27" s="614"/>
      <c r="B27" s="154" t="s">
        <v>1788</v>
      </c>
      <c r="C27" s="112" t="s">
        <v>1022</v>
      </c>
      <c r="D27" s="129"/>
      <c r="E27" s="129">
        <v>300</v>
      </c>
      <c r="F27" s="155"/>
      <c r="G27" s="190">
        <f t="shared" si="11"/>
        <v>0</v>
      </c>
      <c r="H27" s="171">
        <f t="shared" si="12"/>
        <v>0</v>
      </c>
      <c r="I27" s="304" t="s">
        <v>1774</v>
      </c>
    </row>
    <row r="28" spans="1:9" s="323" customFormat="1" ht="18" hidden="1" customHeight="1">
      <c r="A28" s="614"/>
      <c r="B28" s="154" t="s">
        <v>1789</v>
      </c>
      <c r="C28" s="112" t="s">
        <v>1022</v>
      </c>
      <c r="D28" s="129"/>
      <c r="E28" s="129">
        <v>300</v>
      </c>
      <c r="F28" s="155"/>
      <c r="G28" s="190">
        <f t="shared" si="11"/>
        <v>0</v>
      </c>
      <c r="H28" s="171">
        <f t="shared" si="12"/>
        <v>0</v>
      </c>
      <c r="I28" s="304" t="s">
        <v>1774</v>
      </c>
    </row>
    <row r="29" spans="1:9" s="301" customFormat="1" ht="18" hidden="1" customHeight="1">
      <c r="A29" s="112"/>
      <c r="B29" s="148" t="s">
        <v>1790</v>
      </c>
      <c r="C29" s="112" t="s">
        <v>1022</v>
      </c>
      <c r="D29" s="129"/>
      <c r="E29" s="129">
        <v>300</v>
      </c>
      <c r="F29" s="155"/>
      <c r="G29" s="190">
        <f t="shared" si="11"/>
        <v>0</v>
      </c>
      <c r="H29" s="171">
        <f t="shared" si="12"/>
        <v>0</v>
      </c>
      <c r="I29" s="304" t="s">
        <v>1774</v>
      </c>
    </row>
    <row r="30" spans="1:9" s="301" customFormat="1" ht="18" hidden="1" customHeight="1">
      <c r="A30" s="112"/>
      <c r="B30" s="154" t="s">
        <v>1791</v>
      </c>
      <c r="C30" s="112" t="s">
        <v>1022</v>
      </c>
      <c r="D30" s="129"/>
      <c r="E30" s="129">
        <v>300</v>
      </c>
      <c r="F30" s="190"/>
      <c r="G30" s="190">
        <f t="shared" si="11"/>
        <v>0</v>
      </c>
      <c r="H30" s="171">
        <f t="shared" si="12"/>
        <v>0</v>
      </c>
      <c r="I30" s="304" t="s">
        <v>1774</v>
      </c>
    </row>
    <row r="31" spans="1:9" s="301" customFormat="1" ht="18" hidden="1" customHeight="1">
      <c r="A31" s="112"/>
      <c r="B31" s="154" t="s">
        <v>1792</v>
      </c>
      <c r="C31" s="112" t="s">
        <v>1022</v>
      </c>
      <c r="D31" s="129"/>
      <c r="E31" s="129">
        <v>300</v>
      </c>
      <c r="F31" s="190"/>
      <c r="G31" s="190">
        <f t="shared" si="11"/>
        <v>0</v>
      </c>
      <c r="H31" s="171">
        <f t="shared" si="12"/>
        <v>0</v>
      </c>
      <c r="I31" s="304" t="s">
        <v>1774</v>
      </c>
    </row>
    <row r="32" spans="1:9" s="301" customFormat="1" ht="18" hidden="1" customHeight="1" outlineLevel="1">
      <c r="A32" s="112"/>
      <c r="B32" s="148" t="s">
        <v>1793</v>
      </c>
      <c r="C32" s="112" t="s">
        <v>1022</v>
      </c>
      <c r="D32" s="129"/>
      <c r="E32" s="129">
        <v>300</v>
      </c>
      <c r="F32" s="155"/>
      <c r="G32" s="190">
        <f t="shared" si="11"/>
        <v>0</v>
      </c>
      <c r="H32" s="171">
        <f t="shared" si="12"/>
        <v>0</v>
      </c>
      <c r="I32" s="304" t="s">
        <v>1774</v>
      </c>
    </row>
    <row r="33" spans="1:9" s="301" customFormat="1" ht="18" hidden="1" customHeight="1" outlineLevel="1">
      <c r="A33" s="112"/>
      <c r="B33" s="148" t="s">
        <v>1794</v>
      </c>
      <c r="C33" s="112" t="s">
        <v>1022</v>
      </c>
      <c r="D33" s="129"/>
      <c r="E33" s="129">
        <v>300</v>
      </c>
      <c r="F33" s="155"/>
      <c r="G33" s="190">
        <f t="shared" si="11"/>
        <v>0</v>
      </c>
      <c r="H33" s="171">
        <f t="shared" si="12"/>
        <v>0</v>
      </c>
      <c r="I33" s="304" t="s">
        <v>1774</v>
      </c>
    </row>
    <row r="34" spans="1:9" s="323" customFormat="1" ht="18" hidden="1" customHeight="1" collapsed="1">
      <c r="A34" s="112"/>
      <c r="B34" s="154" t="s">
        <v>1795</v>
      </c>
      <c r="C34" s="112" t="s">
        <v>1022</v>
      </c>
      <c r="D34" s="129"/>
      <c r="E34" s="129">
        <v>300</v>
      </c>
      <c r="F34" s="155"/>
      <c r="G34" s="190">
        <f t="shared" si="11"/>
        <v>0</v>
      </c>
      <c r="H34" s="171">
        <f t="shared" si="12"/>
        <v>0</v>
      </c>
      <c r="I34" s="304" t="s">
        <v>1774</v>
      </c>
    </row>
    <row r="35" spans="1:9" s="323" customFormat="1" ht="18" hidden="1" customHeight="1">
      <c r="A35" s="112"/>
      <c r="B35" s="154" t="s">
        <v>1796</v>
      </c>
      <c r="C35" s="112" t="s">
        <v>1022</v>
      </c>
      <c r="D35" s="129"/>
      <c r="E35" s="129">
        <v>300</v>
      </c>
      <c r="F35" s="155"/>
      <c r="G35" s="190">
        <f t="shared" si="11"/>
        <v>0</v>
      </c>
      <c r="H35" s="171">
        <f t="shared" si="12"/>
        <v>0</v>
      </c>
      <c r="I35" s="304" t="s">
        <v>1774</v>
      </c>
    </row>
    <row r="36" spans="1:9" s="323" customFormat="1" ht="18" hidden="1" customHeight="1">
      <c r="A36" s="112"/>
      <c r="B36" s="148" t="s">
        <v>1797</v>
      </c>
      <c r="C36" s="112" t="s">
        <v>1022</v>
      </c>
      <c r="D36" s="129"/>
      <c r="E36" s="129">
        <v>300</v>
      </c>
      <c r="F36" s="155"/>
      <c r="G36" s="190">
        <f t="shared" si="11"/>
        <v>0</v>
      </c>
      <c r="H36" s="171">
        <f t="shared" si="12"/>
        <v>0</v>
      </c>
      <c r="I36" s="304" t="s">
        <v>1774</v>
      </c>
    </row>
    <row r="37" spans="1:9" s="323" customFormat="1" ht="18" hidden="1" customHeight="1">
      <c r="A37" s="112"/>
      <c r="B37" s="154" t="s">
        <v>1798</v>
      </c>
      <c r="C37" s="112" t="s">
        <v>1022</v>
      </c>
      <c r="D37" s="292"/>
      <c r="E37" s="292">
        <v>300</v>
      </c>
      <c r="F37" s="155"/>
      <c r="G37" s="190">
        <f t="shared" si="11"/>
        <v>0</v>
      </c>
      <c r="H37" s="171">
        <f t="shared" si="12"/>
        <v>0</v>
      </c>
      <c r="I37" s="304" t="s">
        <v>1774</v>
      </c>
    </row>
    <row r="38" spans="1:9" s="323" customFormat="1" hidden="1">
      <c r="A38" s="112"/>
      <c r="B38" s="154" t="s">
        <v>1799</v>
      </c>
      <c r="C38" s="112" t="s">
        <v>1022</v>
      </c>
      <c r="D38" s="292"/>
      <c r="E38" s="292">
        <v>300</v>
      </c>
      <c r="F38" s="155"/>
      <c r="G38" s="190">
        <f t="shared" si="11"/>
        <v>0</v>
      </c>
      <c r="H38" s="171">
        <f t="shared" si="12"/>
        <v>0</v>
      </c>
      <c r="I38" s="322" t="s">
        <v>1774</v>
      </c>
    </row>
    <row r="39" spans="1:9" s="319" customFormat="1" ht="18" hidden="1" customHeight="1">
      <c r="A39" s="122" t="s">
        <v>742</v>
      </c>
      <c r="B39" s="148" t="s">
        <v>1025</v>
      </c>
      <c r="C39" s="122"/>
      <c r="D39" s="604">
        <f>SUM(D41:D48)</f>
        <v>0</v>
      </c>
      <c r="E39" s="604"/>
      <c r="F39" s="190">
        <f>SUM(F41:F48)</f>
        <v>0</v>
      </c>
      <c r="G39" s="190">
        <f t="shared" ref="G39:H39" si="13">SUM(G41:G48)</f>
        <v>0</v>
      </c>
      <c r="H39" s="171">
        <f t="shared" si="13"/>
        <v>0</v>
      </c>
      <c r="I39" s="304" t="s">
        <v>1774</v>
      </c>
    </row>
    <row r="40" spans="1:9" s="301" customFormat="1" ht="18" hidden="1" customHeight="1">
      <c r="A40" s="122"/>
      <c r="B40" s="148" t="s">
        <v>1800</v>
      </c>
      <c r="C40" s="122"/>
      <c r="D40" s="604"/>
      <c r="E40" s="604"/>
      <c r="F40" s="190"/>
      <c r="G40" s="190"/>
      <c r="H40" s="171"/>
      <c r="I40" s="304" t="s">
        <v>1774</v>
      </c>
    </row>
    <row r="41" spans="1:9" s="301" customFormat="1" ht="18" hidden="1" customHeight="1">
      <c r="A41" s="122"/>
      <c r="B41" s="148" t="s">
        <v>25</v>
      </c>
      <c r="C41" s="112" t="s">
        <v>1026</v>
      </c>
      <c r="D41" s="129"/>
      <c r="E41" s="129"/>
      <c r="F41" s="190">
        <f>D41*E41</f>
        <v>0</v>
      </c>
      <c r="G41" s="190">
        <f t="shared" ref="G41:G48" si="14">ROUND(F41*95%,0)</f>
        <v>0</v>
      </c>
      <c r="H41" s="171">
        <f t="shared" ref="H41:H48" si="15">F41-G41</f>
        <v>0</v>
      </c>
      <c r="I41" s="304" t="s">
        <v>1774</v>
      </c>
    </row>
    <row r="42" spans="1:9" s="301" customFormat="1" ht="18" hidden="1" customHeight="1">
      <c r="A42" s="112"/>
      <c r="B42" s="148" t="s">
        <v>23</v>
      </c>
      <c r="C42" s="112" t="s">
        <v>1026</v>
      </c>
      <c r="D42" s="129"/>
      <c r="E42" s="129"/>
      <c r="F42" s="190">
        <f t="shared" ref="F42:F47" si="16">D42*E42</f>
        <v>0</v>
      </c>
      <c r="G42" s="190">
        <f t="shared" si="14"/>
        <v>0</v>
      </c>
      <c r="H42" s="171">
        <f t="shared" si="15"/>
        <v>0</v>
      </c>
      <c r="I42" s="304" t="s">
        <v>1774</v>
      </c>
    </row>
    <row r="43" spans="1:9" s="301" customFormat="1" ht="18" hidden="1" customHeight="1">
      <c r="A43" s="112"/>
      <c r="B43" s="148" t="s">
        <v>21</v>
      </c>
      <c r="C43" s="112" t="s">
        <v>1026</v>
      </c>
      <c r="D43" s="129"/>
      <c r="E43" s="129"/>
      <c r="F43" s="190">
        <f t="shared" si="16"/>
        <v>0</v>
      </c>
      <c r="G43" s="190">
        <f t="shared" si="14"/>
        <v>0</v>
      </c>
      <c r="H43" s="171">
        <f t="shared" si="15"/>
        <v>0</v>
      </c>
      <c r="I43" s="304" t="s">
        <v>1774</v>
      </c>
    </row>
    <row r="44" spans="1:9" s="301" customFormat="1" ht="18" hidden="1" customHeight="1">
      <c r="A44" s="112"/>
      <c r="B44" s="148" t="s">
        <v>19</v>
      </c>
      <c r="C44" s="112" t="s">
        <v>1026</v>
      </c>
      <c r="D44" s="129"/>
      <c r="E44" s="129"/>
      <c r="F44" s="190">
        <f t="shared" si="16"/>
        <v>0</v>
      </c>
      <c r="G44" s="190">
        <f t="shared" si="14"/>
        <v>0</v>
      </c>
      <c r="H44" s="171">
        <f t="shared" si="15"/>
        <v>0</v>
      </c>
      <c r="I44" s="304" t="s">
        <v>1774</v>
      </c>
    </row>
    <row r="45" spans="1:9" s="301" customFormat="1" ht="18" hidden="1" customHeight="1">
      <c r="A45" s="112"/>
      <c r="B45" s="148" t="s">
        <v>17</v>
      </c>
      <c r="C45" s="112" t="s">
        <v>1026</v>
      </c>
      <c r="D45" s="129"/>
      <c r="E45" s="129"/>
      <c r="F45" s="190">
        <f t="shared" si="16"/>
        <v>0</v>
      </c>
      <c r="G45" s="190">
        <f t="shared" si="14"/>
        <v>0</v>
      </c>
      <c r="H45" s="171">
        <f t="shared" si="15"/>
        <v>0</v>
      </c>
      <c r="I45" s="304" t="s">
        <v>1774</v>
      </c>
    </row>
    <row r="46" spans="1:9" s="301" customFormat="1" ht="18" hidden="1" customHeight="1">
      <c r="A46" s="112"/>
      <c r="B46" s="148" t="s">
        <v>15</v>
      </c>
      <c r="C46" s="112" t="s">
        <v>1026</v>
      </c>
      <c r="D46" s="129"/>
      <c r="E46" s="129"/>
      <c r="F46" s="190">
        <f t="shared" si="16"/>
        <v>0</v>
      </c>
      <c r="G46" s="190">
        <f t="shared" si="14"/>
        <v>0</v>
      </c>
      <c r="H46" s="171">
        <f t="shared" si="15"/>
        <v>0</v>
      </c>
      <c r="I46" s="304" t="s">
        <v>1774</v>
      </c>
    </row>
    <row r="47" spans="1:9" s="301" customFormat="1" ht="18" hidden="1" customHeight="1">
      <c r="A47" s="112"/>
      <c r="B47" s="148" t="s">
        <v>13</v>
      </c>
      <c r="C47" s="112" t="s">
        <v>1026</v>
      </c>
      <c r="D47" s="129"/>
      <c r="E47" s="129"/>
      <c r="F47" s="190">
        <f t="shared" si="16"/>
        <v>0</v>
      </c>
      <c r="G47" s="190">
        <f t="shared" si="14"/>
        <v>0</v>
      </c>
      <c r="H47" s="171">
        <f t="shared" si="15"/>
        <v>0</v>
      </c>
      <c r="I47" s="304" t="s">
        <v>1774</v>
      </c>
    </row>
    <row r="48" spans="1:9" s="317" customFormat="1" ht="18" hidden="1" customHeight="1">
      <c r="A48" s="112"/>
      <c r="B48" s="148" t="s">
        <v>11</v>
      </c>
      <c r="C48" s="112" t="s">
        <v>1026</v>
      </c>
      <c r="D48" s="129"/>
      <c r="E48" s="129"/>
      <c r="F48" s="190">
        <f>D48*E48</f>
        <v>0</v>
      </c>
      <c r="G48" s="190">
        <f t="shared" si="14"/>
        <v>0</v>
      </c>
      <c r="H48" s="171">
        <f t="shared" si="15"/>
        <v>0</v>
      </c>
      <c r="I48" s="294" t="s">
        <v>1774</v>
      </c>
    </row>
    <row r="49" spans="1:9" s="106" customFormat="1" ht="18" customHeight="1">
      <c r="A49" s="40" t="s">
        <v>26</v>
      </c>
      <c r="B49" s="54" t="s">
        <v>736</v>
      </c>
      <c r="C49" s="40"/>
      <c r="D49" s="36"/>
      <c r="E49" s="36"/>
      <c r="F49" s="23">
        <f>+F50+F79+F113+F148+F194+F227+F260+F295</f>
        <v>41096</v>
      </c>
      <c r="G49" s="23">
        <f>+G50+G79+G113+G148+G194+G227+G260+G295</f>
        <v>39041</v>
      </c>
      <c r="H49" s="245">
        <f>+H50+H79+H113+H148+H194+H227+H260+H295</f>
        <v>2055</v>
      </c>
      <c r="I49" s="777"/>
    </row>
    <row r="50" spans="1:9" s="444" customFormat="1" ht="18" customHeight="1">
      <c r="A50" s="26">
        <v>1</v>
      </c>
      <c r="B50" s="55" t="s">
        <v>25</v>
      </c>
      <c r="C50" s="26"/>
      <c r="D50" s="34"/>
      <c r="E50" s="34"/>
      <c r="F50" s="23">
        <f>+F54+F62+F70+F58+F77</f>
        <v>4107</v>
      </c>
      <c r="G50" s="23">
        <f t="shared" ref="G50:H50" si="17">+G54+G62+G70+G58+G77</f>
        <v>3902</v>
      </c>
      <c r="H50" s="245">
        <f t="shared" si="17"/>
        <v>205</v>
      </c>
      <c r="I50" s="890"/>
    </row>
    <row r="51" spans="1:9" s="143" customFormat="1" hidden="1">
      <c r="A51" s="112" t="s">
        <v>742</v>
      </c>
      <c r="B51" s="148" t="s">
        <v>1027</v>
      </c>
      <c r="C51" s="112"/>
      <c r="D51" s="129"/>
      <c r="E51" s="129"/>
      <c r="F51" s="190">
        <f t="shared" ref="F51:F141" si="18">D51*E51</f>
        <v>0</v>
      </c>
      <c r="G51" s="190">
        <f t="shared" ref="G51:G114" si="19">ROUND(F51*95%,0)</f>
        <v>0</v>
      </c>
      <c r="H51" s="171">
        <f t="shared" ref="H51:H114" si="20">F51-G51</f>
        <v>0</v>
      </c>
      <c r="I51" s="151" t="s">
        <v>1774</v>
      </c>
    </row>
    <row r="52" spans="1:9" s="143" customFormat="1" hidden="1">
      <c r="A52" s="112" t="s">
        <v>742</v>
      </c>
      <c r="B52" s="148" t="s">
        <v>1016</v>
      </c>
      <c r="C52" s="112" t="s">
        <v>1028</v>
      </c>
      <c r="D52" s="129"/>
      <c r="E52" s="129">
        <v>312</v>
      </c>
      <c r="F52" s="190">
        <f t="shared" si="18"/>
        <v>0</v>
      </c>
      <c r="G52" s="190">
        <f t="shared" si="19"/>
        <v>0</v>
      </c>
      <c r="H52" s="171">
        <f t="shared" si="20"/>
        <v>0</v>
      </c>
      <c r="I52" s="151" t="s">
        <v>1774</v>
      </c>
    </row>
    <row r="53" spans="1:9" s="319" customFormat="1" ht="39.9" hidden="1" customHeight="1">
      <c r="A53" s="112" t="s">
        <v>742</v>
      </c>
      <c r="B53" s="148" t="s">
        <v>1029</v>
      </c>
      <c r="C53" s="112" t="s">
        <v>1030</v>
      </c>
      <c r="D53" s="129"/>
      <c r="E53" s="129">
        <v>700</v>
      </c>
      <c r="F53" s="190">
        <f t="shared" si="18"/>
        <v>0</v>
      </c>
      <c r="G53" s="190">
        <f t="shared" si="19"/>
        <v>0</v>
      </c>
      <c r="H53" s="171">
        <f t="shared" si="20"/>
        <v>0</v>
      </c>
      <c r="I53" s="325" t="s">
        <v>1774</v>
      </c>
    </row>
    <row r="54" spans="1:9" s="444" customFormat="1" ht="39">
      <c r="A54" s="13" t="s">
        <v>742</v>
      </c>
      <c r="B54" s="12" t="s">
        <v>1031</v>
      </c>
      <c r="C54" s="13" t="s">
        <v>874</v>
      </c>
      <c r="D54" s="174">
        <v>1</v>
      </c>
      <c r="E54" s="174">
        <v>200</v>
      </c>
      <c r="F54" s="44">
        <f t="shared" si="18"/>
        <v>200</v>
      </c>
      <c r="G54" s="44">
        <f t="shared" si="19"/>
        <v>190</v>
      </c>
      <c r="H54" s="247">
        <f t="shared" si="20"/>
        <v>10</v>
      </c>
      <c r="I54" s="890"/>
    </row>
    <row r="55" spans="1:9" s="143" customFormat="1" ht="52" hidden="1">
      <c r="A55" s="112" t="s">
        <v>742</v>
      </c>
      <c r="B55" s="148" t="s">
        <v>1020</v>
      </c>
      <c r="C55" s="112" t="s">
        <v>903</v>
      </c>
      <c r="D55" s="604"/>
      <c r="E55" s="129">
        <v>300</v>
      </c>
      <c r="F55" s="190">
        <f>D55*E55</f>
        <v>0</v>
      </c>
      <c r="G55" s="190">
        <f t="shared" si="19"/>
        <v>0</v>
      </c>
      <c r="H55" s="171">
        <f t="shared" si="20"/>
        <v>0</v>
      </c>
      <c r="I55" s="151" t="s">
        <v>1774</v>
      </c>
    </row>
    <row r="56" spans="1:9" s="143" customFormat="1" ht="64.5" hidden="1" customHeight="1">
      <c r="A56" s="112" t="s">
        <v>742</v>
      </c>
      <c r="B56" s="148" t="s">
        <v>1032</v>
      </c>
      <c r="C56" s="112" t="s">
        <v>1018</v>
      </c>
      <c r="D56" s="129"/>
      <c r="E56" s="129">
        <v>500</v>
      </c>
      <c r="F56" s="190">
        <f t="shared" si="18"/>
        <v>0</v>
      </c>
      <c r="G56" s="190">
        <f t="shared" si="19"/>
        <v>0</v>
      </c>
      <c r="H56" s="171">
        <f t="shared" si="20"/>
        <v>0</v>
      </c>
      <c r="I56" s="151" t="s">
        <v>1774</v>
      </c>
    </row>
    <row r="57" spans="1:9" s="143" customFormat="1" ht="30" hidden="1" customHeight="1">
      <c r="A57" s="112" t="s">
        <v>742</v>
      </c>
      <c r="B57" s="148" t="s">
        <v>1033</v>
      </c>
      <c r="C57" s="112" t="s">
        <v>1034</v>
      </c>
      <c r="D57" s="129"/>
      <c r="E57" s="129">
        <v>500</v>
      </c>
      <c r="F57" s="190">
        <f t="shared" si="18"/>
        <v>0</v>
      </c>
      <c r="G57" s="190">
        <f t="shared" si="19"/>
        <v>0</v>
      </c>
      <c r="H57" s="171">
        <f t="shared" si="20"/>
        <v>0</v>
      </c>
      <c r="I57" s="151" t="s">
        <v>1774</v>
      </c>
    </row>
    <row r="58" spans="1:9" s="444" customFormat="1" ht="26">
      <c r="A58" s="13" t="s">
        <v>742</v>
      </c>
      <c r="B58" s="12" t="s">
        <v>1021</v>
      </c>
      <c r="C58" s="13" t="s">
        <v>1022</v>
      </c>
      <c r="D58" s="174">
        <v>1</v>
      </c>
      <c r="E58" s="174">
        <v>100</v>
      </c>
      <c r="F58" s="44">
        <f>D58*E58</f>
        <v>100</v>
      </c>
      <c r="G58" s="44">
        <f>ROUND(F58*95%,0)</f>
        <v>95</v>
      </c>
      <c r="H58" s="247">
        <f t="shared" si="20"/>
        <v>5</v>
      </c>
      <c r="I58" s="890"/>
    </row>
    <row r="59" spans="1:9" s="143" customFormat="1" ht="18" hidden="1" customHeight="1">
      <c r="A59" s="613"/>
      <c r="B59" s="154" t="s">
        <v>1035</v>
      </c>
      <c r="C59" s="613" t="s">
        <v>1022</v>
      </c>
      <c r="D59" s="129"/>
      <c r="E59" s="129">
        <v>300</v>
      </c>
      <c r="F59" s="155">
        <f t="shared" ref="F59:F61" si="21">E59*D59</f>
        <v>0</v>
      </c>
      <c r="G59" s="190">
        <f t="shared" si="19"/>
        <v>0</v>
      </c>
      <c r="H59" s="171">
        <f t="shared" si="20"/>
        <v>0</v>
      </c>
      <c r="I59" s="151" t="s">
        <v>1774</v>
      </c>
    </row>
    <row r="60" spans="1:9" s="143" customFormat="1" ht="18" hidden="1" customHeight="1">
      <c r="A60" s="613"/>
      <c r="B60" s="154" t="s">
        <v>1036</v>
      </c>
      <c r="C60" s="613" t="s">
        <v>1022</v>
      </c>
      <c r="D60" s="129"/>
      <c r="E60" s="129">
        <v>300</v>
      </c>
      <c r="F60" s="155">
        <f t="shared" si="21"/>
        <v>0</v>
      </c>
      <c r="G60" s="190">
        <f t="shared" si="19"/>
        <v>0</v>
      </c>
      <c r="H60" s="171">
        <f t="shared" si="20"/>
        <v>0</v>
      </c>
      <c r="I60" s="151" t="s">
        <v>1774</v>
      </c>
    </row>
    <row r="61" spans="1:9" s="319" customFormat="1" ht="18" hidden="1" customHeight="1">
      <c r="A61" s="613"/>
      <c r="B61" s="154" t="s">
        <v>1037</v>
      </c>
      <c r="C61" s="613" t="s">
        <v>1022</v>
      </c>
      <c r="D61" s="129"/>
      <c r="E61" s="129">
        <v>300</v>
      </c>
      <c r="F61" s="155">
        <f t="shared" si="21"/>
        <v>0</v>
      </c>
      <c r="G61" s="190">
        <f t="shared" si="19"/>
        <v>0</v>
      </c>
      <c r="H61" s="171">
        <f t="shared" si="20"/>
        <v>0</v>
      </c>
      <c r="I61" s="326" t="s">
        <v>1774</v>
      </c>
    </row>
    <row r="62" spans="1:9" ht="18" customHeight="1">
      <c r="A62" s="13" t="s">
        <v>742</v>
      </c>
      <c r="B62" s="12" t="s">
        <v>1038</v>
      </c>
      <c r="C62" s="13" t="s">
        <v>1040</v>
      </c>
      <c r="D62" s="174">
        <v>4</v>
      </c>
      <c r="E62" s="174">
        <v>150</v>
      </c>
      <c r="F62" s="44">
        <f>ROUND(E62*D62,0)</f>
        <v>600</v>
      </c>
      <c r="G62" s="44">
        <f>ROUND(F62*95%,0)</f>
        <v>570</v>
      </c>
      <c r="H62" s="247">
        <f>F62-G62</f>
        <v>30</v>
      </c>
      <c r="I62" s="890"/>
    </row>
    <row r="63" spans="1:9" s="141" customFormat="1" ht="18" hidden="1" customHeight="1">
      <c r="A63" s="112"/>
      <c r="B63" s="148" t="s">
        <v>1039</v>
      </c>
      <c r="C63" s="112" t="s">
        <v>1040</v>
      </c>
      <c r="D63" s="129"/>
      <c r="E63" s="129">
        <v>150</v>
      </c>
      <c r="F63" s="155">
        <f>D63*E63</f>
        <v>0</v>
      </c>
      <c r="G63" s="190">
        <f t="shared" si="19"/>
        <v>0</v>
      </c>
      <c r="H63" s="171">
        <f t="shared" si="20"/>
        <v>0</v>
      </c>
      <c r="I63" s="151" t="s">
        <v>1774</v>
      </c>
    </row>
    <row r="64" spans="1:9" s="141" customFormat="1" ht="18" hidden="1" customHeight="1">
      <c r="A64" s="112"/>
      <c r="B64" s="148" t="s">
        <v>1041</v>
      </c>
      <c r="C64" s="112" t="s">
        <v>1040</v>
      </c>
      <c r="D64" s="129"/>
      <c r="E64" s="129">
        <v>200</v>
      </c>
      <c r="F64" s="155">
        <f t="shared" ref="F64:F66" si="22">D64*E64</f>
        <v>0</v>
      </c>
      <c r="G64" s="190">
        <f t="shared" si="19"/>
        <v>0</v>
      </c>
      <c r="H64" s="171">
        <f t="shared" si="20"/>
        <v>0</v>
      </c>
      <c r="I64" s="151" t="s">
        <v>1774</v>
      </c>
    </row>
    <row r="65" spans="1:9" s="141" customFormat="1" ht="18" hidden="1" customHeight="1">
      <c r="A65" s="112"/>
      <c r="B65" s="148" t="s">
        <v>1042</v>
      </c>
      <c r="C65" s="112" t="s">
        <v>1040</v>
      </c>
      <c r="D65" s="129"/>
      <c r="E65" s="129">
        <v>150</v>
      </c>
      <c r="F65" s="155">
        <f t="shared" si="22"/>
        <v>0</v>
      </c>
      <c r="G65" s="190">
        <f t="shared" si="19"/>
        <v>0</v>
      </c>
      <c r="H65" s="171">
        <f t="shared" si="20"/>
        <v>0</v>
      </c>
      <c r="I65" s="151" t="s">
        <v>1774</v>
      </c>
    </row>
    <row r="66" spans="1:9" s="143" customFormat="1" ht="18" hidden="1" customHeight="1">
      <c r="A66" s="112"/>
      <c r="B66" s="148" t="s">
        <v>1043</v>
      </c>
      <c r="C66" s="112" t="s">
        <v>1040</v>
      </c>
      <c r="D66" s="129"/>
      <c r="E66" s="129">
        <v>150</v>
      </c>
      <c r="F66" s="155">
        <f t="shared" si="22"/>
        <v>0</v>
      </c>
      <c r="G66" s="190">
        <f t="shared" si="19"/>
        <v>0</v>
      </c>
      <c r="H66" s="171">
        <f t="shared" si="20"/>
        <v>0</v>
      </c>
      <c r="I66" s="151" t="s">
        <v>1774</v>
      </c>
    </row>
    <row r="67" spans="1:9" s="143" customFormat="1" hidden="1">
      <c r="A67" s="112" t="s">
        <v>742</v>
      </c>
      <c r="B67" s="148" t="s">
        <v>705</v>
      </c>
      <c r="C67" s="112"/>
      <c r="D67" s="129"/>
      <c r="E67" s="129"/>
      <c r="F67" s="190">
        <f t="shared" si="18"/>
        <v>0</v>
      </c>
      <c r="G67" s="190">
        <f t="shared" si="19"/>
        <v>0</v>
      </c>
      <c r="H67" s="171">
        <f t="shared" si="20"/>
        <v>0</v>
      </c>
      <c r="I67" s="151" t="s">
        <v>1774</v>
      </c>
    </row>
    <row r="68" spans="1:9" s="143" customFormat="1" ht="26" hidden="1">
      <c r="A68" s="112" t="s">
        <v>742</v>
      </c>
      <c r="B68" s="148" t="s">
        <v>1044</v>
      </c>
      <c r="C68" s="112" t="s">
        <v>1045</v>
      </c>
      <c r="D68" s="129"/>
      <c r="E68" s="129">
        <v>3000</v>
      </c>
      <c r="F68" s="190">
        <f t="shared" si="18"/>
        <v>0</v>
      </c>
      <c r="G68" s="190">
        <f t="shared" si="19"/>
        <v>0</v>
      </c>
      <c r="H68" s="171">
        <f t="shared" si="20"/>
        <v>0</v>
      </c>
      <c r="I68" s="151" t="s">
        <v>1774</v>
      </c>
    </row>
    <row r="69" spans="1:9" s="319" customFormat="1" ht="26" hidden="1">
      <c r="A69" s="112" t="s">
        <v>742</v>
      </c>
      <c r="B69" s="148" t="s">
        <v>1046</v>
      </c>
      <c r="C69" s="112" t="s">
        <v>1047</v>
      </c>
      <c r="D69" s="129"/>
      <c r="E69" s="129">
        <v>1500</v>
      </c>
      <c r="F69" s="190">
        <f t="shared" si="18"/>
        <v>0</v>
      </c>
      <c r="G69" s="190">
        <f t="shared" si="19"/>
        <v>0</v>
      </c>
      <c r="H69" s="171">
        <f t="shared" si="20"/>
        <v>0</v>
      </c>
      <c r="I69" s="325" t="s">
        <v>1774</v>
      </c>
    </row>
    <row r="70" spans="1:9" ht="26">
      <c r="A70" s="13" t="s">
        <v>742</v>
      </c>
      <c r="B70" s="12" t="s">
        <v>1048</v>
      </c>
      <c r="C70" s="13"/>
      <c r="D70" s="174">
        <f>+D71+D72</f>
        <v>4</v>
      </c>
      <c r="E70" s="174"/>
      <c r="F70" s="20">
        <f>SUM(F71:F72)</f>
        <v>3007</v>
      </c>
      <c r="G70" s="44">
        <f>+G71+G72</f>
        <v>2855</v>
      </c>
      <c r="H70" s="247">
        <f>+H71+H72</f>
        <v>152</v>
      </c>
      <c r="I70" s="890"/>
    </row>
    <row r="71" spans="1:9" s="301" customFormat="1" ht="18" hidden="1" customHeight="1">
      <c r="A71" s="112"/>
      <c r="B71" s="148" t="s">
        <v>1049</v>
      </c>
      <c r="C71" s="112" t="s">
        <v>902</v>
      </c>
      <c r="D71" s="129">
        <v>1</v>
      </c>
      <c r="E71" s="616">
        <f>-14+1011</f>
        <v>997</v>
      </c>
      <c r="F71" s="190">
        <f t="shared" si="18"/>
        <v>997</v>
      </c>
      <c r="G71" s="190">
        <f>ROUND(F71*95%,0)-2</f>
        <v>945</v>
      </c>
      <c r="H71" s="171">
        <f t="shared" si="20"/>
        <v>52</v>
      </c>
      <c r="I71" s="151" t="s">
        <v>1774</v>
      </c>
    </row>
    <row r="72" spans="1:9" s="143" customFormat="1" hidden="1">
      <c r="A72" s="112"/>
      <c r="B72" s="148" t="s">
        <v>1050</v>
      </c>
      <c r="C72" s="112" t="s">
        <v>902</v>
      </c>
      <c r="D72" s="129">
        <v>3</v>
      </c>
      <c r="E72" s="129">
        <v>670</v>
      </c>
      <c r="F72" s="190">
        <f t="shared" si="18"/>
        <v>2010</v>
      </c>
      <c r="G72" s="190">
        <f t="shared" si="19"/>
        <v>1910</v>
      </c>
      <c r="H72" s="171">
        <f t="shared" si="20"/>
        <v>100</v>
      </c>
      <c r="I72" s="151" t="s">
        <v>1774</v>
      </c>
    </row>
    <row r="73" spans="1:9" s="143" customFormat="1" ht="52" hidden="1">
      <c r="A73" s="112" t="s">
        <v>742</v>
      </c>
      <c r="B73" s="148" t="s">
        <v>1017</v>
      </c>
      <c r="C73" s="112" t="s">
        <v>1018</v>
      </c>
      <c r="D73" s="129"/>
      <c r="E73" s="129">
        <v>500</v>
      </c>
      <c r="F73" s="190">
        <f t="shared" si="18"/>
        <v>0</v>
      </c>
      <c r="G73" s="190">
        <f t="shared" si="19"/>
        <v>0</v>
      </c>
      <c r="H73" s="171">
        <f t="shared" si="20"/>
        <v>0</v>
      </c>
      <c r="I73" s="151" t="s">
        <v>1774</v>
      </c>
    </row>
    <row r="74" spans="1:9" s="143" customFormat="1" hidden="1">
      <c r="A74" s="112" t="s">
        <v>742</v>
      </c>
      <c r="B74" s="148" t="s">
        <v>706</v>
      </c>
      <c r="C74" s="112"/>
      <c r="D74" s="129"/>
      <c r="E74" s="129"/>
      <c r="F74" s="190">
        <f t="shared" si="18"/>
        <v>0</v>
      </c>
      <c r="G74" s="190">
        <f t="shared" si="19"/>
        <v>0</v>
      </c>
      <c r="H74" s="171">
        <f t="shared" si="20"/>
        <v>0</v>
      </c>
      <c r="I74" s="151" t="s">
        <v>1774</v>
      </c>
    </row>
    <row r="75" spans="1:9" s="143" customFormat="1" hidden="1">
      <c r="A75" s="112" t="s">
        <v>742</v>
      </c>
      <c r="B75" s="148" t="s">
        <v>1051</v>
      </c>
      <c r="C75" s="112" t="s">
        <v>1052</v>
      </c>
      <c r="D75" s="129"/>
      <c r="E75" s="129">
        <v>30</v>
      </c>
      <c r="F75" s="190">
        <f t="shared" si="18"/>
        <v>0</v>
      </c>
      <c r="G75" s="190">
        <f t="shared" si="19"/>
        <v>0</v>
      </c>
      <c r="H75" s="171">
        <f t="shared" si="20"/>
        <v>0</v>
      </c>
      <c r="I75" s="151" t="s">
        <v>1774</v>
      </c>
    </row>
    <row r="76" spans="1:9" s="143" customFormat="1" ht="26" hidden="1">
      <c r="A76" s="112" t="s">
        <v>742</v>
      </c>
      <c r="B76" s="148" t="s">
        <v>1053</v>
      </c>
      <c r="C76" s="112"/>
      <c r="D76" s="129"/>
      <c r="E76" s="129"/>
      <c r="F76" s="190">
        <f t="shared" si="18"/>
        <v>0</v>
      </c>
      <c r="G76" s="190">
        <f t="shared" si="19"/>
        <v>0</v>
      </c>
      <c r="H76" s="171">
        <f t="shared" si="20"/>
        <v>0</v>
      </c>
      <c r="I76" s="151" t="s">
        <v>1774</v>
      </c>
    </row>
    <row r="77" spans="1:9" s="444" customFormat="1" ht="26">
      <c r="A77" s="13" t="s">
        <v>742</v>
      </c>
      <c r="B77" s="12" t="s">
        <v>1025</v>
      </c>
      <c r="C77" s="13" t="s">
        <v>1026</v>
      </c>
      <c r="D77" s="174">
        <v>4</v>
      </c>
      <c r="E77" s="174">
        <v>50</v>
      </c>
      <c r="F77" s="44">
        <f t="shared" si="18"/>
        <v>200</v>
      </c>
      <c r="G77" s="44">
        <f>ROUND(F77*95%,0)+2</f>
        <v>192</v>
      </c>
      <c r="H77" s="247">
        <f t="shared" si="20"/>
        <v>8</v>
      </c>
      <c r="I77" s="890"/>
    </row>
    <row r="78" spans="1:9" s="317" customFormat="1" ht="18" hidden="1" customHeight="1">
      <c r="A78" s="112" t="s">
        <v>742</v>
      </c>
      <c r="B78" s="148" t="s">
        <v>1054</v>
      </c>
      <c r="C78" s="112"/>
      <c r="D78" s="129"/>
      <c r="E78" s="129"/>
      <c r="F78" s="190">
        <f t="shared" si="18"/>
        <v>0</v>
      </c>
      <c r="G78" s="190">
        <f t="shared" si="19"/>
        <v>0</v>
      </c>
      <c r="H78" s="171">
        <f t="shared" si="20"/>
        <v>0</v>
      </c>
      <c r="I78" s="294" t="s">
        <v>1774</v>
      </c>
    </row>
    <row r="79" spans="1:9" s="444" customFormat="1" ht="18" customHeight="1">
      <c r="A79" s="26">
        <v>2</v>
      </c>
      <c r="B79" s="55" t="s">
        <v>23</v>
      </c>
      <c r="C79" s="26"/>
      <c r="D79" s="34"/>
      <c r="E79" s="34"/>
      <c r="F79" s="23">
        <f>+F80+F81+F82+F86+F87+F91+F94+F95+F100+F103+F104+F105+F106+F107+F108+F109+F110+F111+F112</f>
        <v>4868</v>
      </c>
      <c r="G79" s="23">
        <f t="shared" ref="G79:H79" si="23">+G80+G81+G82+G86+G87+G91+G94+G95+G100+G103+G104+G105+G106+G107+G108+G109+G110+G111+G112</f>
        <v>4625</v>
      </c>
      <c r="H79" s="245">
        <f t="shared" si="23"/>
        <v>243</v>
      </c>
      <c r="I79" s="890"/>
    </row>
    <row r="80" spans="1:9" s="143" customFormat="1" hidden="1">
      <c r="A80" s="112" t="s">
        <v>742</v>
      </c>
      <c r="B80" s="148" t="s">
        <v>1027</v>
      </c>
      <c r="C80" s="112"/>
      <c r="D80" s="129"/>
      <c r="E80" s="129"/>
      <c r="F80" s="190">
        <f t="shared" si="18"/>
        <v>0</v>
      </c>
      <c r="G80" s="190">
        <f t="shared" si="19"/>
        <v>0</v>
      </c>
      <c r="H80" s="171">
        <f t="shared" si="20"/>
        <v>0</v>
      </c>
      <c r="I80" s="151" t="s">
        <v>1774</v>
      </c>
    </row>
    <row r="81" spans="1:9" s="143" customFormat="1" hidden="1">
      <c r="A81" s="112" t="s">
        <v>742</v>
      </c>
      <c r="B81" s="148" t="s">
        <v>1016</v>
      </c>
      <c r="C81" s="112" t="s">
        <v>1028</v>
      </c>
      <c r="D81" s="129"/>
      <c r="E81" s="129">
        <v>312</v>
      </c>
      <c r="F81" s="190">
        <f t="shared" si="18"/>
        <v>0</v>
      </c>
      <c r="G81" s="190">
        <f t="shared" si="19"/>
        <v>0</v>
      </c>
      <c r="H81" s="171">
        <f t="shared" si="20"/>
        <v>0</v>
      </c>
      <c r="I81" s="151" t="s">
        <v>1774</v>
      </c>
    </row>
    <row r="82" spans="1:9" s="143" customFormat="1" ht="18" hidden="1" customHeight="1">
      <c r="A82" s="112" t="s">
        <v>742</v>
      </c>
      <c r="B82" s="148" t="s">
        <v>1029</v>
      </c>
      <c r="C82" s="112" t="s">
        <v>1030</v>
      </c>
      <c r="D82" s="129"/>
      <c r="E82" s="129"/>
      <c r="F82" s="190">
        <f t="shared" ref="F82" si="24">SUM(F83:F85)</f>
        <v>0</v>
      </c>
      <c r="G82" s="190">
        <f t="shared" si="19"/>
        <v>0</v>
      </c>
      <c r="H82" s="171">
        <f t="shared" si="20"/>
        <v>0</v>
      </c>
      <c r="I82" s="151" t="s">
        <v>1774</v>
      </c>
    </row>
    <row r="83" spans="1:9" s="143" customFormat="1" ht="18" hidden="1" customHeight="1">
      <c r="A83" s="112"/>
      <c r="B83" s="221" t="s">
        <v>1055</v>
      </c>
      <c r="C83" s="112" t="s">
        <v>1030</v>
      </c>
      <c r="D83" s="129"/>
      <c r="E83" s="129">
        <v>700</v>
      </c>
      <c r="F83" s="155">
        <f>E83*D83</f>
        <v>0</v>
      </c>
      <c r="G83" s="190">
        <f t="shared" si="19"/>
        <v>0</v>
      </c>
      <c r="H83" s="171">
        <f t="shared" si="20"/>
        <v>0</v>
      </c>
      <c r="I83" s="151" t="s">
        <v>1774</v>
      </c>
    </row>
    <row r="84" spans="1:9" s="143" customFormat="1" ht="18" hidden="1" customHeight="1">
      <c r="A84" s="112"/>
      <c r="B84" s="221" t="s">
        <v>1056</v>
      </c>
      <c r="C84" s="112" t="s">
        <v>1030</v>
      </c>
      <c r="D84" s="129"/>
      <c r="E84" s="129">
        <v>700</v>
      </c>
      <c r="F84" s="155">
        <f t="shared" ref="F84:F85" si="25">E84*D84</f>
        <v>0</v>
      </c>
      <c r="G84" s="190">
        <f t="shared" si="19"/>
        <v>0</v>
      </c>
      <c r="H84" s="171">
        <f t="shared" si="20"/>
        <v>0</v>
      </c>
      <c r="I84" s="151" t="s">
        <v>1774</v>
      </c>
    </row>
    <row r="85" spans="1:9" s="319" customFormat="1" ht="39.9" hidden="1" customHeight="1">
      <c r="A85" s="112"/>
      <c r="B85" s="221" t="s">
        <v>1057</v>
      </c>
      <c r="C85" s="112" t="s">
        <v>1030</v>
      </c>
      <c r="D85" s="129"/>
      <c r="E85" s="129">
        <v>700</v>
      </c>
      <c r="F85" s="155">
        <f t="shared" si="25"/>
        <v>0</v>
      </c>
      <c r="G85" s="190">
        <f t="shared" si="19"/>
        <v>0</v>
      </c>
      <c r="H85" s="171">
        <f t="shared" si="20"/>
        <v>0</v>
      </c>
      <c r="I85" s="151" t="s">
        <v>1774</v>
      </c>
    </row>
    <row r="86" spans="1:9" s="444" customFormat="1" ht="39">
      <c r="A86" s="13" t="s">
        <v>742</v>
      </c>
      <c r="B86" s="12" t="s">
        <v>1031</v>
      </c>
      <c r="C86" s="13" t="s">
        <v>874</v>
      </c>
      <c r="D86" s="174">
        <v>1</v>
      </c>
      <c r="E86" s="174">
        <v>200</v>
      </c>
      <c r="F86" s="44">
        <f t="shared" si="18"/>
        <v>200</v>
      </c>
      <c r="G86" s="44">
        <f t="shared" si="19"/>
        <v>190</v>
      </c>
      <c r="H86" s="247">
        <f t="shared" si="20"/>
        <v>10</v>
      </c>
      <c r="I86" s="890"/>
    </row>
    <row r="87" spans="1:9" s="143" customFormat="1" ht="52" hidden="1">
      <c r="A87" s="112" t="s">
        <v>742</v>
      </c>
      <c r="B87" s="148" t="s">
        <v>1020</v>
      </c>
      <c r="C87" s="112" t="s">
        <v>903</v>
      </c>
      <c r="D87" s="604"/>
      <c r="E87" s="129">
        <v>300</v>
      </c>
      <c r="F87" s="190">
        <f>D87*E87</f>
        <v>0</v>
      </c>
      <c r="G87" s="190">
        <f t="shared" si="19"/>
        <v>0</v>
      </c>
      <c r="H87" s="171">
        <f t="shared" si="20"/>
        <v>0</v>
      </c>
      <c r="I87" s="151" t="s">
        <v>1774</v>
      </c>
    </row>
    <row r="88" spans="1:9" s="143" customFormat="1" ht="39" hidden="1">
      <c r="A88" s="112"/>
      <c r="B88" s="148" t="s">
        <v>1058</v>
      </c>
      <c r="C88" s="112" t="s">
        <v>903</v>
      </c>
      <c r="D88" s="129"/>
      <c r="E88" s="129">
        <v>300</v>
      </c>
      <c r="F88" s="190">
        <f t="shared" si="18"/>
        <v>0</v>
      </c>
      <c r="G88" s="190">
        <f t="shared" si="19"/>
        <v>0</v>
      </c>
      <c r="H88" s="171">
        <f t="shared" si="20"/>
        <v>0</v>
      </c>
      <c r="I88" s="151" t="s">
        <v>1774</v>
      </c>
    </row>
    <row r="89" spans="1:9" s="143" customFormat="1" ht="26" hidden="1">
      <c r="A89" s="112"/>
      <c r="B89" s="148" t="s">
        <v>1059</v>
      </c>
      <c r="C89" s="112" t="s">
        <v>903</v>
      </c>
      <c r="D89" s="129"/>
      <c r="E89" s="129">
        <v>300</v>
      </c>
      <c r="F89" s="190">
        <f t="shared" si="18"/>
        <v>0</v>
      </c>
      <c r="G89" s="190">
        <f t="shared" si="19"/>
        <v>0</v>
      </c>
      <c r="H89" s="171">
        <f t="shared" si="20"/>
        <v>0</v>
      </c>
      <c r="I89" s="151" t="s">
        <v>1774</v>
      </c>
    </row>
    <row r="90" spans="1:9" s="319" customFormat="1" ht="54.75" hidden="1" customHeight="1">
      <c r="A90" s="112"/>
      <c r="B90" s="148" t="s">
        <v>1060</v>
      </c>
      <c r="C90" s="112" t="s">
        <v>903</v>
      </c>
      <c r="D90" s="129"/>
      <c r="E90" s="129">
        <v>300</v>
      </c>
      <c r="F90" s="190">
        <f t="shared" si="18"/>
        <v>0</v>
      </c>
      <c r="G90" s="190">
        <f t="shared" si="19"/>
        <v>0</v>
      </c>
      <c r="H90" s="171">
        <f t="shared" si="20"/>
        <v>0</v>
      </c>
      <c r="I90" s="151" t="s">
        <v>1774</v>
      </c>
    </row>
    <row r="91" spans="1:9" ht="52">
      <c r="A91" s="13" t="s">
        <v>742</v>
      </c>
      <c r="B91" s="12" t="s">
        <v>1951</v>
      </c>
      <c r="C91" s="13" t="s">
        <v>1018</v>
      </c>
      <c r="D91" s="174">
        <v>1</v>
      </c>
      <c r="E91" s="174">
        <f>+E92</f>
        <v>468</v>
      </c>
      <c r="F91" s="20">
        <f>SUM(F92:F93)</f>
        <v>468</v>
      </c>
      <c r="G91" s="44">
        <f t="shared" si="19"/>
        <v>445</v>
      </c>
      <c r="H91" s="247">
        <f t="shared" si="20"/>
        <v>23</v>
      </c>
      <c r="I91" s="890"/>
    </row>
    <row r="92" spans="1:9" s="143" customFormat="1" ht="52" hidden="1">
      <c r="A92" s="112"/>
      <c r="B92" s="148" t="s">
        <v>1801</v>
      </c>
      <c r="C92" s="112" t="s">
        <v>1018</v>
      </c>
      <c r="D92" s="129">
        <v>1</v>
      </c>
      <c r="E92" s="616">
        <f>53+415</f>
        <v>468</v>
      </c>
      <c r="F92" s="155">
        <f t="shared" ref="F92:F93" si="26">E92*D92</f>
        <v>468</v>
      </c>
      <c r="G92" s="190">
        <f t="shared" si="19"/>
        <v>445</v>
      </c>
      <c r="H92" s="171">
        <f t="shared" si="20"/>
        <v>23</v>
      </c>
      <c r="I92" s="151" t="s">
        <v>1774</v>
      </c>
    </row>
    <row r="93" spans="1:9" s="143" customFormat="1" ht="26" hidden="1">
      <c r="A93" s="112"/>
      <c r="B93" s="221" t="s">
        <v>1061</v>
      </c>
      <c r="C93" s="112" t="s">
        <v>1018</v>
      </c>
      <c r="D93" s="129"/>
      <c r="E93" s="129">
        <v>500</v>
      </c>
      <c r="F93" s="155">
        <f t="shared" si="26"/>
        <v>0</v>
      </c>
      <c r="G93" s="190">
        <f t="shared" si="19"/>
        <v>0</v>
      </c>
      <c r="H93" s="171">
        <f t="shared" si="20"/>
        <v>0</v>
      </c>
      <c r="I93" s="151" t="s">
        <v>1774</v>
      </c>
    </row>
    <row r="94" spans="1:9" s="143" customFormat="1" ht="27.75" hidden="1" customHeight="1">
      <c r="A94" s="112" t="s">
        <v>742</v>
      </c>
      <c r="B94" s="148" t="s">
        <v>1033</v>
      </c>
      <c r="C94" s="112" t="s">
        <v>1034</v>
      </c>
      <c r="D94" s="129"/>
      <c r="E94" s="129">
        <v>500</v>
      </c>
      <c r="F94" s="190">
        <f t="shared" si="18"/>
        <v>0</v>
      </c>
      <c r="G94" s="190">
        <f t="shared" si="19"/>
        <v>0</v>
      </c>
      <c r="H94" s="171">
        <f t="shared" si="20"/>
        <v>0</v>
      </c>
      <c r="I94" s="151" t="s">
        <v>1774</v>
      </c>
    </row>
    <row r="95" spans="1:9" s="444" customFormat="1" ht="26">
      <c r="A95" s="13" t="s">
        <v>742</v>
      </c>
      <c r="B95" s="12" t="s">
        <v>1021</v>
      </c>
      <c r="C95" s="13" t="str">
        <f>+C96</f>
        <v>CLB</v>
      </c>
      <c r="D95" s="174">
        <f>SUM(D96:D99)</f>
        <v>1</v>
      </c>
      <c r="E95" s="174">
        <f>+E96</f>
        <v>100</v>
      </c>
      <c r="F95" s="44">
        <f>SUM(F96:F99)</f>
        <v>100</v>
      </c>
      <c r="G95" s="44">
        <f t="shared" si="19"/>
        <v>95</v>
      </c>
      <c r="H95" s="247">
        <f t="shared" si="20"/>
        <v>5</v>
      </c>
      <c r="I95" s="890"/>
    </row>
    <row r="96" spans="1:9" s="143" customFormat="1" ht="18" hidden="1" customHeight="1">
      <c r="A96" s="112"/>
      <c r="B96" s="148" t="s">
        <v>1024</v>
      </c>
      <c r="C96" s="112" t="s">
        <v>1022</v>
      </c>
      <c r="D96" s="129"/>
      <c r="E96" s="129">
        <v>100</v>
      </c>
      <c r="F96" s="155">
        <f t="shared" ref="F96:F99" si="27">E96*D96</f>
        <v>0</v>
      </c>
      <c r="G96" s="190">
        <f t="shared" si="19"/>
        <v>0</v>
      </c>
      <c r="H96" s="171">
        <f t="shared" si="20"/>
        <v>0</v>
      </c>
      <c r="I96" s="151" t="s">
        <v>1774</v>
      </c>
    </row>
    <row r="97" spans="1:9" s="143" customFormat="1" ht="18" hidden="1" customHeight="1">
      <c r="A97" s="112"/>
      <c r="B97" s="148" t="s">
        <v>1062</v>
      </c>
      <c r="C97" s="112" t="s">
        <v>1022</v>
      </c>
      <c r="D97" s="129"/>
      <c r="E97" s="129">
        <v>100</v>
      </c>
      <c r="F97" s="155">
        <f t="shared" si="27"/>
        <v>0</v>
      </c>
      <c r="G97" s="190">
        <f t="shared" si="19"/>
        <v>0</v>
      </c>
      <c r="H97" s="171">
        <f t="shared" si="20"/>
        <v>0</v>
      </c>
      <c r="I97" s="151" t="s">
        <v>1774</v>
      </c>
    </row>
    <row r="98" spans="1:9" s="143" customFormat="1" ht="18" hidden="1" customHeight="1">
      <c r="A98" s="112"/>
      <c r="B98" s="148" t="s">
        <v>1063</v>
      </c>
      <c r="C98" s="112" t="s">
        <v>1022</v>
      </c>
      <c r="D98" s="129">
        <v>1</v>
      </c>
      <c r="E98" s="129">
        <v>100</v>
      </c>
      <c r="F98" s="155">
        <f t="shared" si="27"/>
        <v>100</v>
      </c>
      <c r="G98" s="190">
        <f t="shared" si="19"/>
        <v>95</v>
      </c>
      <c r="H98" s="171">
        <f t="shared" si="20"/>
        <v>5</v>
      </c>
      <c r="I98" s="151" t="s">
        <v>1774</v>
      </c>
    </row>
    <row r="99" spans="1:9" s="319" customFormat="1" ht="18" hidden="1" customHeight="1">
      <c r="A99" s="112"/>
      <c r="B99" s="148" t="s">
        <v>1023</v>
      </c>
      <c r="C99" s="112" t="s">
        <v>1022</v>
      </c>
      <c r="D99" s="129"/>
      <c r="E99" s="129">
        <v>100</v>
      </c>
      <c r="F99" s="155">
        <f t="shared" si="27"/>
        <v>0</v>
      </c>
      <c r="G99" s="190">
        <f t="shared" si="19"/>
        <v>0</v>
      </c>
      <c r="H99" s="171">
        <f t="shared" si="20"/>
        <v>0</v>
      </c>
      <c r="I99" s="325" t="s">
        <v>1774</v>
      </c>
    </row>
    <row r="100" spans="1:9" ht="18" customHeight="1" outlineLevel="1">
      <c r="A100" s="13" t="s">
        <v>742</v>
      </c>
      <c r="B100" s="12" t="s">
        <v>1038</v>
      </c>
      <c r="C100" s="13" t="s">
        <v>1040</v>
      </c>
      <c r="D100" s="174">
        <v>24</v>
      </c>
      <c r="E100" s="174">
        <v>150</v>
      </c>
      <c r="F100" s="44">
        <f>SUM(F101:F102)</f>
        <v>3600</v>
      </c>
      <c r="G100" s="44">
        <f t="shared" si="19"/>
        <v>3420</v>
      </c>
      <c r="H100" s="247">
        <f t="shared" si="20"/>
        <v>180</v>
      </c>
      <c r="I100" s="890"/>
    </row>
    <row r="101" spans="1:9" s="141" customFormat="1" ht="18" hidden="1" customHeight="1" outlineLevel="1">
      <c r="A101" s="112"/>
      <c r="B101" s="148" t="s">
        <v>1802</v>
      </c>
      <c r="C101" s="112" t="s">
        <v>1040</v>
      </c>
      <c r="D101" s="129">
        <v>24</v>
      </c>
      <c r="E101" s="129">
        <v>150</v>
      </c>
      <c r="F101" s="190">
        <f t="shared" si="18"/>
        <v>3600</v>
      </c>
      <c r="G101" s="190">
        <f t="shared" si="19"/>
        <v>3420</v>
      </c>
      <c r="H101" s="171">
        <f t="shared" si="20"/>
        <v>180</v>
      </c>
      <c r="I101" s="151" t="s">
        <v>1774</v>
      </c>
    </row>
    <row r="102" spans="1:9" s="143" customFormat="1" ht="18" hidden="1" customHeight="1">
      <c r="A102" s="112"/>
      <c r="B102" s="152" t="s">
        <v>1064</v>
      </c>
      <c r="C102" s="112" t="s">
        <v>1040</v>
      </c>
      <c r="D102" s="129"/>
      <c r="E102" s="129">
        <v>150</v>
      </c>
      <c r="F102" s="190">
        <f t="shared" si="18"/>
        <v>0</v>
      </c>
      <c r="G102" s="190">
        <f t="shared" si="19"/>
        <v>0</v>
      </c>
      <c r="H102" s="171">
        <f t="shared" si="20"/>
        <v>0</v>
      </c>
      <c r="I102" s="151" t="s">
        <v>1774</v>
      </c>
    </row>
    <row r="103" spans="1:9" s="143" customFormat="1" hidden="1">
      <c r="A103" s="112" t="s">
        <v>742</v>
      </c>
      <c r="B103" s="148" t="s">
        <v>705</v>
      </c>
      <c r="C103" s="112"/>
      <c r="D103" s="129"/>
      <c r="E103" s="129"/>
      <c r="F103" s="190">
        <f t="shared" si="18"/>
        <v>0</v>
      </c>
      <c r="G103" s="190">
        <f t="shared" si="19"/>
        <v>0</v>
      </c>
      <c r="H103" s="171">
        <f t="shared" si="20"/>
        <v>0</v>
      </c>
      <c r="I103" s="151" t="s">
        <v>1774</v>
      </c>
    </row>
    <row r="104" spans="1:9" s="143" customFormat="1" ht="26" hidden="1">
      <c r="A104" s="112" t="s">
        <v>742</v>
      </c>
      <c r="B104" s="148" t="s">
        <v>1044</v>
      </c>
      <c r="C104" s="112" t="s">
        <v>1045</v>
      </c>
      <c r="D104" s="129"/>
      <c r="E104" s="129">
        <v>3000</v>
      </c>
      <c r="F104" s="190">
        <f t="shared" si="18"/>
        <v>0</v>
      </c>
      <c r="G104" s="190">
        <f t="shared" si="19"/>
        <v>0</v>
      </c>
      <c r="H104" s="171">
        <f t="shared" si="20"/>
        <v>0</v>
      </c>
      <c r="I104" s="151" t="s">
        <v>1774</v>
      </c>
    </row>
    <row r="105" spans="1:9" s="143" customFormat="1" ht="26" hidden="1">
      <c r="A105" s="112" t="s">
        <v>742</v>
      </c>
      <c r="B105" s="148" t="s">
        <v>1046</v>
      </c>
      <c r="C105" s="112" t="s">
        <v>1047</v>
      </c>
      <c r="D105" s="129"/>
      <c r="E105" s="129">
        <v>1500</v>
      </c>
      <c r="F105" s="190">
        <f t="shared" si="18"/>
        <v>0</v>
      </c>
      <c r="G105" s="190">
        <f t="shared" si="19"/>
        <v>0</v>
      </c>
      <c r="H105" s="171">
        <f t="shared" si="20"/>
        <v>0</v>
      </c>
      <c r="I105" s="151" t="s">
        <v>1774</v>
      </c>
    </row>
    <row r="106" spans="1:9" s="143" customFormat="1" ht="26" hidden="1">
      <c r="A106" s="112" t="s">
        <v>742</v>
      </c>
      <c r="B106" s="148" t="s">
        <v>1048</v>
      </c>
      <c r="C106" s="112" t="s">
        <v>902</v>
      </c>
      <c r="D106" s="129"/>
      <c r="E106" s="129">
        <v>200</v>
      </c>
      <c r="F106" s="190">
        <f t="shared" si="18"/>
        <v>0</v>
      </c>
      <c r="G106" s="190">
        <f t="shared" si="19"/>
        <v>0</v>
      </c>
      <c r="H106" s="171">
        <f t="shared" si="20"/>
        <v>0</v>
      </c>
      <c r="I106" s="151" t="s">
        <v>1774</v>
      </c>
    </row>
    <row r="107" spans="1:9" s="143" customFormat="1" ht="52" hidden="1">
      <c r="A107" s="112" t="s">
        <v>742</v>
      </c>
      <c r="B107" s="148" t="s">
        <v>1017</v>
      </c>
      <c r="C107" s="112" t="s">
        <v>1018</v>
      </c>
      <c r="D107" s="129"/>
      <c r="E107" s="129">
        <v>500</v>
      </c>
      <c r="F107" s="190">
        <f t="shared" si="18"/>
        <v>0</v>
      </c>
      <c r="G107" s="190">
        <f t="shared" si="19"/>
        <v>0</v>
      </c>
      <c r="H107" s="171">
        <f t="shared" si="20"/>
        <v>0</v>
      </c>
      <c r="I107" s="151" t="s">
        <v>1774</v>
      </c>
    </row>
    <row r="108" spans="1:9" s="143" customFormat="1" hidden="1">
      <c r="A108" s="112" t="s">
        <v>742</v>
      </c>
      <c r="B108" s="148" t="s">
        <v>706</v>
      </c>
      <c r="C108" s="112"/>
      <c r="D108" s="129"/>
      <c r="E108" s="129"/>
      <c r="F108" s="190">
        <f t="shared" si="18"/>
        <v>0</v>
      </c>
      <c r="G108" s="190">
        <f t="shared" si="19"/>
        <v>0</v>
      </c>
      <c r="H108" s="171">
        <f t="shared" si="20"/>
        <v>0</v>
      </c>
      <c r="I108" s="151" t="s">
        <v>1774</v>
      </c>
    </row>
    <row r="109" spans="1:9" s="143" customFormat="1" hidden="1">
      <c r="A109" s="112" t="s">
        <v>742</v>
      </c>
      <c r="B109" s="148" t="s">
        <v>1051</v>
      </c>
      <c r="C109" s="112" t="s">
        <v>1052</v>
      </c>
      <c r="D109" s="129"/>
      <c r="E109" s="129">
        <v>30</v>
      </c>
      <c r="F109" s="190">
        <f t="shared" si="18"/>
        <v>0</v>
      </c>
      <c r="G109" s="190">
        <f t="shared" si="19"/>
        <v>0</v>
      </c>
      <c r="H109" s="171">
        <f t="shared" si="20"/>
        <v>0</v>
      </c>
      <c r="I109" s="151" t="s">
        <v>1774</v>
      </c>
    </row>
    <row r="110" spans="1:9" s="143" customFormat="1" ht="30" hidden="1" customHeight="1">
      <c r="A110" s="112" t="s">
        <v>742</v>
      </c>
      <c r="B110" s="148" t="s">
        <v>1053</v>
      </c>
      <c r="C110" s="112"/>
      <c r="D110" s="129"/>
      <c r="E110" s="129"/>
      <c r="F110" s="190">
        <f t="shared" si="18"/>
        <v>0</v>
      </c>
      <c r="G110" s="190">
        <f t="shared" si="19"/>
        <v>0</v>
      </c>
      <c r="H110" s="171">
        <f t="shared" si="20"/>
        <v>0</v>
      </c>
      <c r="I110" s="151" t="s">
        <v>1774</v>
      </c>
    </row>
    <row r="111" spans="1:9" s="444" customFormat="1" ht="26">
      <c r="A111" s="13" t="s">
        <v>742</v>
      </c>
      <c r="B111" s="12" t="s">
        <v>1025</v>
      </c>
      <c r="C111" s="13" t="s">
        <v>1026</v>
      </c>
      <c r="D111" s="174">
        <v>10</v>
      </c>
      <c r="E111" s="174">
        <v>50</v>
      </c>
      <c r="F111" s="44">
        <f t="shared" si="18"/>
        <v>500</v>
      </c>
      <c r="G111" s="44">
        <f t="shared" si="19"/>
        <v>475</v>
      </c>
      <c r="H111" s="247">
        <f t="shared" si="20"/>
        <v>25</v>
      </c>
      <c r="I111" s="890"/>
    </row>
    <row r="112" spans="1:9" s="317" customFormat="1" ht="18" hidden="1" customHeight="1">
      <c r="A112" s="112" t="s">
        <v>742</v>
      </c>
      <c r="B112" s="148" t="s">
        <v>1054</v>
      </c>
      <c r="C112" s="112"/>
      <c r="D112" s="129"/>
      <c r="E112" s="129"/>
      <c r="F112" s="190">
        <f t="shared" si="18"/>
        <v>0</v>
      </c>
      <c r="G112" s="190">
        <f t="shared" si="19"/>
        <v>0</v>
      </c>
      <c r="H112" s="171">
        <f t="shared" si="20"/>
        <v>0</v>
      </c>
      <c r="I112" s="326" t="s">
        <v>1774</v>
      </c>
    </row>
    <row r="113" spans="1:9" s="444" customFormat="1" ht="18" customHeight="1">
      <c r="A113" s="26">
        <v>3</v>
      </c>
      <c r="B113" s="55" t="s">
        <v>21</v>
      </c>
      <c r="C113" s="26"/>
      <c r="D113" s="34"/>
      <c r="E113" s="34"/>
      <c r="F113" s="23">
        <f>+F136+F133+F146</f>
        <v>2515</v>
      </c>
      <c r="G113" s="23">
        <f t="shared" ref="G113:H113" si="28">+G136+G133+G146</f>
        <v>2389</v>
      </c>
      <c r="H113" s="245">
        <f t="shared" si="28"/>
        <v>126</v>
      </c>
      <c r="I113" s="890"/>
    </row>
    <row r="114" spans="1:9" s="143" customFormat="1" hidden="1">
      <c r="A114" s="112" t="s">
        <v>742</v>
      </c>
      <c r="B114" s="148" t="s">
        <v>1027</v>
      </c>
      <c r="C114" s="112"/>
      <c r="D114" s="129"/>
      <c r="E114" s="129"/>
      <c r="F114" s="190">
        <f t="shared" si="18"/>
        <v>0</v>
      </c>
      <c r="G114" s="190">
        <f t="shared" si="19"/>
        <v>0</v>
      </c>
      <c r="H114" s="171">
        <f t="shared" si="20"/>
        <v>0</v>
      </c>
      <c r="I114" s="151" t="s">
        <v>1774</v>
      </c>
    </row>
    <row r="115" spans="1:9" s="143" customFormat="1" ht="30" hidden="1" customHeight="1">
      <c r="A115" s="112" t="s">
        <v>742</v>
      </c>
      <c r="B115" s="148" t="s">
        <v>1016</v>
      </c>
      <c r="C115" s="112" t="s">
        <v>1028</v>
      </c>
      <c r="D115" s="129"/>
      <c r="E115" s="129">
        <v>312</v>
      </c>
      <c r="F115" s="190">
        <f t="shared" si="18"/>
        <v>0</v>
      </c>
      <c r="G115" s="190">
        <f t="shared" ref="G115:G178" si="29">ROUND(F115*95%,0)</f>
        <v>0</v>
      </c>
      <c r="H115" s="171">
        <f t="shared" ref="H115:H178" si="30">F115-G115</f>
        <v>0</v>
      </c>
      <c r="I115" s="151" t="s">
        <v>1774</v>
      </c>
    </row>
    <row r="116" spans="1:9" s="143" customFormat="1" ht="39.9" hidden="1" customHeight="1">
      <c r="A116" s="112" t="s">
        <v>742</v>
      </c>
      <c r="B116" s="148" t="s">
        <v>1029</v>
      </c>
      <c r="C116" s="112" t="s">
        <v>1030</v>
      </c>
      <c r="D116" s="129"/>
      <c r="E116" s="129">
        <v>700</v>
      </c>
      <c r="F116" s="190">
        <f t="shared" si="18"/>
        <v>0</v>
      </c>
      <c r="G116" s="190">
        <f t="shared" si="29"/>
        <v>0</v>
      </c>
      <c r="H116" s="171">
        <f t="shared" si="30"/>
        <v>0</v>
      </c>
      <c r="I116" s="151" t="s">
        <v>1774</v>
      </c>
    </row>
    <row r="117" spans="1:9" s="143" customFormat="1" ht="53.25" hidden="1" customHeight="1">
      <c r="A117" s="112" t="s">
        <v>742</v>
      </c>
      <c r="B117" s="148" t="s">
        <v>1031</v>
      </c>
      <c r="C117" s="112" t="s">
        <v>874</v>
      </c>
      <c r="D117" s="129"/>
      <c r="E117" s="129">
        <v>90</v>
      </c>
      <c r="F117" s="190">
        <f t="shared" si="18"/>
        <v>0</v>
      </c>
      <c r="G117" s="190">
        <f t="shared" si="29"/>
        <v>0</v>
      </c>
      <c r="H117" s="171">
        <f t="shared" si="30"/>
        <v>0</v>
      </c>
      <c r="I117" s="151" t="s">
        <v>1774</v>
      </c>
    </row>
    <row r="118" spans="1:9" s="141" customFormat="1" ht="52" hidden="1">
      <c r="A118" s="112" t="s">
        <v>742</v>
      </c>
      <c r="B118" s="148" t="s">
        <v>1020</v>
      </c>
      <c r="C118" s="112" t="s">
        <v>903</v>
      </c>
      <c r="D118" s="604"/>
      <c r="E118" s="129">
        <v>300</v>
      </c>
      <c r="F118" s="190">
        <f>D118*E118</f>
        <v>0</v>
      </c>
      <c r="G118" s="190">
        <f t="shared" si="29"/>
        <v>0</v>
      </c>
      <c r="H118" s="171">
        <f t="shared" si="30"/>
        <v>0</v>
      </c>
      <c r="I118" s="151" t="s">
        <v>1774</v>
      </c>
    </row>
    <row r="119" spans="1:9" s="141" customFormat="1" ht="39" hidden="1">
      <c r="A119" s="112"/>
      <c r="B119" s="148" t="s">
        <v>1058</v>
      </c>
      <c r="C119" s="112" t="s">
        <v>903</v>
      </c>
      <c r="D119" s="129"/>
      <c r="E119" s="129">
        <v>300</v>
      </c>
      <c r="F119" s="190">
        <f t="shared" si="18"/>
        <v>0</v>
      </c>
      <c r="G119" s="190">
        <f t="shared" si="29"/>
        <v>0</v>
      </c>
      <c r="H119" s="171">
        <f t="shared" si="30"/>
        <v>0</v>
      </c>
      <c r="I119" s="151" t="s">
        <v>1774</v>
      </c>
    </row>
    <row r="120" spans="1:9" s="153" customFormat="1" ht="18" hidden="1" customHeight="1">
      <c r="A120" s="112"/>
      <c r="B120" s="148" t="s">
        <v>1059</v>
      </c>
      <c r="C120" s="112"/>
      <c r="D120" s="129"/>
      <c r="E120" s="129">
        <f t="shared" ref="E120:F120" si="31">SUM(E121:E128)</f>
        <v>2400</v>
      </c>
      <c r="F120" s="155">
        <f t="shared" si="31"/>
        <v>0</v>
      </c>
      <c r="G120" s="190">
        <f t="shared" si="29"/>
        <v>0</v>
      </c>
      <c r="H120" s="171">
        <f t="shared" si="30"/>
        <v>0</v>
      </c>
      <c r="I120" s="151" t="s">
        <v>1774</v>
      </c>
    </row>
    <row r="121" spans="1:9" s="153" customFormat="1" ht="18" hidden="1" customHeight="1">
      <c r="A121" s="617"/>
      <c r="B121" s="148" t="s">
        <v>1065</v>
      </c>
      <c r="C121" s="112" t="s">
        <v>903</v>
      </c>
      <c r="D121" s="129"/>
      <c r="E121" s="129">
        <v>300</v>
      </c>
      <c r="F121" s="190">
        <f t="shared" si="18"/>
        <v>0</v>
      </c>
      <c r="G121" s="190">
        <f t="shared" si="29"/>
        <v>0</v>
      </c>
      <c r="H121" s="171">
        <f t="shared" si="30"/>
        <v>0</v>
      </c>
      <c r="I121" s="151" t="s">
        <v>1774</v>
      </c>
    </row>
    <row r="122" spans="1:9" s="153" customFormat="1" ht="14" hidden="1">
      <c r="A122" s="617"/>
      <c r="B122" s="148" t="s">
        <v>1066</v>
      </c>
      <c r="C122" s="112" t="s">
        <v>903</v>
      </c>
      <c r="D122" s="129"/>
      <c r="E122" s="129">
        <v>300</v>
      </c>
      <c r="F122" s="190">
        <f t="shared" si="18"/>
        <v>0</v>
      </c>
      <c r="G122" s="190">
        <f t="shared" si="29"/>
        <v>0</v>
      </c>
      <c r="H122" s="171">
        <f t="shared" si="30"/>
        <v>0</v>
      </c>
      <c r="I122" s="151" t="s">
        <v>1774</v>
      </c>
    </row>
    <row r="123" spans="1:9" s="153" customFormat="1" ht="26" hidden="1">
      <c r="A123" s="617"/>
      <c r="B123" s="148" t="s">
        <v>1067</v>
      </c>
      <c r="C123" s="112" t="s">
        <v>903</v>
      </c>
      <c r="D123" s="129"/>
      <c r="E123" s="129">
        <v>300</v>
      </c>
      <c r="F123" s="190">
        <f t="shared" si="18"/>
        <v>0</v>
      </c>
      <c r="G123" s="190">
        <f t="shared" si="29"/>
        <v>0</v>
      </c>
      <c r="H123" s="171">
        <f t="shared" si="30"/>
        <v>0</v>
      </c>
      <c r="I123" s="151" t="s">
        <v>1774</v>
      </c>
    </row>
    <row r="124" spans="1:9" s="153" customFormat="1" ht="18" hidden="1" customHeight="1">
      <c r="A124" s="617"/>
      <c r="B124" s="148" t="s">
        <v>1068</v>
      </c>
      <c r="C124" s="112" t="s">
        <v>903</v>
      </c>
      <c r="D124" s="129"/>
      <c r="E124" s="129">
        <v>300</v>
      </c>
      <c r="F124" s="190">
        <f t="shared" si="18"/>
        <v>0</v>
      </c>
      <c r="G124" s="190">
        <f t="shared" si="29"/>
        <v>0</v>
      </c>
      <c r="H124" s="171">
        <f t="shared" si="30"/>
        <v>0</v>
      </c>
      <c r="I124" s="151" t="s">
        <v>1774</v>
      </c>
    </row>
    <row r="125" spans="1:9" s="153" customFormat="1" ht="18" hidden="1" customHeight="1">
      <c r="A125" s="617"/>
      <c r="B125" s="148" t="s">
        <v>1069</v>
      </c>
      <c r="C125" s="112" t="s">
        <v>903</v>
      </c>
      <c r="D125" s="129"/>
      <c r="E125" s="129">
        <v>300</v>
      </c>
      <c r="F125" s="190">
        <f t="shared" si="18"/>
        <v>0</v>
      </c>
      <c r="G125" s="190">
        <f t="shared" si="29"/>
        <v>0</v>
      </c>
      <c r="H125" s="171">
        <f t="shared" si="30"/>
        <v>0</v>
      </c>
      <c r="I125" s="151" t="s">
        <v>1774</v>
      </c>
    </row>
    <row r="126" spans="1:9" s="153" customFormat="1" ht="18" hidden="1" customHeight="1">
      <c r="A126" s="617"/>
      <c r="B126" s="148" t="s">
        <v>1070</v>
      </c>
      <c r="C126" s="112" t="s">
        <v>903</v>
      </c>
      <c r="D126" s="129"/>
      <c r="E126" s="129">
        <v>300</v>
      </c>
      <c r="F126" s="190">
        <f t="shared" si="18"/>
        <v>0</v>
      </c>
      <c r="G126" s="190">
        <f t="shared" si="29"/>
        <v>0</v>
      </c>
      <c r="H126" s="171">
        <f t="shared" si="30"/>
        <v>0</v>
      </c>
      <c r="I126" s="151" t="s">
        <v>1774</v>
      </c>
    </row>
    <row r="127" spans="1:9" s="153" customFormat="1" ht="18" hidden="1" customHeight="1">
      <c r="A127" s="617"/>
      <c r="B127" s="148" t="s">
        <v>1071</v>
      </c>
      <c r="C127" s="112" t="s">
        <v>903</v>
      </c>
      <c r="D127" s="129"/>
      <c r="E127" s="129">
        <v>300</v>
      </c>
      <c r="F127" s="190">
        <f t="shared" si="18"/>
        <v>0</v>
      </c>
      <c r="G127" s="190">
        <f t="shared" si="29"/>
        <v>0</v>
      </c>
      <c r="H127" s="171">
        <f t="shared" si="30"/>
        <v>0</v>
      </c>
      <c r="I127" s="151" t="s">
        <v>1774</v>
      </c>
    </row>
    <row r="128" spans="1:9" s="141" customFormat="1" ht="14" hidden="1">
      <c r="A128" s="617"/>
      <c r="B128" s="148" t="s">
        <v>1072</v>
      </c>
      <c r="C128" s="112" t="s">
        <v>903</v>
      </c>
      <c r="D128" s="129"/>
      <c r="E128" s="129">
        <v>300</v>
      </c>
      <c r="F128" s="190">
        <f t="shared" si="18"/>
        <v>0</v>
      </c>
      <c r="G128" s="190">
        <f t="shared" si="29"/>
        <v>0</v>
      </c>
      <c r="H128" s="171">
        <f t="shared" si="30"/>
        <v>0</v>
      </c>
      <c r="I128" s="151" t="s">
        <v>1774</v>
      </c>
    </row>
    <row r="129" spans="1:9" s="143" customFormat="1" ht="39" hidden="1">
      <c r="A129" s="112"/>
      <c r="B129" s="148" t="s">
        <v>1060</v>
      </c>
      <c r="C129" s="112" t="s">
        <v>903</v>
      </c>
      <c r="D129" s="129"/>
      <c r="E129" s="129">
        <v>300</v>
      </c>
      <c r="F129" s="190">
        <f t="shared" si="18"/>
        <v>0</v>
      </c>
      <c r="G129" s="190">
        <f t="shared" si="29"/>
        <v>0</v>
      </c>
      <c r="H129" s="171">
        <f t="shared" si="30"/>
        <v>0</v>
      </c>
      <c r="I129" s="151" t="s">
        <v>1774</v>
      </c>
    </row>
    <row r="130" spans="1:9" s="143" customFormat="1" ht="52" hidden="1">
      <c r="A130" s="112" t="s">
        <v>742</v>
      </c>
      <c r="B130" s="148" t="s">
        <v>1032</v>
      </c>
      <c r="C130" s="112" t="s">
        <v>1018</v>
      </c>
      <c r="D130" s="129"/>
      <c r="E130" s="129">
        <v>500</v>
      </c>
      <c r="F130" s="190">
        <f t="shared" si="18"/>
        <v>0</v>
      </c>
      <c r="G130" s="190">
        <f t="shared" si="29"/>
        <v>0</v>
      </c>
      <c r="H130" s="171">
        <f t="shared" si="30"/>
        <v>0</v>
      </c>
      <c r="I130" s="151" t="s">
        <v>1774</v>
      </c>
    </row>
    <row r="131" spans="1:9" s="143" customFormat="1" ht="52" hidden="1">
      <c r="A131" s="112" t="s">
        <v>742</v>
      </c>
      <c r="B131" s="148" t="s">
        <v>1033</v>
      </c>
      <c r="C131" s="112" t="s">
        <v>1034</v>
      </c>
      <c r="D131" s="129"/>
      <c r="E131" s="129">
        <v>500</v>
      </c>
      <c r="F131" s="190">
        <f>D131*E131</f>
        <v>0</v>
      </c>
      <c r="G131" s="190">
        <f t="shared" si="29"/>
        <v>0</v>
      </c>
      <c r="H131" s="171">
        <f t="shared" si="30"/>
        <v>0</v>
      </c>
      <c r="I131" s="151" t="s">
        <v>1774</v>
      </c>
    </row>
    <row r="132" spans="1:9" s="143" customFormat="1" ht="18" hidden="1" customHeight="1">
      <c r="A132" s="112" t="s">
        <v>742</v>
      </c>
      <c r="B132" s="148" t="s">
        <v>1021</v>
      </c>
      <c r="C132" s="112" t="str">
        <f>+C133</f>
        <v>CLB</v>
      </c>
      <c r="D132" s="129">
        <f t="shared" ref="D132:E132" si="32">+D133</f>
        <v>1</v>
      </c>
      <c r="E132" s="129">
        <f t="shared" si="32"/>
        <v>165</v>
      </c>
      <c r="F132" s="190">
        <f>SUM(F133:F135)</f>
        <v>165</v>
      </c>
      <c r="G132" s="190">
        <f t="shared" si="29"/>
        <v>157</v>
      </c>
      <c r="H132" s="171">
        <f t="shared" si="30"/>
        <v>8</v>
      </c>
      <c r="I132" s="151" t="s">
        <v>1774</v>
      </c>
    </row>
    <row r="133" spans="1:9" s="444" customFormat="1" ht="18" customHeight="1">
      <c r="A133" s="13" t="s">
        <v>701</v>
      </c>
      <c r="B133" s="12" t="s">
        <v>2323</v>
      </c>
      <c r="C133" s="13" t="s">
        <v>1022</v>
      </c>
      <c r="D133" s="174">
        <v>1</v>
      </c>
      <c r="E133" s="174">
        <f>65+100</f>
        <v>165</v>
      </c>
      <c r="F133" s="20">
        <f t="shared" ref="F133:F135" si="33">E133*D133</f>
        <v>165</v>
      </c>
      <c r="G133" s="44">
        <f>ROUND(F133*95%,0)-13</f>
        <v>144</v>
      </c>
      <c r="H133" s="247">
        <f t="shared" si="30"/>
        <v>21</v>
      </c>
      <c r="I133" s="890"/>
    </row>
    <row r="134" spans="1:9" s="143" customFormat="1" ht="18" hidden="1" customHeight="1">
      <c r="A134" s="112"/>
      <c r="B134" s="148" t="s">
        <v>1073</v>
      </c>
      <c r="C134" s="112" t="s">
        <v>1022</v>
      </c>
      <c r="D134" s="129"/>
      <c r="E134" s="129">
        <v>300</v>
      </c>
      <c r="F134" s="155">
        <f t="shared" si="33"/>
        <v>0</v>
      </c>
      <c r="G134" s="190">
        <f t="shared" si="29"/>
        <v>0</v>
      </c>
      <c r="H134" s="171">
        <f t="shared" si="30"/>
        <v>0</v>
      </c>
      <c r="I134" s="151" t="s">
        <v>1774</v>
      </c>
    </row>
    <row r="135" spans="1:9" s="319" customFormat="1" ht="18" hidden="1" customHeight="1">
      <c r="A135" s="112"/>
      <c r="B135" s="148" t="s">
        <v>1074</v>
      </c>
      <c r="C135" s="112" t="s">
        <v>1022</v>
      </c>
      <c r="D135" s="129"/>
      <c r="E135" s="129">
        <v>300</v>
      </c>
      <c r="F135" s="155">
        <f t="shared" si="33"/>
        <v>0</v>
      </c>
      <c r="G135" s="190">
        <f t="shared" si="29"/>
        <v>0</v>
      </c>
      <c r="H135" s="171">
        <f t="shared" si="30"/>
        <v>0</v>
      </c>
      <c r="I135" s="325" t="s">
        <v>1774</v>
      </c>
    </row>
    <row r="136" spans="1:9" s="444" customFormat="1" ht="18" customHeight="1" outlineLevel="1">
      <c r="A136" s="13" t="s">
        <v>742</v>
      </c>
      <c r="B136" s="12" t="s">
        <v>1038</v>
      </c>
      <c r="C136" s="13" t="s">
        <v>1040</v>
      </c>
      <c r="D136" s="174">
        <v>13</v>
      </c>
      <c r="E136" s="174">
        <v>150</v>
      </c>
      <c r="F136" s="44">
        <f>+F137</f>
        <v>1950</v>
      </c>
      <c r="G136" s="44">
        <f>+G137</f>
        <v>1865</v>
      </c>
      <c r="H136" s="247">
        <f t="shared" si="30"/>
        <v>85</v>
      </c>
      <c r="I136" s="890"/>
    </row>
    <row r="137" spans="1:9" s="143" customFormat="1" ht="18" hidden="1" customHeight="1">
      <c r="A137" s="112"/>
      <c r="B137" s="148" t="s">
        <v>1802</v>
      </c>
      <c r="C137" s="112" t="s">
        <v>1040</v>
      </c>
      <c r="D137" s="129">
        <v>13</v>
      </c>
      <c r="E137" s="129">
        <v>150</v>
      </c>
      <c r="F137" s="190">
        <f>D137*E137</f>
        <v>1950</v>
      </c>
      <c r="G137" s="190">
        <v>1865</v>
      </c>
      <c r="H137" s="171">
        <f t="shared" si="30"/>
        <v>85</v>
      </c>
      <c r="I137" s="151" t="s">
        <v>1774</v>
      </c>
    </row>
    <row r="138" spans="1:9" s="143" customFormat="1" hidden="1">
      <c r="A138" s="112" t="s">
        <v>742</v>
      </c>
      <c r="B138" s="148" t="s">
        <v>705</v>
      </c>
      <c r="C138" s="112"/>
      <c r="D138" s="129"/>
      <c r="E138" s="129"/>
      <c r="F138" s="190">
        <f t="shared" si="18"/>
        <v>0</v>
      </c>
      <c r="G138" s="190">
        <f t="shared" si="29"/>
        <v>0</v>
      </c>
      <c r="H138" s="171">
        <f t="shared" si="30"/>
        <v>0</v>
      </c>
      <c r="I138" s="151" t="s">
        <v>1774</v>
      </c>
    </row>
    <row r="139" spans="1:9" s="143" customFormat="1" ht="26" hidden="1">
      <c r="A139" s="112" t="s">
        <v>742</v>
      </c>
      <c r="B139" s="148" t="s">
        <v>1044</v>
      </c>
      <c r="C139" s="112" t="s">
        <v>1045</v>
      </c>
      <c r="D139" s="129"/>
      <c r="E139" s="129">
        <v>3000</v>
      </c>
      <c r="F139" s="190">
        <f t="shared" si="18"/>
        <v>0</v>
      </c>
      <c r="G139" s="190">
        <f t="shared" si="29"/>
        <v>0</v>
      </c>
      <c r="H139" s="171">
        <f t="shared" si="30"/>
        <v>0</v>
      </c>
      <c r="I139" s="151" t="s">
        <v>1774</v>
      </c>
    </row>
    <row r="140" spans="1:9" s="143" customFormat="1" ht="26" hidden="1">
      <c r="A140" s="112" t="s">
        <v>742</v>
      </c>
      <c r="B140" s="148" t="s">
        <v>1046</v>
      </c>
      <c r="C140" s="112" t="s">
        <v>1047</v>
      </c>
      <c r="D140" s="129"/>
      <c r="E140" s="129">
        <v>1500</v>
      </c>
      <c r="F140" s="190">
        <f t="shared" si="18"/>
        <v>0</v>
      </c>
      <c r="G140" s="190">
        <f t="shared" si="29"/>
        <v>0</v>
      </c>
      <c r="H140" s="171">
        <f t="shared" si="30"/>
        <v>0</v>
      </c>
      <c r="I140" s="151" t="s">
        <v>1774</v>
      </c>
    </row>
    <row r="141" spans="1:9" s="143" customFormat="1" ht="26" hidden="1">
      <c r="A141" s="112" t="s">
        <v>742</v>
      </c>
      <c r="B141" s="148" t="s">
        <v>1048</v>
      </c>
      <c r="C141" s="112" t="s">
        <v>902</v>
      </c>
      <c r="D141" s="129"/>
      <c r="E141" s="129">
        <v>200</v>
      </c>
      <c r="F141" s="190">
        <f t="shared" si="18"/>
        <v>0</v>
      </c>
      <c r="G141" s="190">
        <f t="shared" si="29"/>
        <v>0</v>
      </c>
      <c r="H141" s="171">
        <f t="shared" si="30"/>
        <v>0</v>
      </c>
      <c r="I141" s="151" t="s">
        <v>1774</v>
      </c>
    </row>
    <row r="142" spans="1:9" s="143" customFormat="1" ht="52" hidden="1">
      <c r="A142" s="112" t="s">
        <v>742</v>
      </c>
      <c r="B142" s="148" t="s">
        <v>1017</v>
      </c>
      <c r="C142" s="112" t="s">
        <v>1018</v>
      </c>
      <c r="D142" s="129"/>
      <c r="E142" s="129">
        <v>500</v>
      </c>
      <c r="F142" s="190">
        <f t="shared" ref="F142:F203" si="34">D142*E142</f>
        <v>0</v>
      </c>
      <c r="G142" s="190">
        <f t="shared" si="29"/>
        <v>0</v>
      </c>
      <c r="H142" s="171">
        <f t="shared" si="30"/>
        <v>0</v>
      </c>
      <c r="I142" s="151" t="s">
        <v>1774</v>
      </c>
    </row>
    <row r="143" spans="1:9" s="143" customFormat="1" hidden="1">
      <c r="A143" s="112" t="s">
        <v>742</v>
      </c>
      <c r="B143" s="148" t="s">
        <v>706</v>
      </c>
      <c r="C143" s="112"/>
      <c r="D143" s="129"/>
      <c r="E143" s="129"/>
      <c r="F143" s="190">
        <f t="shared" si="34"/>
        <v>0</v>
      </c>
      <c r="G143" s="190">
        <f t="shared" si="29"/>
        <v>0</v>
      </c>
      <c r="H143" s="171">
        <f t="shared" si="30"/>
        <v>0</v>
      </c>
      <c r="I143" s="151" t="s">
        <v>1774</v>
      </c>
    </row>
    <row r="144" spans="1:9" s="143" customFormat="1" hidden="1">
      <c r="A144" s="112" t="s">
        <v>742</v>
      </c>
      <c r="B144" s="148" t="s">
        <v>1051</v>
      </c>
      <c r="C144" s="112" t="s">
        <v>1052</v>
      </c>
      <c r="D144" s="129"/>
      <c r="E144" s="129">
        <v>30</v>
      </c>
      <c r="F144" s="190">
        <f t="shared" si="34"/>
        <v>0</v>
      </c>
      <c r="G144" s="190">
        <f t="shared" si="29"/>
        <v>0</v>
      </c>
      <c r="H144" s="171">
        <f t="shared" si="30"/>
        <v>0</v>
      </c>
      <c r="I144" s="151" t="s">
        <v>1774</v>
      </c>
    </row>
    <row r="145" spans="1:9" s="143" customFormat="1" ht="26" hidden="1">
      <c r="A145" s="112" t="s">
        <v>742</v>
      </c>
      <c r="B145" s="148" t="s">
        <v>1053</v>
      </c>
      <c r="C145" s="112"/>
      <c r="D145" s="129"/>
      <c r="E145" s="129"/>
      <c r="F145" s="190">
        <f t="shared" si="34"/>
        <v>0</v>
      </c>
      <c r="G145" s="190">
        <f t="shared" si="29"/>
        <v>0</v>
      </c>
      <c r="H145" s="171">
        <f t="shared" si="30"/>
        <v>0</v>
      </c>
      <c r="I145" s="151" t="s">
        <v>1774</v>
      </c>
    </row>
    <row r="146" spans="1:9" s="444" customFormat="1" ht="26">
      <c r="A146" s="13" t="s">
        <v>742</v>
      </c>
      <c r="B146" s="12" t="s">
        <v>1025</v>
      </c>
      <c r="C146" s="13" t="s">
        <v>1026</v>
      </c>
      <c r="D146" s="174">
        <v>8</v>
      </c>
      <c r="E146" s="174">
        <v>50</v>
      </c>
      <c r="F146" s="44">
        <f t="shared" si="34"/>
        <v>400</v>
      </c>
      <c r="G146" s="44">
        <f t="shared" si="29"/>
        <v>380</v>
      </c>
      <c r="H146" s="247">
        <f t="shared" si="30"/>
        <v>20</v>
      </c>
      <c r="I146" s="890"/>
    </row>
    <row r="147" spans="1:9" s="317" customFormat="1" ht="18" hidden="1" customHeight="1">
      <c r="A147" s="112" t="s">
        <v>742</v>
      </c>
      <c r="B147" s="148" t="s">
        <v>1054</v>
      </c>
      <c r="C147" s="112"/>
      <c r="D147" s="129"/>
      <c r="E147" s="129"/>
      <c r="F147" s="190">
        <f t="shared" si="34"/>
        <v>0</v>
      </c>
      <c r="G147" s="190">
        <f t="shared" si="29"/>
        <v>0</v>
      </c>
      <c r="H147" s="171">
        <f t="shared" si="30"/>
        <v>0</v>
      </c>
      <c r="I147" s="326" t="s">
        <v>1774</v>
      </c>
    </row>
    <row r="148" spans="1:9" s="444" customFormat="1" ht="18" customHeight="1">
      <c r="A148" s="26">
        <v>4</v>
      </c>
      <c r="B148" s="55" t="s">
        <v>19</v>
      </c>
      <c r="C148" s="26"/>
      <c r="D148" s="34"/>
      <c r="E148" s="34"/>
      <c r="F148" s="23">
        <f>+F149+F154+F155+F157+F158+F167+F169+F171+F178+F184+F185+F186+F187+F188+F189+F190+F191+F192+F193</f>
        <v>5631</v>
      </c>
      <c r="G148" s="23">
        <f>+G149+G154+G155+G157+G158+G167+G169+G171+G178+G184+G185+G186+G187+G188+G189+G190+G191+G192+G193</f>
        <v>5349</v>
      </c>
      <c r="H148" s="245">
        <f t="shared" ref="H148" si="35">+H149+H154+H155+H157+H158+H167+H169+H171+H178+H184+H185+H186+H187+H188+H189+H190+H191+H192+H193</f>
        <v>282</v>
      </c>
      <c r="I148" s="890"/>
    </row>
    <row r="149" spans="1:9" s="111" customFormat="1" ht="18" hidden="1" customHeight="1">
      <c r="A149" s="112" t="s">
        <v>742</v>
      </c>
      <c r="B149" s="148" t="s">
        <v>1027</v>
      </c>
      <c r="C149" s="112"/>
      <c r="D149" s="129"/>
      <c r="E149" s="129"/>
      <c r="F149" s="190">
        <f>SUM(F150:F153)</f>
        <v>0</v>
      </c>
      <c r="G149" s="190">
        <f t="shared" si="29"/>
        <v>0</v>
      </c>
      <c r="H149" s="171">
        <f t="shared" si="30"/>
        <v>0</v>
      </c>
      <c r="I149" s="151" t="s">
        <v>1774</v>
      </c>
    </row>
    <row r="150" spans="1:9" s="111" customFormat="1" ht="18" hidden="1" customHeight="1">
      <c r="A150" s="614"/>
      <c r="B150" s="148" t="s">
        <v>1075</v>
      </c>
      <c r="C150" s="112" t="s">
        <v>903</v>
      </c>
      <c r="D150" s="129"/>
      <c r="E150" s="129">
        <v>300</v>
      </c>
      <c r="F150" s="155">
        <f t="shared" ref="F150:F153" si="36">E150*D150</f>
        <v>0</v>
      </c>
      <c r="G150" s="190">
        <f t="shared" si="29"/>
        <v>0</v>
      </c>
      <c r="H150" s="171">
        <f t="shared" si="30"/>
        <v>0</v>
      </c>
      <c r="I150" s="151" t="s">
        <v>1774</v>
      </c>
    </row>
    <row r="151" spans="1:9" s="111" customFormat="1" hidden="1">
      <c r="A151" s="614"/>
      <c r="B151" s="148" t="s">
        <v>1076</v>
      </c>
      <c r="C151" s="112" t="s">
        <v>903</v>
      </c>
      <c r="D151" s="129"/>
      <c r="E151" s="129">
        <v>300</v>
      </c>
      <c r="F151" s="155">
        <f t="shared" si="36"/>
        <v>0</v>
      </c>
      <c r="G151" s="190">
        <f t="shared" si="29"/>
        <v>0</v>
      </c>
      <c r="H151" s="171">
        <f t="shared" si="30"/>
        <v>0</v>
      </c>
      <c r="I151" s="151" t="s">
        <v>1774</v>
      </c>
    </row>
    <row r="152" spans="1:9" s="111" customFormat="1" hidden="1">
      <c r="A152" s="614"/>
      <c r="B152" s="148" t="s">
        <v>1077</v>
      </c>
      <c r="C152" s="112" t="s">
        <v>903</v>
      </c>
      <c r="D152" s="129"/>
      <c r="E152" s="129">
        <v>300</v>
      </c>
      <c r="F152" s="155">
        <f t="shared" si="36"/>
        <v>0</v>
      </c>
      <c r="G152" s="190">
        <f t="shared" si="29"/>
        <v>0</v>
      </c>
      <c r="H152" s="171">
        <f t="shared" si="30"/>
        <v>0</v>
      </c>
      <c r="I152" s="151" t="s">
        <v>1774</v>
      </c>
    </row>
    <row r="153" spans="1:9" s="143" customFormat="1" hidden="1">
      <c r="A153" s="614"/>
      <c r="B153" s="148" t="s">
        <v>1078</v>
      </c>
      <c r="C153" s="112" t="s">
        <v>903</v>
      </c>
      <c r="D153" s="129"/>
      <c r="E153" s="129">
        <v>300</v>
      </c>
      <c r="F153" s="155">
        <f t="shared" si="36"/>
        <v>0</v>
      </c>
      <c r="G153" s="190">
        <f t="shared" si="29"/>
        <v>0</v>
      </c>
      <c r="H153" s="171">
        <f t="shared" si="30"/>
        <v>0</v>
      </c>
      <c r="I153" s="151" t="s">
        <v>1774</v>
      </c>
    </row>
    <row r="154" spans="1:9" s="143" customFormat="1" ht="30" hidden="1" customHeight="1">
      <c r="A154" s="112" t="s">
        <v>742</v>
      </c>
      <c r="B154" s="148" t="s">
        <v>1016</v>
      </c>
      <c r="C154" s="112" t="s">
        <v>1028</v>
      </c>
      <c r="D154" s="129"/>
      <c r="E154" s="129">
        <v>312</v>
      </c>
      <c r="F154" s="190">
        <f t="shared" si="34"/>
        <v>0</v>
      </c>
      <c r="G154" s="190">
        <f t="shared" si="29"/>
        <v>0</v>
      </c>
      <c r="H154" s="171">
        <f t="shared" si="30"/>
        <v>0</v>
      </c>
      <c r="I154" s="151" t="s">
        <v>1774</v>
      </c>
    </row>
    <row r="155" spans="1:9" s="111" customFormat="1" ht="18" hidden="1" customHeight="1">
      <c r="A155" s="112" t="s">
        <v>742</v>
      </c>
      <c r="B155" s="148" t="s">
        <v>1029</v>
      </c>
      <c r="C155" s="112" t="s">
        <v>1030</v>
      </c>
      <c r="D155" s="129"/>
      <c r="E155" s="129"/>
      <c r="F155" s="190">
        <f>+F156</f>
        <v>0</v>
      </c>
      <c r="G155" s="190">
        <f t="shared" si="29"/>
        <v>0</v>
      </c>
      <c r="H155" s="171">
        <f t="shared" si="30"/>
        <v>0</v>
      </c>
      <c r="I155" s="151" t="s">
        <v>1774</v>
      </c>
    </row>
    <row r="156" spans="1:9" s="143" customFormat="1" ht="39.9" hidden="1" customHeight="1">
      <c r="A156" s="614"/>
      <c r="B156" s="154" t="s">
        <v>1079</v>
      </c>
      <c r="C156" s="122" t="s">
        <v>1080</v>
      </c>
      <c r="D156" s="604"/>
      <c r="E156" s="604">
        <v>700</v>
      </c>
      <c r="F156" s="155">
        <f t="shared" ref="F156" si="37">E156*D156</f>
        <v>0</v>
      </c>
      <c r="G156" s="190">
        <f t="shared" si="29"/>
        <v>0</v>
      </c>
      <c r="H156" s="171">
        <f t="shared" si="30"/>
        <v>0</v>
      </c>
      <c r="I156" s="151" t="s">
        <v>1774</v>
      </c>
    </row>
    <row r="157" spans="1:9" s="143" customFormat="1" ht="53.25" hidden="1" customHeight="1">
      <c r="A157" s="112" t="s">
        <v>742</v>
      </c>
      <c r="B157" s="148" t="s">
        <v>1031</v>
      </c>
      <c r="C157" s="112" t="s">
        <v>874</v>
      </c>
      <c r="D157" s="129"/>
      <c r="E157" s="129">
        <v>90</v>
      </c>
      <c r="F157" s="190">
        <f t="shared" si="34"/>
        <v>0</v>
      </c>
      <c r="G157" s="190">
        <f t="shared" si="29"/>
        <v>0</v>
      </c>
      <c r="H157" s="171">
        <f t="shared" si="30"/>
        <v>0</v>
      </c>
      <c r="I157" s="151" t="s">
        <v>1774</v>
      </c>
    </row>
    <row r="158" spans="1:9" s="111" customFormat="1" ht="52" hidden="1">
      <c r="A158" s="112" t="s">
        <v>742</v>
      </c>
      <c r="B158" s="148" t="s">
        <v>1020</v>
      </c>
      <c r="C158" s="112" t="s">
        <v>903</v>
      </c>
      <c r="D158" s="604"/>
      <c r="E158" s="129">
        <v>300</v>
      </c>
      <c r="F158" s="190">
        <f>D158*E158</f>
        <v>0</v>
      </c>
      <c r="G158" s="190">
        <f t="shared" si="29"/>
        <v>0</v>
      </c>
      <c r="H158" s="171">
        <f t="shared" si="30"/>
        <v>0</v>
      </c>
      <c r="I158" s="151" t="s">
        <v>1774</v>
      </c>
    </row>
    <row r="159" spans="1:9" s="141" customFormat="1" ht="39" hidden="1">
      <c r="A159" s="614"/>
      <c r="B159" s="148" t="s">
        <v>1058</v>
      </c>
      <c r="C159" s="112" t="s">
        <v>903</v>
      </c>
      <c r="D159" s="129"/>
      <c r="E159" s="129">
        <v>300</v>
      </c>
      <c r="F159" s="190">
        <f t="shared" si="34"/>
        <v>0</v>
      </c>
      <c r="G159" s="190">
        <f t="shared" si="29"/>
        <v>0</v>
      </c>
      <c r="H159" s="171">
        <f t="shared" si="30"/>
        <v>0</v>
      </c>
      <c r="I159" s="151" t="s">
        <v>1774</v>
      </c>
    </row>
    <row r="160" spans="1:9" s="143" customFormat="1" ht="18" hidden="1" customHeight="1">
      <c r="A160" s="112"/>
      <c r="B160" s="148" t="s">
        <v>1059</v>
      </c>
      <c r="C160" s="112"/>
      <c r="D160" s="129"/>
      <c r="E160" s="129"/>
      <c r="F160" s="190">
        <f t="shared" si="34"/>
        <v>0</v>
      </c>
      <c r="G160" s="190">
        <f t="shared" si="29"/>
        <v>0</v>
      </c>
      <c r="H160" s="171">
        <f t="shared" si="30"/>
        <v>0</v>
      </c>
      <c r="I160" s="151" t="s">
        <v>1774</v>
      </c>
    </row>
    <row r="161" spans="1:9" s="141" customFormat="1" hidden="1">
      <c r="A161" s="112"/>
      <c r="B161" s="148" t="s">
        <v>1081</v>
      </c>
      <c r="C161" s="112" t="s">
        <v>903</v>
      </c>
      <c r="D161" s="129"/>
      <c r="E161" s="129">
        <v>300</v>
      </c>
      <c r="F161" s="155">
        <f>E161*D161</f>
        <v>0</v>
      </c>
      <c r="G161" s="190">
        <f t="shared" si="29"/>
        <v>0</v>
      </c>
      <c r="H161" s="171">
        <f t="shared" si="30"/>
        <v>0</v>
      </c>
      <c r="I161" s="151" t="s">
        <v>1774</v>
      </c>
    </row>
    <row r="162" spans="1:9" s="111" customFormat="1" ht="18" hidden="1" customHeight="1">
      <c r="A162" s="112"/>
      <c r="B162" s="148" t="s">
        <v>1060</v>
      </c>
      <c r="C162" s="112"/>
      <c r="D162" s="129"/>
      <c r="E162" s="129"/>
      <c r="F162" s="155">
        <f t="shared" ref="F162" si="38">SUM(F163:F166)</f>
        <v>0</v>
      </c>
      <c r="G162" s="190">
        <f t="shared" si="29"/>
        <v>0</v>
      </c>
      <c r="H162" s="171">
        <f t="shared" si="30"/>
        <v>0</v>
      </c>
      <c r="I162" s="151" t="s">
        <v>1774</v>
      </c>
    </row>
    <row r="163" spans="1:9" s="111" customFormat="1" ht="18" hidden="1" customHeight="1">
      <c r="A163" s="614"/>
      <c r="B163" s="148" t="s">
        <v>1082</v>
      </c>
      <c r="C163" s="112" t="s">
        <v>903</v>
      </c>
      <c r="D163" s="129"/>
      <c r="E163" s="129">
        <v>300</v>
      </c>
      <c r="F163" s="155">
        <f t="shared" ref="F163:F166" si="39">E163*D163</f>
        <v>0</v>
      </c>
      <c r="G163" s="190">
        <f t="shared" si="29"/>
        <v>0</v>
      </c>
      <c r="H163" s="171">
        <f t="shared" si="30"/>
        <v>0</v>
      </c>
      <c r="I163" s="151" t="s">
        <v>1774</v>
      </c>
    </row>
    <row r="164" spans="1:9" s="111" customFormat="1" ht="18" hidden="1" customHeight="1">
      <c r="A164" s="614"/>
      <c r="B164" s="148" t="s">
        <v>1083</v>
      </c>
      <c r="C164" s="112" t="s">
        <v>903</v>
      </c>
      <c r="D164" s="129"/>
      <c r="E164" s="129">
        <v>300</v>
      </c>
      <c r="F164" s="155">
        <f t="shared" si="39"/>
        <v>0</v>
      </c>
      <c r="G164" s="190">
        <f t="shared" si="29"/>
        <v>0</v>
      </c>
      <c r="H164" s="171">
        <f t="shared" si="30"/>
        <v>0</v>
      </c>
      <c r="I164" s="151" t="s">
        <v>1774</v>
      </c>
    </row>
    <row r="165" spans="1:9" s="111" customFormat="1" ht="18" hidden="1" customHeight="1">
      <c r="A165" s="614"/>
      <c r="B165" s="148" t="s">
        <v>1084</v>
      </c>
      <c r="C165" s="112" t="s">
        <v>903</v>
      </c>
      <c r="D165" s="129"/>
      <c r="E165" s="129">
        <v>300</v>
      </c>
      <c r="F165" s="155">
        <f t="shared" si="39"/>
        <v>0</v>
      </c>
      <c r="G165" s="190">
        <f t="shared" si="29"/>
        <v>0</v>
      </c>
      <c r="H165" s="171">
        <f t="shared" si="30"/>
        <v>0</v>
      </c>
      <c r="I165" s="151" t="s">
        <v>1774</v>
      </c>
    </row>
    <row r="166" spans="1:9" s="143" customFormat="1" ht="55.5" hidden="1" customHeight="1">
      <c r="A166" s="614"/>
      <c r="B166" s="148" t="s">
        <v>1085</v>
      </c>
      <c r="C166" s="112" t="s">
        <v>903</v>
      </c>
      <c r="D166" s="129"/>
      <c r="E166" s="129">
        <v>300</v>
      </c>
      <c r="F166" s="155">
        <f t="shared" si="39"/>
        <v>0</v>
      </c>
      <c r="G166" s="190">
        <f t="shared" si="29"/>
        <v>0</v>
      </c>
      <c r="H166" s="171">
        <f t="shared" si="30"/>
        <v>0</v>
      </c>
      <c r="I166" s="151" t="s">
        <v>1774</v>
      </c>
    </row>
    <row r="167" spans="1:9" s="111" customFormat="1" ht="52" hidden="1">
      <c r="A167" s="112" t="s">
        <v>742</v>
      </c>
      <c r="B167" s="148" t="s">
        <v>1032</v>
      </c>
      <c r="C167" s="618"/>
      <c r="D167" s="129"/>
      <c r="E167" s="129"/>
      <c r="F167" s="155">
        <f t="shared" ref="F167" si="40">+F168</f>
        <v>0</v>
      </c>
      <c r="G167" s="190">
        <f t="shared" si="29"/>
        <v>0</v>
      </c>
      <c r="H167" s="171">
        <f t="shared" si="30"/>
        <v>0</v>
      </c>
      <c r="I167" s="151" t="s">
        <v>1774</v>
      </c>
    </row>
    <row r="168" spans="1:9" s="319" customFormat="1" ht="66.75" hidden="1" customHeight="1">
      <c r="A168" s="619"/>
      <c r="B168" s="148" t="s">
        <v>625</v>
      </c>
      <c r="C168" s="112" t="s">
        <v>1018</v>
      </c>
      <c r="D168" s="129"/>
      <c r="E168" s="129">
        <v>500</v>
      </c>
      <c r="F168" s="155">
        <f t="shared" ref="F168:F170" si="41">E168*D168</f>
        <v>0</v>
      </c>
      <c r="G168" s="190">
        <f t="shared" si="29"/>
        <v>0</v>
      </c>
      <c r="H168" s="171">
        <f t="shared" si="30"/>
        <v>0</v>
      </c>
      <c r="I168" s="151" t="s">
        <v>1774</v>
      </c>
    </row>
    <row r="169" spans="1:9" s="8" customFormat="1" ht="52">
      <c r="A169" s="13" t="s">
        <v>742</v>
      </c>
      <c r="B169" s="12" t="s">
        <v>1033</v>
      </c>
      <c r="C169" s="13" t="s">
        <v>1034</v>
      </c>
      <c r="D169" s="174">
        <v>1</v>
      </c>
      <c r="E169" s="174">
        <f>281+800</f>
        <v>1081</v>
      </c>
      <c r="F169" s="20">
        <f t="shared" si="41"/>
        <v>1081</v>
      </c>
      <c r="G169" s="44">
        <f>ROUND(F169*95%,0)-1</f>
        <v>1026</v>
      </c>
      <c r="H169" s="247">
        <f t="shared" si="30"/>
        <v>55</v>
      </c>
      <c r="I169" s="890"/>
    </row>
    <row r="170" spans="1:9" s="143" customFormat="1" ht="26" hidden="1">
      <c r="A170" s="614"/>
      <c r="B170" s="154" t="s">
        <v>1086</v>
      </c>
      <c r="C170" s="112" t="s">
        <v>1034</v>
      </c>
      <c r="D170" s="604"/>
      <c r="E170" s="604">
        <v>476</v>
      </c>
      <c r="F170" s="155">
        <f t="shared" si="41"/>
        <v>0</v>
      </c>
      <c r="G170" s="190">
        <f t="shared" si="29"/>
        <v>0</v>
      </c>
      <c r="H170" s="171">
        <f t="shared" si="30"/>
        <v>0</v>
      </c>
      <c r="I170" s="151" t="s">
        <v>1774</v>
      </c>
    </row>
    <row r="171" spans="1:9" s="8" customFormat="1" ht="26">
      <c r="A171" s="13" t="s">
        <v>742</v>
      </c>
      <c r="B171" s="12" t="s">
        <v>1021</v>
      </c>
      <c r="C171" s="13" t="str">
        <f>+C172</f>
        <v>CLB</v>
      </c>
      <c r="D171" s="174">
        <f>+D172+D173</f>
        <v>2</v>
      </c>
      <c r="E171" s="174">
        <f>+E172</f>
        <v>100</v>
      </c>
      <c r="F171" s="20">
        <f t="shared" ref="F171" si="42">SUM(F172:F177)</f>
        <v>200</v>
      </c>
      <c r="G171" s="44">
        <f t="shared" si="29"/>
        <v>190</v>
      </c>
      <c r="H171" s="247">
        <f t="shared" si="30"/>
        <v>10</v>
      </c>
      <c r="I171" s="890"/>
    </row>
    <row r="172" spans="1:9" s="111" customFormat="1" ht="18" hidden="1" customHeight="1">
      <c r="A172" s="614"/>
      <c r="B172" s="148" t="s">
        <v>2324</v>
      </c>
      <c r="C172" s="112" t="s">
        <v>1022</v>
      </c>
      <c r="D172" s="129">
        <v>1</v>
      </c>
      <c r="E172" s="129">
        <v>100</v>
      </c>
      <c r="F172" s="155">
        <f t="shared" ref="F172:F177" si="43">E172*D172</f>
        <v>100</v>
      </c>
      <c r="G172" s="190">
        <f t="shared" si="29"/>
        <v>95</v>
      </c>
      <c r="H172" s="171">
        <f t="shared" si="30"/>
        <v>5</v>
      </c>
      <c r="I172" s="151" t="s">
        <v>1774</v>
      </c>
    </row>
    <row r="173" spans="1:9" s="111" customFormat="1" ht="18" hidden="1" customHeight="1">
      <c r="A173" s="614"/>
      <c r="B173" s="148" t="s">
        <v>2325</v>
      </c>
      <c r="C173" s="112" t="s">
        <v>1022</v>
      </c>
      <c r="D173" s="129">
        <v>1</v>
      </c>
      <c r="E173" s="129">
        <v>100</v>
      </c>
      <c r="F173" s="155">
        <f t="shared" si="43"/>
        <v>100</v>
      </c>
      <c r="G173" s="190">
        <f t="shared" si="29"/>
        <v>95</v>
      </c>
      <c r="H173" s="171">
        <f t="shared" si="30"/>
        <v>5</v>
      </c>
      <c r="I173" s="151" t="s">
        <v>1774</v>
      </c>
    </row>
    <row r="174" spans="1:9" s="111" customFormat="1" ht="18" hidden="1" customHeight="1">
      <c r="A174" s="614"/>
      <c r="B174" s="148" t="s">
        <v>1087</v>
      </c>
      <c r="C174" s="112" t="s">
        <v>1022</v>
      </c>
      <c r="D174" s="129"/>
      <c r="E174" s="129">
        <v>300</v>
      </c>
      <c r="F174" s="155">
        <f t="shared" si="43"/>
        <v>0</v>
      </c>
      <c r="G174" s="190">
        <f t="shared" si="29"/>
        <v>0</v>
      </c>
      <c r="H174" s="171">
        <f t="shared" si="30"/>
        <v>0</v>
      </c>
      <c r="I174" s="151" t="s">
        <v>1774</v>
      </c>
    </row>
    <row r="175" spans="1:9" s="111" customFormat="1" ht="18" hidden="1" customHeight="1">
      <c r="A175" s="614"/>
      <c r="B175" s="148" t="s">
        <v>1088</v>
      </c>
      <c r="C175" s="112" t="s">
        <v>1022</v>
      </c>
      <c r="D175" s="129"/>
      <c r="E175" s="129">
        <v>300</v>
      </c>
      <c r="F175" s="155">
        <f t="shared" si="43"/>
        <v>0</v>
      </c>
      <c r="G175" s="190">
        <f t="shared" si="29"/>
        <v>0</v>
      </c>
      <c r="H175" s="171">
        <f t="shared" si="30"/>
        <v>0</v>
      </c>
      <c r="I175" s="151" t="s">
        <v>1774</v>
      </c>
    </row>
    <row r="176" spans="1:9" s="111" customFormat="1" ht="18" hidden="1" customHeight="1">
      <c r="A176" s="614"/>
      <c r="B176" s="148" t="s">
        <v>1089</v>
      </c>
      <c r="C176" s="112" t="s">
        <v>1022</v>
      </c>
      <c r="D176" s="129"/>
      <c r="E176" s="129">
        <v>300</v>
      </c>
      <c r="F176" s="155">
        <f t="shared" si="43"/>
        <v>0</v>
      </c>
      <c r="G176" s="190">
        <f t="shared" si="29"/>
        <v>0</v>
      </c>
      <c r="H176" s="171">
        <f t="shared" si="30"/>
        <v>0</v>
      </c>
      <c r="I176" s="151" t="s">
        <v>1774</v>
      </c>
    </row>
    <row r="177" spans="1:9" s="319" customFormat="1" ht="18" hidden="1" customHeight="1">
      <c r="A177" s="614"/>
      <c r="B177" s="148" t="s">
        <v>1090</v>
      </c>
      <c r="C177" s="112" t="s">
        <v>1022</v>
      </c>
      <c r="D177" s="129"/>
      <c r="E177" s="129">
        <v>300</v>
      </c>
      <c r="F177" s="155">
        <f t="shared" si="43"/>
        <v>0</v>
      </c>
      <c r="G177" s="190">
        <f t="shared" si="29"/>
        <v>0</v>
      </c>
      <c r="H177" s="171">
        <f t="shared" si="30"/>
        <v>0</v>
      </c>
      <c r="I177" s="151" t="s">
        <v>1774</v>
      </c>
    </row>
    <row r="178" spans="1:9" s="8" customFormat="1" ht="18" customHeight="1" outlineLevel="1">
      <c r="A178" s="13" t="s">
        <v>742</v>
      </c>
      <c r="B178" s="12" t="s">
        <v>1038</v>
      </c>
      <c r="C178" s="13" t="s">
        <v>1040</v>
      </c>
      <c r="D178" s="174">
        <v>23</v>
      </c>
      <c r="E178" s="174">
        <v>150</v>
      </c>
      <c r="F178" s="20">
        <f>SUM(F179:F182)</f>
        <v>3450</v>
      </c>
      <c r="G178" s="44">
        <f t="shared" si="29"/>
        <v>3278</v>
      </c>
      <c r="H178" s="247">
        <f t="shared" si="30"/>
        <v>172</v>
      </c>
      <c r="I178" s="890"/>
    </row>
    <row r="179" spans="1:9" s="111" customFormat="1" ht="18" hidden="1" customHeight="1" outlineLevel="1">
      <c r="A179" s="112" t="s">
        <v>750</v>
      </c>
      <c r="B179" s="148" t="s">
        <v>1802</v>
      </c>
      <c r="C179" s="112" t="s">
        <v>1040</v>
      </c>
      <c r="D179" s="129">
        <v>23</v>
      </c>
      <c r="E179" s="129">
        <v>150</v>
      </c>
      <c r="F179" s="155">
        <f>D179*E179</f>
        <v>3450</v>
      </c>
      <c r="G179" s="190">
        <f t="shared" ref="G179:G244" si="44">ROUND(F179*95%,0)</f>
        <v>3278</v>
      </c>
      <c r="H179" s="171">
        <f t="shared" ref="H179:H244" si="45">F179-G179</f>
        <v>172</v>
      </c>
      <c r="I179" s="151" t="s">
        <v>1774</v>
      </c>
    </row>
    <row r="180" spans="1:9" s="111" customFormat="1" ht="18" hidden="1" customHeight="1" outlineLevel="1">
      <c r="A180" s="112"/>
      <c r="B180" s="148" t="s">
        <v>1091</v>
      </c>
      <c r="C180" s="112" t="s">
        <v>1040</v>
      </c>
      <c r="D180" s="129"/>
      <c r="E180" s="129">
        <v>150</v>
      </c>
      <c r="F180" s="155">
        <f t="shared" ref="F180:F182" si="46">D180*E180</f>
        <v>0</v>
      </c>
      <c r="G180" s="190">
        <f t="shared" si="44"/>
        <v>0</v>
      </c>
      <c r="H180" s="171">
        <f t="shared" si="45"/>
        <v>0</v>
      </c>
      <c r="I180" s="151" t="s">
        <v>1774</v>
      </c>
    </row>
    <row r="181" spans="1:9" s="111" customFormat="1" ht="18" hidden="1" customHeight="1" outlineLevel="1">
      <c r="A181" s="112"/>
      <c r="B181" s="148" t="s">
        <v>1092</v>
      </c>
      <c r="C181" s="112" t="s">
        <v>1040</v>
      </c>
      <c r="D181" s="129"/>
      <c r="E181" s="129">
        <v>150</v>
      </c>
      <c r="F181" s="155">
        <f t="shared" si="46"/>
        <v>0</v>
      </c>
      <c r="G181" s="190">
        <f t="shared" si="44"/>
        <v>0</v>
      </c>
      <c r="H181" s="171">
        <f t="shared" si="45"/>
        <v>0</v>
      </c>
      <c r="I181" s="151" t="s">
        <v>1774</v>
      </c>
    </row>
    <row r="182" spans="1:9" s="111" customFormat="1" hidden="1">
      <c r="A182" s="112"/>
      <c r="B182" s="148" t="s">
        <v>1093</v>
      </c>
      <c r="C182" s="112" t="s">
        <v>1040</v>
      </c>
      <c r="D182" s="129"/>
      <c r="E182" s="129">
        <v>150</v>
      </c>
      <c r="F182" s="155">
        <f t="shared" si="46"/>
        <v>0</v>
      </c>
      <c r="G182" s="190">
        <f t="shared" si="44"/>
        <v>0</v>
      </c>
      <c r="H182" s="171">
        <f t="shared" si="45"/>
        <v>0</v>
      </c>
      <c r="I182" s="151" t="s">
        <v>1774</v>
      </c>
    </row>
    <row r="183" spans="1:9" s="143" customFormat="1" ht="18" hidden="1" customHeight="1">
      <c r="A183" s="614"/>
      <c r="B183" s="148" t="s">
        <v>1094</v>
      </c>
      <c r="C183" s="112" t="s">
        <v>1040</v>
      </c>
      <c r="D183" s="129"/>
      <c r="E183" s="129">
        <v>150</v>
      </c>
      <c r="F183" s="155">
        <f t="shared" ref="F183" si="47">E183*D183</f>
        <v>0</v>
      </c>
      <c r="G183" s="190">
        <f t="shared" si="44"/>
        <v>0</v>
      </c>
      <c r="H183" s="171">
        <f t="shared" si="45"/>
        <v>0</v>
      </c>
      <c r="I183" s="151" t="s">
        <v>1774</v>
      </c>
    </row>
    <row r="184" spans="1:9" s="143" customFormat="1" hidden="1">
      <c r="A184" s="112" t="s">
        <v>742</v>
      </c>
      <c r="B184" s="148" t="s">
        <v>705</v>
      </c>
      <c r="C184" s="112"/>
      <c r="D184" s="129"/>
      <c r="E184" s="129"/>
      <c r="F184" s="190">
        <f t="shared" si="34"/>
        <v>0</v>
      </c>
      <c r="G184" s="190">
        <f t="shared" si="44"/>
        <v>0</v>
      </c>
      <c r="H184" s="171">
        <f t="shared" si="45"/>
        <v>0</v>
      </c>
      <c r="I184" s="151" t="s">
        <v>1774</v>
      </c>
    </row>
    <row r="185" spans="1:9" s="143" customFormat="1" ht="26" hidden="1">
      <c r="A185" s="112" t="s">
        <v>742</v>
      </c>
      <c r="B185" s="148" t="s">
        <v>1044</v>
      </c>
      <c r="C185" s="112" t="s">
        <v>1045</v>
      </c>
      <c r="D185" s="129"/>
      <c r="E185" s="129">
        <v>3000</v>
      </c>
      <c r="F185" s="190">
        <f t="shared" si="34"/>
        <v>0</v>
      </c>
      <c r="G185" s="190">
        <f t="shared" si="44"/>
        <v>0</v>
      </c>
      <c r="H185" s="171">
        <f t="shared" si="45"/>
        <v>0</v>
      </c>
      <c r="I185" s="151" t="s">
        <v>1774</v>
      </c>
    </row>
    <row r="186" spans="1:9" s="143" customFormat="1" ht="26" hidden="1">
      <c r="A186" s="112" t="s">
        <v>742</v>
      </c>
      <c r="B186" s="148" t="s">
        <v>1046</v>
      </c>
      <c r="C186" s="112" t="s">
        <v>1047</v>
      </c>
      <c r="D186" s="129"/>
      <c r="E186" s="129">
        <v>1500</v>
      </c>
      <c r="F186" s="190">
        <f t="shared" si="34"/>
        <v>0</v>
      </c>
      <c r="G186" s="190">
        <f t="shared" si="44"/>
        <v>0</v>
      </c>
      <c r="H186" s="171">
        <f t="shared" si="45"/>
        <v>0</v>
      </c>
      <c r="I186" s="151" t="s">
        <v>1774</v>
      </c>
    </row>
    <row r="187" spans="1:9" s="143" customFormat="1" ht="26" hidden="1">
      <c r="A187" s="112" t="s">
        <v>742</v>
      </c>
      <c r="B187" s="148" t="s">
        <v>1048</v>
      </c>
      <c r="C187" s="112" t="s">
        <v>902</v>
      </c>
      <c r="D187" s="129"/>
      <c r="E187" s="129">
        <v>200</v>
      </c>
      <c r="F187" s="190">
        <f t="shared" si="34"/>
        <v>0</v>
      </c>
      <c r="G187" s="190">
        <f t="shared" si="44"/>
        <v>0</v>
      </c>
      <c r="H187" s="171">
        <f t="shared" si="45"/>
        <v>0</v>
      </c>
      <c r="I187" s="151" t="s">
        <v>1774</v>
      </c>
    </row>
    <row r="188" spans="1:9" s="143" customFormat="1" ht="52" hidden="1">
      <c r="A188" s="112" t="s">
        <v>742</v>
      </c>
      <c r="B188" s="148" t="s">
        <v>1017</v>
      </c>
      <c r="C188" s="112" t="s">
        <v>1018</v>
      </c>
      <c r="D188" s="129"/>
      <c r="E188" s="129">
        <v>500</v>
      </c>
      <c r="F188" s="190">
        <f t="shared" si="34"/>
        <v>0</v>
      </c>
      <c r="G188" s="190">
        <f t="shared" si="44"/>
        <v>0</v>
      </c>
      <c r="H188" s="171">
        <f t="shared" si="45"/>
        <v>0</v>
      </c>
      <c r="I188" s="151" t="s">
        <v>1774</v>
      </c>
    </row>
    <row r="189" spans="1:9" s="143" customFormat="1" hidden="1">
      <c r="A189" s="112" t="s">
        <v>742</v>
      </c>
      <c r="B189" s="148" t="s">
        <v>706</v>
      </c>
      <c r="C189" s="112"/>
      <c r="D189" s="129"/>
      <c r="E189" s="129"/>
      <c r="F189" s="190">
        <f t="shared" si="34"/>
        <v>0</v>
      </c>
      <c r="G189" s="190">
        <f t="shared" si="44"/>
        <v>0</v>
      </c>
      <c r="H189" s="171">
        <f t="shared" si="45"/>
        <v>0</v>
      </c>
      <c r="I189" s="151" t="s">
        <v>1774</v>
      </c>
    </row>
    <row r="190" spans="1:9" s="143" customFormat="1" hidden="1">
      <c r="A190" s="112" t="s">
        <v>742</v>
      </c>
      <c r="B190" s="148" t="s">
        <v>1051</v>
      </c>
      <c r="C190" s="112" t="s">
        <v>1052</v>
      </c>
      <c r="D190" s="129"/>
      <c r="E190" s="129">
        <v>30</v>
      </c>
      <c r="F190" s="190">
        <f t="shared" si="34"/>
        <v>0</v>
      </c>
      <c r="G190" s="190">
        <f t="shared" si="44"/>
        <v>0</v>
      </c>
      <c r="H190" s="171">
        <f t="shared" si="45"/>
        <v>0</v>
      </c>
      <c r="I190" s="151" t="s">
        <v>1774</v>
      </c>
    </row>
    <row r="191" spans="1:9" s="143" customFormat="1" ht="26" hidden="1">
      <c r="A191" s="112" t="s">
        <v>742</v>
      </c>
      <c r="B191" s="148" t="s">
        <v>1053</v>
      </c>
      <c r="C191" s="112"/>
      <c r="D191" s="129"/>
      <c r="E191" s="129"/>
      <c r="F191" s="190">
        <f t="shared" si="34"/>
        <v>0</v>
      </c>
      <c r="G191" s="190">
        <f t="shared" si="44"/>
        <v>0</v>
      </c>
      <c r="H191" s="171">
        <f t="shared" si="45"/>
        <v>0</v>
      </c>
      <c r="I191" s="151" t="s">
        <v>1774</v>
      </c>
    </row>
    <row r="192" spans="1:9" s="444" customFormat="1" ht="26">
      <c r="A192" s="13" t="s">
        <v>742</v>
      </c>
      <c r="B192" s="12" t="s">
        <v>1025</v>
      </c>
      <c r="C192" s="13" t="s">
        <v>1026</v>
      </c>
      <c r="D192" s="174">
        <v>18</v>
      </c>
      <c r="E192" s="174">
        <v>50</v>
      </c>
      <c r="F192" s="44">
        <f t="shared" si="34"/>
        <v>900</v>
      </c>
      <c r="G192" s="44">
        <f t="shared" si="44"/>
        <v>855</v>
      </c>
      <c r="H192" s="247">
        <f t="shared" si="45"/>
        <v>45</v>
      </c>
      <c r="I192" s="890"/>
    </row>
    <row r="193" spans="1:21" s="317" customFormat="1" ht="18" hidden="1" customHeight="1">
      <c r="A193" s="112" t="s">
        <v>742</v>
      </c>
      <c r="B193" s="148" t="s">
        <v>1054</v>
      </c>
      <c r="C193" s="112"/>
      <c r="D193" s="129"/>
      <c r="E193" s="129"/>
      <c r="F193" s="190">
        <f t="shared" si="34"/>
        <v>0</v>
      </c>
      <c r="G193" s="190">
        <f t="shared" si="44"/>
        <v>0</v>
      </c>
      <c r="H193" s="171">
        <f t="shared" si="45"/>
        <v>0</v>
      </c>
      <c r="I193" s="326" t="s">
        <v>1774</v>
      </c>
    </row>
    <row r="194" spans="1:21" s="444" customFormat="1" ht="18" customHeight="1">
      <c r="A194" s="26">
        <v>5</v>
      </c>
      <c r="B194" s="55" t="s">
        <v>17</v>
      </c>
      <c r="C194" s="26"/>
      <c r="D194" s="34"/>
      <c r="E194" s="34"/>
      <c r="F194" s="23">
        <f>+F195+F196+F197+F203+F204+F207+F209+F212+F215+F217+F218+F219+F220+F221+F222+F223+F224+F225</f>
        <v>8168</v>
      </c>
      <c r="G194" s="23">
        <f>+G195+G196+G197+G203+G204+G207+G209+G212+G215+G217+G218+G219+G220+G221+G222+G223+G224+G225</f>
        <v>7760</v>
      </c>
      <c r="H194" s="245">
        <f t="shared" ref="H194" si="48">+H195+H196+H197+H203+H204+H207+H209+H212+H215+H217+H218+H219+H220+H221+H222+H223+H224+H225</f>
        <v>408</v>
      </c>
      <c r="I194" s="890"/>
    </row>
    <row r="195" spans="1:21" s="143" customFormat="1" hidden="1">
      <c r="A195" s="112" t="s">
        <v>742</v>
      </c>
      <c r="B195" s="148" t="s">
        <v>1027</v>
      </c>
      <c r="C195" s="112"/>
      <c r="D195" s="129"/>
      <c r="E195" s="129"/>
      <c r="F195" s="190">
        <f t="shared" si="34"/>
        <v>0</v>
      </c>
      <c r="G195" s="190">
        <f t="shared" si="44"/>
        <v>0</v>
      </c>
      <c r="H195" s="171">
        <f t="shared" si="45"/>
        <v>0</v>
      </c>
      <c r="I195" s="151" t="s">
        <v>1774</v>
      </c>
    </row>
    <row r="196" spans="1:21" s="319" customFormat="1" hidden="1">
      <c r="A196" s="112" t="s">
        <v>742</v>
      </c>
      <c r="B196" s="148" t="s">
        <v>1016</v>
      </c>
      <c r="C196" s="112" t="s">
        <v>1028</v>
      </c>
      <c r="D196" s="129"/>
      <c r="E196" s="129">
        <v>312</v>
      </c>
      <c r="F196" s="190">
        <f t="shared" si="34"/>
        <v>0</v>
      </c>
      <c r="G196" s="190">
        <f t="shared" si="44"/>
        <v>0</v>
      </c>
      <c r="H196" s="171">
        <f t="shared" si="45"/>
        <v>0</v>
      </c>
      <c r="I196" s="151" t="s">
        <v>1774</v>
      </c>
    </row>
    <row r="197" spans="1:21" s="8" customFormat="1" ht="26">
      <c r="A197" s="13" t="s">
        <v>742</v>
      </c>
      <c r="B197" s="12" t="s">
        <v>1952</v>
      </c>
      <c r="C197" s="13" t="s">
        <v>1030</v>
      </c>
      <c r="D197" s="174">
        <v>1</v>
      </c>
      <c r="E197" s="174">
        <f>+E198</f>
        <v>618</v>
      </c>
      <c r="F197" s="20">
        <f t="shared" ref="F197" si="49">SUM(F198:F202)</f>
        <v>618</v>
      </c>
      <c r="G197" s="44">
        <f t="shared" si="44"/>
        <v>587</v>
      </c>
      <c r="H197" s="247">
        <f t="shared" si="45"/>
        <v>31</v>
      </c>
      <c r="I197" s="890"/>
      <c r="J197" s="25"/>
      <c r="K197" s="25"/>
      <c r="L197" s="891"/>
      <c r="M197" s="25"/>
      <c r="N197" s="25">
        <v>560</v>
      </c>
      <c r="O197" s="25">
        <f>N197+K197</f>
        <v>560</v>
      </c>
      <c r="P197" s="891"/>
      <c r="Q197" s="25"/>
      <c r="R197" s="25"/>
      <c r="S197" s="25"/>
      <c r="T197" s="25"/>
      <c r="U197" s="87"/>
    </row>
    <row r="198" spans="1:21" s="111" customFormat="1" ht="18" hidden="1" customHeight="1">
      <c r="A198" s="614"/>
      <c r="B198" s="148" t="s">
        <v>1095</v>
      </c>
      <c r="C198" s="122" t="s">
        <v>1030</v>
      </c>
      <c r="D198" s="604">
        <v>1</v>
      </c>
      <c r="E198" s="620">
        <f>34+584</f>
        <v>618</v>
      </c>
      <c r="F198" s="155">
        <f>E198*D198</f>
        <v>618</v>
      </c>
      <c r="G198" s="190">
        <f t="shared" si="44"/>
        <v>587</v>
      </c>
      <c r="H198" s="171">
        <f t="shared" si="45"/>
        <v>31</v>
      </c>
      <c r="I198" s="151" t="s">
        <v>1774</v>
      </c>
      <c r="J198" s="114"/>
      <c r="K198" s="114"/>
      <c r="L198" s="157"/>
      <c r="M198" s="114"/>
      <c r="N198" s="114">
        <v>560</v>
      </c>
      <c r="O198" s="114">
        <f t="shared" ref="O198:O201" si="50">N198+K198</f>
        <v>560</v>
      </c>
      <c r="P198" s="157"/>
      <c r="Q198" s="114"/>
      <c r="R198" s="114"/>
      <c r="S198" s="114"/>
      <c r="T198" s="114"/>
      <c r="U198" s="156"/>
    </row>
    <row r="199" spans="1:21" s="111" customFormat="1" ht="18" hidden="1" customHeight="1">
      <c r="A199" s="614"/>
      <c r="B199" s="154" t="s">
        <v>1095</v>
      </c>
      <c r="C199" s="122" t="s">
        <v>1030</v>
      </c>
      <c r="D199" s="604"/>
      <c r="E199" s="604">
        <v>700</v>
      </c>
      <c r="F199" s="155">
        <f>E199*D199</f>
        <v>0</v>
      </c>
      <c r="G199" s="190">
        <f t="shared" si="44"/>
        <v>0</v>
      </c>
      <c r="H199" s="171">
        <f t="shared" si="45"/>
        <v>0</v>
      </c>
      <c r="I199" s="151" t="s">
        <v>1774</v>
      </c>
      <c r="J199" s="114"/>
      <c r="K199" s="114"/>
      <c r="L199" s="157"/>
      <c r="M199" s="114"/>
      <c r="N199" s="114">
        <v>560</v>
      </c>
      <c r="O199" s="114">
        <f t="shared" si="50"/>
        <v>560</v>
      </c>
      <c r="P199" s="157"/>
      <c r="Q199" s="114"/>
      <c r="R199" s="114"/>
      <c r="S199" s="114"/>
      <c r="T199" s="114"/>
      <c r="U199" s="156"/>
    </row>
    <row r="200" spans="1:21" s="111" customFormat="1" ht="18" hidden="1" customHeight="1">
      <c r="A200" s="614"/>
      <c r="B200" s="154" t="s">
        <v>1096</v>
      </c>
      <c r="C200" s="122" t="s">
        <v>1030</v>
      </c>
      <c r="D200" s="604"/>
      <c r="E200" s="604">
        <v>700</v>
      </c>
      <c r="F200" s="155">
        <f>E200*D200</f>
        <v>0</v>
      </c>
      <c r="G200" s="190">
        <f t="shared" si="44"/>
        <v>0</v>
      </c>
      <c r="H200" s="171">
        <f t="shared" si="45"/>
        <v>0</v>
      </c>
      <c r="I200" s="151" t="s">
        <v>1774</v>
      </c>
      <c r="J200" s="114"/>
      <c r="K200" s="114"/>
      <c r="L200" s="157"/>
      <c r="M200" s="114"/>
      <c r="N200" s="114">
        <v>560</v>
      </c>
      <c r="O200" s="114">
        <f t="shared" si="50"/>
        <v>560</v>
      </c>
      <c r="P200" s="157"/>
      <c r="Q200" s="114"/>
      <c r="R200" s="114"/>
      <c r="S200" s="114"/>
      <c r="T200" s="114"/>
      <c r="U200" s="156"/>
    </row>
    <row r="201" spans="1:21" s="111" customFormat="1" ht="18" hidden="1" customHeight="1">
      <c r="A201" s="614"/>
      <c r="B201" s="154" t="s">
        <v>1097</v>
      </c>
      <c r="C201" s="122" t="s">
        <v>1030</v>
      </c>
      <c r="D201" s="604"/>
      <c r="E201" s="604">
        <v>700</v>
      </c>
      <c r="F201" s="155">
        <f>E201*D201</f>
        <v>0</v>
      </c>
      <c r="G201" s="190">
        <f t="shared" si="44"/>
        <v>0</v>
      </c>
      <c r="H201" s="171">
        <f t="shared" si="45"/>
        <v>0</v>
      </c>
      <c r="I201" s="151" t="s">
        <v>1774</v>
      </c>
      <c r="J201" s="114"/>
      <c r="K201" s="114"/>
      <c r="L201" s="157"/>
      <c r="M201" s="114"/>
      <c r="N201" s="114">
        <v>560</v>
      </c>
      <c r="O201" s="114">
        <f t="shared" si="50"/>
        <v>560</v>
      </c>
      <c r="P201" s="157"/>
      <c r="Q201" s="114"/>
      <c r="R201" s="114"/>
      <c r="S201" s="114"/>
      <c r="T201" s="114"/>
      <c r="U201" s="156"/>
    </row>
    <row r="202" spans="1:21" s="319" customFormat="1" hidden="1">
      <c r="A202" s="375"/>
      <c r="B202" s="194" t="s">
        <v>1098</v>
      </c>
      <c r="C202" s="193" t="s">
        <v>1030</v>
      </c>
      <c r="D202" s="182"/>
      <c r="E202" s="182">
        <v>700</v>
      </c>
      <c r="F202" s="201">
        <f>E202*D202</f>
        <v>0</v>
      </c>
      <c r="G202" s="195">
        <f t="shared" si="44"/>
        <v>0</v>
      </c>
      <c r="H202" s="247">
        <f t="shared" si="45"/>
        <v>0</v>
      </c>
      <c r="I202" s="615" t="s">
        <v>1774</v>
      </c>
    </row>
    <row r="203" spans="1:21" s="444" customFormat="1" ht="39">
      <c r="A203" s="13" t="s">
        <v>742</v>
      </c>
      <c r="B203" s="12" t="s">
        <v>1031</v>
      </c>
      <c r="C203" s="13" t="s">
        <v>874</v>
      </c>
      <c r="D203" s="174">
        <v>4</v>
      </c>
      <c r="E203" s="174">
        <v>200</v>
      </c>
      <c r="F203" s="44">
        <f t="shared" si="34"/>
        <v>800</v>
      </c>
      <c r="G203" s="44">
        <f t="shared" si="44"/>
        <v>760</v>
      </c>
      <c r="H203" s="247">
        <f t="shared" si="45"/>
        <v>40</v>
      </c>
      <c r="I203" s="890"/>
    </row>
    <row r="204" spans="1:21" s="111" customFormat="1" ht="52" hidden="1" outlineLevel="2">
      <c r="A204" s="112" t="s">
        <v>742</v>
      </c>
      <c r="B204" s="148" t="s">
        <v>1020</v>
      </c>
      <c r="C204" s="112"/>
      <c r="D204" s="604"/>
      <c r="E204" s="604"/>
      <c r="F204" s="190">
        <f t="shared" ref="F204" si="51">SUM(F205:F206)</f>
        <v>0</v>
      </c>
      <c r="G204" s="190">
        <f t="shared" si="44"/>
        <v>0</v>
      </c>
      <c r="H204" s="171">
        <f t="shared" si="45"/>
        <v>0</v>
      </c>
      <c r="I204" s="151" t="s">
        <v>1774</v>
      </c>
    </row>
    <row r="205" spans="1:21" s="141" customFormat="1" ht="39" hidden="1" outlineLevel="2">
      <c r="A205" s="112"/>
      <c r="B205" s="148" t="s">
        <v>1099</v>
      </c>
      <c r="C205" s="112" t="s">
        <v>903</v>
      </c>
      <c r="D205" s="129"/>
      <c r="E205" s="129">
        <v>300</v>
      </c>
      <c r="F205" s="190">
        <f t="shared" ref="F205" si="52">D205*E205</f>
        <v>0</v>
      </c>
      <c r="G205" s="190">
        <f t="shared" si="44"/>
        <v>0</v>
      </c>
      <c r="H205" s="171">
        <f t="shared" si="45"/>
        <v>0</v>
      </c>
      <c r="I205" s="151" t="s">
        <v>1774</v>
      </c>
    </row>
    <row r="206" spans="1:21" s="319" customFormat="1" ht="49.5" hidden="1" customHeight="1" collapsed="1">
      <c r="A206" s="112"/>
      <c r="B206" s="148" t="s">
        <v>1100</v>
      </c>
      <c r="C206" s="112" t="s">
        <v>903</v>
      </c>
      <c r="D206" s="129"/>
      <c r="E206" s="129">
        <v>300</v>
      </c>
      <c r="F206" s="190">
        <f>D206*E206</f>
        <v>0</v>
      </c>
      <c r="G206" s="190">
        <f t="shared" si="44"/>
        <v>0</v>
      </c>
      <c r="H206" s="171">
        <f t="shared" si="45"/>
        <v>0</v>
      </c>
      <c r="I206" s="151" t="s">
        <v>1774</v>
      </c>
    </row>
    <row r="207" spans="1:21" ht="52" outlineLevel="1">
      <c r="A207" s="13" t="s">
        <v>742</v>
      </c>
      <c r="B207" s="12" t="s">
        <v>1953</v>
      </c>
      <c r="C207" s="13" t="s">
        <v>1018</v>
      </c>
      <c r="D207" s="174">
        <v>1</v>
      </c>
      <c r="E207" s="174">
        <f>+E208</f>
        <v>700</v>
      </c>
      <c r="F207" s="20">
        <f>SUM(F208:F208)</f>
        <v>700</v>
      </c>
      <c r="G207" s="44">
        <f>ROUND(F207*95%,0)</f>
        <v>665</v>
      </c>
      <c r="H207" s="247">
        <f t="shared" si="45"/>
        <v>35</v>
      </c>
      <c r="I207" s="890"/>
    </row>
    <row r="208" spans="1:21" s="319" customFormat="1" ht="26" hidden="1">
      <c r="A208" s="112"/>
      <c r="B208" s="148" t="s">
        <v>1803</v>
      </c>
      <c r="C208" s="112" t="s">
        <v>1018</v>
      </c>
      <c r="D208" s="129">
        <v>1</v>
      </c>
      <c r="E208" s="129">
        <v>700</v>
      </c>
      <c r="F208" s="190">
        <f t="shared" ref="F208" si="53">D208*E208</f>
        <v>700</v>
      </c>
      <c r="G208" s="190">
        <f t="shared" si="44"/>
        <v>665</v>
      </c>
      <c r="H208" s="171">
        <f t="shared" si="45"/>
        <v>35</v>
      </c>
      <c r="I208" s="151" t="s">
        <v>1774</v>
      </c>
    </row>
    <row r="209" spans="1:9" s="444" customFormat="1" ht="52">
      <c r="A209" s="13" t="s">
        <v>742</v>
      </c>
      <c r="B209" s="12" t="s">
        <v>1033</v>
      </c>
      <c r="C209" s="13"/>
      <c r="D209" s="174"/>
      <c r="E209" s="174"/>
      <c r="F209" s="20">
        <f t="shared" ref="F209" si="54">SUM(F210:F211)</f>
        <v>700</v>
      </c>
      <c r="G209" s="44">
        <f t="shared" si="44"/>
        <v>665</v>
      </c>
      <c r="H209" s="247">
        <f t="shared" si="45"/>
        <v>35</v>
      </c>
      <c r="I209" s="890"/>
    </row>
    <row r="210" spans="1:9" s="143" customFormat="1" ht="20.149999999999999" hidden="1" customHeight="1">
      <c r="A210" s="112"/>
      <c r="B210" s="154" t="s">
        <v>1804</v>
      </c>
      <c r="C210" s="122" t="s">
        <v>1034</v>
      </c>
      <c r="D210" s="604">
        <v>1</v>
      </c>
      <c r="E210" s="604">
        <v>700</v>
      </c>
      <c r="F210" s="155">
        <f t="shared" ref="F210:F211" si="55">E210*D210</f>
        <v>700</v>
      </c>
      <c r="G210" s="190">
        <f t="shared" si="44"/>
        <v>665</v>
      </c>
      <c r="H210" s="171">
        <f t="shared" si="45"/>
        <v>35</v>
      </c>
      <c r="I210" s="151" t="s">
        <v>1774</v>
      </c>
    </row>
    <row r="211" spans="1:9" s="143" customFormat="1" ht="30" hidden="1" customHeight="1">
      <c r="A211" s="112"/>
      <c r="B211" s="158" t="s">
        <v>1101</v>
      </c>
      <c r="C211" s="122" t="s">
        <v>1034</v>
      </c>
      <c r="D211" s="604"/>
      <c r="E211" s="604">
        <v>1000</v>
      </c>
      <c r="F211" s="155">
        <f t="shared" si="55"/>
        <v>0</v>
      </c>
      <c r="G211" s="190">
        <f t="shared" si="44"/>
        <v>0</v>
      </c>
      <c r="H211" s="171">
        <f t="shared" si="45"/>
        <v>0</v>
      </c>
      <c r="I211" s="151" t="s">
        <v>1774</v>
      </c>
    </row>
    <row r="212" spans="1:9" s="444" customFormat="1" ht="26" outlineLevel="1">
      <c r="A212" s="13" t="s">
        <v>742</v>
      </c>
      <c r="B212" s="12" t="s">
        <v>1021</v>
      </c>
      <c r="C212" s="13" t="str">
        <f>+C213</f>
        <v>CLB</v>
      </c>
      <c r="D212" s="174">
        <f>+D213+D214</f>
        <v>2</v>
      </c>
      <c r="E212" s="174">
        <f>+E213</f>
        <v>100</v>
      </c>
      <c r="F212" s="20">
        <f t="shared" ref="F212" si="56">SUM(F213:F214)</f>
        <v>200</v>
      </c>
      <c r="G212" s="44">
        <f t="shared" si="44"/>
        <v>190</v>
      </c>
      <c r="H212" s="247">
        <f t="shared" si="45"/>
        <v>10</v>
      </c>
      <c r="I212" s="890"/>
    </row>
    <row r="213" spans="1:9" s="143" customFormat="1" ht="20.149999999999999" hidden="1" customHeight="1" outlineLevel="1">
      <c r="A213" s="112"/>
      <c r="B213" s="148" t="s">
        <v>2326</v>
      </c>
      <c r="C213" s="112" t="s">
        <v>1022</v>
      </c>
      <c r="D213" s="129">
        <v>1</v>
      </c>
      <c r="E213" s="129">
        <v>100</v>
      </c>
      <c r="F213" s="190">
        <f t="shared" ref="F213:F214" si="57">D213*E213</f>
        <v>100</v>
      </c>
      <c r="G213" s="190">
        <f t="shared" si="44"/>
        <v>95</v>
      </c>
      <c r="H213" s="171">
        <f t="shared" si="45"/>
        <v>5</v>
      </c>
      <c r="I213" s="151" t="s">
        <v>1774</v>
      </c>
    </row>
    <row r="214" spans="1:9" s="319" customFormat="1" ht="20.149999999999999" hidden="1" customHeight="1">
      <c r="A214" s="112"/>
      <c r="B214" s="148" t="s">
        <v>2327</v>
      </c>
      <c r="C214" s="112" t="s">
        <v>1022</v>
      </c>
      <c r="D214" s="129">
        <v>1</v>
      </c>
      <c r="E214" s="129">
        <v>100</v>
      </c>
      <c r="F214" s="190">
        <f t="shared" si="57"/>
        <v>100</v>
      </c>
      <c r="G214" s="190">
        <f t="shared" si="44"/>
        <v>95</v>
      </c>
      <c r="H214" s="171">
        <f t="shared" si="45"/>
        <v>5</v>
      </c>
      <c r="I214" s="151" t="s">
        <v>1774</v>
      </c>
    </row>
    <row r="215" spans="1:9" s="444" customFormat="1" ht="18" customHeight="1">
      <c r="A215" s="13" t="s">
        <v>742</v>
      </c>
      <c r="B215" s="12" t="s">
        <v>1038</v>
      </c>
      <c r="C215" s="13" t="s">
        <v>1040</v>
      </c>
      <c r="D215" s="174">
        <v>31</v>
      </c>
      <c r="E215" s="174">
        <v>150</v>
      </c>
      <c r="F215" s="20">
        <f t="shared" ref="F215:H215" si="58">+F216</f>
        <v>4650</v>
      </c>
      <c r="G215" s="20">
        <f t="shared" si="58"/>
        <v>4418</v>
      </c>
      <c r="H215" s="179">
        <f t="shared" si="58"/>
        <v>232</v>
      </c>
      <c r="I215" s="890"/>
    </row>
    <row r="216" spans="1:9" s="143" customFormat="1" ht="18" hidden="1" customHeight="1">
      <c r="A216" s="112"/>
      <c r="B216" s="148" t="s">
        <v>1802</v>
      </c>
      <c r="C216" s="112" t="s">
        <v>1040</v>
      </c>
      <c r="D216" s="129">
        <v>31</v>
      </c>
      <c r="E216" s="129">
        <v>150</v>
      </c>
      <c r="F216" s="190">
        <f t="shared" ref="F216:F235" si="59">D216*E216</f>
        <v>4650</v>
      </c>
      <c r="G216" s="190">
        <f t="shared" ref="G216" si="60">ROUND(F216*95%,0)</f>
        <v>4418</v>
      </c>
      <c r="H216" s="171">
        <f t="shared" ref="H216" si="61">F216-G216</f>
        <v>232</v>
      </c>
      <c r="I216" s="151" t="s">
        <v>1774</v>
      </c>
    </row>
    <row r="217" spans="1:9" s="143" customFormat="1" hidden="1">
      <c r="A217" s="112" t="s">
        <v>742</v>
      </c>
      <c r="B217" s="148" t="s">
        <v>705</v>
      </c>
      <c r="C217" s="112"/>
      <c r="D217" s="129"/>
      <c r="E217" s="129"/>
      <c r="F217" s="190">
        <f t="shared" si="59"/>
        <v>0</v>
      </c>
      <c r="G217" s="190">
        <f t="shared" si="44"/>
        <v>0</v>
      </c>
      <c r="H217" s="171">
        <f t="shared" si="45"/>
        <v>0</v>
      </c>
      <c r="I217" s="151" t="s">
        <v>1774</v>
      </c>
    </row>
    <row r="218" spans="1:9" s="143" customFormat="1" ht="26" hidden="1">
      <c r="A218" s="112" t="s">
        <v>742</v>
      </c>
      <c r="B218" s="148" t="s">
        <v>1044</v>
      </c>
      <c r="C218" s="112" t="s">
        <v>1045</v>
      </c>
      <c r="D218" s="129"/>
      <c r="E218" s="129">
        <v>3000</v>
      </c>
      <c r="F218" s="190">
        <f t="shared" si="59"/>
        <v>0</v>
      </c>
      <c r="G218" s="190">
        <f t="shared" si="44"/>
        <v>0</v>
      </c>
      <c r="H218" s="171">
        <f t="shared" si="45"/>
        <v>0</v>
      </c>
      <c r="I218" s="151" t="s">
        <v>1774</v>
      </c>
    </row>
    <row r="219" spans="1:9" s="143" customFormat="1" ht="26" hidden="1">
      <c r="A219" s="112" t="s">
        <v>742</v>
      </c>
      <c r="B219" s="148" t="s">
        <v>1046</v>
      </c>
      <c r="C219" s="112" t="s">
        <v>1047</v>
      </c>
      <c r="D219" s="129"/>
      <c r="E219" s="129">
        <v>1500</v>
      </c>
      <c r="F219" s="190">
        <f t="shared" si="59"/>
        <v>0</v>
      </c>
      <c r="G219" s="190">
        <f t="shared" si="44"/>
        <v>0</v>
      </c>
      <c r="H219" s="171">
        <f t="shared" si="45"/>
        <v>0</v>
      </c>
      <c r="I219" s="151" t="s">
        <v>1774</v>
      </c>
    </row>
    <row r="220" spans="1:9" s="143" customFormat="1" ht="26" hidden="1">
      <c r="A220" s="112" t="s">
        <v>742</v>
      </c>
      <c r="B220" s="148" t="s">
        <v>1048</v>
      </c>
      <c r="C220" s="112" t="s">
        <v>902</v>
      </c>
      <c r="D220" s="129"/>
      <c r="E220" s="129">
        <v>200</v>
      </c>
      <c r="F220" s="190">
        <f t="shared" si="59"/>
        <v>0</v>
      </c>
      <c r="G220" s="190">
        <f t="shared" si="44"/>
        <v>0</v>
      </c>
      <c r="H220" s="171">
        <f t="shared" si="45"/>
        <v>0</v>
      </c>
      <c r="I220" s="151" t="s">
        <v>1774</v>
      </c>
    </row>
    <row r="221" spans="1:9" s="143" customFormat="1" ht="52" hidden="1">
      <c r="A221" s="112" t="s">
        <v>742</v>
      </c>
      <c r="B221" s="148" t="s">
        <v>1017</v>
      </c>
      <c r="C221" s="112" t="s">
        <v>1018</v>
      </c>
      <c r="D221" s="129"/>
      <c r="E221" s="129">
        <v>500</v>
      </c>
      <c r="F221" s="190">
        <f t="shared" si="59"/>
        <v>0</v>
      </c>
      <c r="G221" s="190">
        <f t="shared" si="44"/>
        <v>0</v>
      </c>
      <c r="H221" s="171">
        <f t="shared" si="45"/>
        <v>0</v>
      </c>
      <c r="I221" s="151" t="s">
        <v>1774</v>
      </c>
    </row>
    <row r="222" spans="1:9" s="143" customFormat="1" hidden="1">
      <c r="A222" s="112" t="s">
        <v>742</v>
      </c>
      <c r="B222" s="148" t="s">
        <v>706</v>
      </c>
      <c r="C222" s="112"/>
      <c r="D222" s="129"/>
      <c r="E222" s="129"/>
      <c r="F222" s="190">
        <f t="shared" si="59"/>
        <v>0</v>
      </c>
      <c r="G222" s="190">
        <f t="shared" si="44"/>
        <v>0</v>
      </c>
      <c r="H222" s="171">
        <f t="shared" si="45"/>
        <v>0</v>
      </c>
      <c r="I222" s="151" t="s">
        <v>1774</v>
      </c>
    </row>
    <row r="223" spans="1:9" s="143" customFormat="1" hidden="1">
      <c r="A223" s="112" t="s">
        <v>742</v>
      </c>
      <c r="B223" s="148" t="s">
        <v>1051</v>
      </c>
      <c r="C223" s="112" t="s">
        <v>1052</v>
      </c>
      <c r="D223" s="129"/>
      <c r="E223" s="129">
        <v>30</v>
      </c>
      <c r="F223" s="190">
        <f t="shared" si="59"/>
        <v>0</v>
      </c>
      <c r="G223" s="190">
        <f t="shared" si="44"/>
        <v>0</v>
      </c>
      <c r="H223" s="171">
        <f t="shared" si="45"/>
        <v>0</v>
      </c>
      <c r="I223" s="151" t="s">
        <v>1774</v>
      </c>
    </row>
    <row r="224" spans="1:9" s="143" customFormat="1" ht="26" hidden="1">
      <c r="A224" s="112" t="s">
        <v>742</v>
      </c>
      <c r="B224" s="148" t="s">
        <v>1053</v>
      </c>
      <c r="C224" s="112"/>
      <c r="D224" s="129"/>
      <c r="E224" s="129"/>
      <c r="F224" s="190">
        <f t="shared" si="59"/>
        <v>0</v>
      </c>
      <c r="G224" s="190">
        <f t="shared" si="44"/>
        <v>0</v>
      </c>
      <c r="H224" s="171">
        <f t="shared" si="45"/>
        <v>0</v>
      </c>
      <c r="I224" s="151" t="s">
        <v>1774</v>
      </c>
    </row>
    <row r="225" spans="1:9" s="444" customFormat="1" ht="26">
      <c r="A225" s="13" t="s">
        <v>742</v>
      </c>
      <c r="B225" s="12" t="s">
        <v>1025</v>
      </c>
      <c r="C225" s="13" t="s">
        <v>1026</v>
      </c>
      <c r="D225" s="174">
        <v>10</v>
      </c>
      <c r="E225" s="174">
        <v>50</v>
      </c>
      <c r="F225" s="44">
        <f t="shared" si="59"/>
        <v>500</v>
      </c>
      <c r="G225" s="44">
        <f t="shared" si="44"/>
        <v>475</v>
      </c>
      <c r="H225" s="247">
        <f t="shared" si="45"/>
        <v>25</v>
      </c>
      <c r="I225" s="890"/>
    </row>
    <row r="226" spans="1:9" s="317" customFormat="1" ht="18" hidden="1" customHeight="1">
      <c r="A226" s="112" t="s">
        <v>742</v>
      </c>
      <c r="B226" s="148" t="s">
        <v>1054</v>
      </c>
      <c r="C226" s="112"/>
      <c r="D226" s="129"/>
      <c r="E226" s="129"/>
      <c r="F226" s="190">
        <f t="shared" si="59"/>
        <v>0</v>
      </c>
      <c r="G226" s="190">
        <f t="shared" si="44"/>
        <v>0</v>
      </c>
      <c r="H226" s="171">
        <f t="shared" si="45"/>
        <v>0</v>
      </c>
      <c r="I226" s="151" t="s">
        <v>1774</v>
      </c>
    </row>
    <row r="227" spans="1:9" s="444" customFormat="1" ht="18" customHeight="1">
      <c r="A227" s="26">
        <v>6</v>
      </c>
      <c r="B227" s="55" t="s">
        <v>15</v>
      </c>
      <c r="C227" s="26"/>
      <c r="D227" s="34"/>
      <c r="E227" s="34"/>
      <c r="F227" s="23">
        <f>+F228+F230+F231+F233+F234+F236+F238+F242+F247+F249+F250+F251+F252+F253+F254+F255+F256+F257+F258</f>
        <v>4731</v>
      </c>
      <c r="G227" s="23">
        <f t="shared" ref="G227:H227" si="62">+G228+G230+G231+G233+G234+G236+G238+G242+G247+G249+G250+G251+G252+G253+G254+G255+G256+G257+G258</f>
        <v>4494</v>
      </c>
      <c r="H227" s="245">
        <f t="shared" si="62"/>
        <v>237</v>
      </c>
      <c r="I227" s="890"/>
    </row>
    <row r="228" spans="1:9" s="111" customFormat="1" ht="18" hidden="1" customHeight="1">
      <c r="A228" s="112" t="s">
        <v>742</v>
      </c>
      <c r="B228" s="148" t="s">
        <v>1027</v>
      </c>
      <c r="C228" s="112"/>
      <c r="D228" s="129"/>
      <c r="E228" s="129"/>
      <c r="F228" s="155">
        <f>SUM(F229:F229)</f>
        <v>0</v>
      </c>
      <c r="G228" s="190">
        <f t="shared" si="44"/>
        <v>0</v>
      </c>
      <c r="H228" s="171">
        <f t="shared" si="45"/>
        <v>0</v>
      </c>
      <c r="I228" s="151" t="s">
        <v>1774</v>
      </c>
    </row>
    <row r="229" spans="1:9" s="143" customFormat="1" hidden="1">
      <c r="A229" s="108"/>
      <c r="B229" s="148" t="s">
        <v>1102</v>
      </c>
      <c r="C229" s="112" t="s">
        <v>903</v>
      </c>
      <c r="D229" s="129"/>
      <c r="E229" s="129">
        <v>300</v>
      </c>
      <c r="F229" s="155">
        <f t="shared" ref="F229" si="63">E229*D229</f>
        <v>0</v>
      </c>
      <c r="G229" s="190">
        <f t="shared" si="44"/>
        <v>0</v>
      </c>
      <c r="H229" s="171">
        <f t="shared" si="45"/>
        <v>0</v>
      </c>
      <c r="I229" s="151" t="s">
        <v>1774</v>
      </c>
    </row>
    <row r="230" spans="1:9" s="143" customFormat="1" hidden="1">
      <c r="A230" s="112" t="s">
        <v>742</v>
      </c>
      <c r="B230" s="148" t="s">
        <v>1016</v>
      </c>
      <c r="C230" s="112" t="s">
        <v>1028</v>
      </c>
      <c r="D230" s="129"/>
      <c r="E230" s="129">
        <v>312</v>
      </c>
      <c r="F230" s="190">
        <f t="shared" si="59"/>
        <v>0</v>
      </c>
      <c r="G230" s="190">
        <f t="shared" si="44"/>
        <v>0</v>
      </c>
      <c r="H230" s="171">
        <f t="shared" si="45"/>
        <v>0</v>
      </c>
      <c r="I230" s="151" t="s">
        <v>1774</v>
      </c>
    </row>
    <row r="231" spans="1:9" s="153" customFormat="1" ht="26" hidden="1" outlineLevel="2">
      <c r="A231" s="112" t="s">
        <v>742</v>
      </c>
      <c r="B231" s="148" t="s">
        <v>1029</v>
      </c>
      <c r="C231" s="112"/>
      <c r="D231" s="129"/>
      <c r="E231" s="129"/>
      <c r="F231" s="155">
        <f t="shared" ref="F231" si="64">+F232</f>
        <v>0</v>
      </c>
      <c r="G231" s="190">
        <f t="shared" si="44"/>
        <v>0</v>
      </c>
      <c r="H231" s="171">
        <f t="shared" si="45"/>
        <v>0</v>
      </c>
      <c r="I231" s="151" t="s">
        <v>1774</v>
      </c>
    </row>
    <row r="232" spans="1:9" s="319" customFormat="1" ht="14" hidden="1" collapsed="1">
      <c r="A232" s="621"/>
      <c r="B232" s="148" t="s">
        <v>1103</v>
      </c>
      <c r="C232" s="112" t="s">
        <v>1104</v>
      </c>
      <c r="D232" s="129"/>
      <c r="E232" s="604">
        <v>700</v>
      </c>
      <c r="F232" s="190">
        <f>D232*E232</f>
        <v>0</v>
      </c>
      <c r="G232" s="190">
        <f t="shared" si="44"/>
        <v>0</v>
      </c>
      <c r="H232" s="171">
        <f t="shared" si="45"/>
        <v>0</v>
      </c>
      <c r="I232" s="151" t="s">
        <v>1774</v>
      </c>
    </row>
    <row r="233" spans="1:9" s="444" customFormat="1" ht="39">
      <c r="A233" s="13" t="s">
        <v>742</v>
      </c>
      <c r="B233" s="12" t="s">
        <v>1031</v>
      </c>
      <c r="C233" s="13" t="s">
        <v>874</v>
      </c>
      <c r="D233" s="174">
        <v>3</v>
      </c>
      <c r="E233" s="174">
        <v>200</v>
      </c>
      <c r="F233" s="44">
        <f t="shared" si="59"/>
        <v>600</v>
      </c>
      <c r="G233" s="44">
        <f t="shared" si="44"/>
        <v>570</v>
      </c>
      <c r="H233" s="247">
        <f t="shared" si="45"/>
        <v>30</v>
      </c>
      <c r="I233" s="890"/>
    </row>
    <row r="234" spans="1:9" s="111" customFormat="1" ht="52" hidden="1">
      <c r="A234" s="112" t="s">
        <v>742</v>
      </c>
      <c r="B234" s="148" t="s">
        <v>1020</v>
      </c>
      <c r="C234" s="112" t="s">
        <v>903</v>
      </c>
      <c r="D234" s="604"/>
      <c r="E234" s="604"/>
      <c r="F234" s="190">
        <f t="shared" ref="F234" si="65">+F235</f>
        <v>0</v>
      </c>
      <c r="G234" s="190">
        <f t="shared" si="44"/>
        <v>0</v>
      </c>
      <c r="H234" s="171">
        <f t="shared" si="45"/>
        <v>0</v>
      </c>
      <c r="I234" s="151" t="s">
        <v>1774</v>
      </c>
    </row>
    <row r="235" spans="1:9" s="319" customFormat="1" ht="26" hidden="1">
      <c r="A235" s="112"/>
      <c r="B235" s="148" t="s">
        <v>1105</v>
      </c>
      <c r="C235" s="112" t="s">
        <v>903</v>
      </c>
      <c r="D235" s="129"/>
      <c r="E235" s="129">
        <v>300</v>
      </c>
      <c r="F235" s="190">
        <f t="shared" si="59"/>
        <v>0</v>
      </c>
      <c r="G235" s="190">
        <f t="shared" si="44"/>
        <v>0</v>
      </c>
      <c r="H235" s="171">
        <f t="shared" si="45"/>
        <v>0</v>
      </c>
      <c r="I235" s="151" t="s">
        <v>1774</v>
      </c>
    </row>
    <row r="236" spans="1:9" ht="52">
      <c r="A236" s="13" t="s">
        <v>742</v>
      </c>
      <c r="B236" s="12" t="s">
        <v>1032</v>
      </c>
      <c r="C236" s="13"/>
      <c r="D236" s="174"/>
      <c r="E236" s="174"/>
      <c r="F236" s="44">
        <f>+F237</f>
        <v>431</v>
      </c>
      <c r="G236" s="44">
        <f t="shared" ref="G236:H236" si="66">+G237</f>
        <v>408</v>
      </c>
      <c r="H236" s="247">
        <f t="shared" si="66"/>
        <v>23</v>
      </c>
      <c r="I236" s="890"/>
    </row>
    <row r="237" spans="1:9" s="143" customFormat="1" ht="26" hidden="1">
      <c r="A237" s="112"/>
      <c r="B237" s="148" t="s">
        <v>1805</v>
      </c>
      <c r="C237" s="112" t="s">
        <v>1018</v>
      </c>
      <c r="D237" s="129">
        <v>1</v>
      </c>
      <c r="E237" s="616">
        <f>46+385</f>
        <v>431</v>
      </c>
      <c r="F237" s="190">
        <f t="shared" ref="F237" si="67">D237*E237</f>
        <v>431</v>
      </c>
      <c r="G237" s="190">
        <f>ROUND(F237*95%,0)-1</f>
        <v>408</v>
      </c>
      <c r="H237" s="171">
        <f t="shared" ref="H237" si="68">F237-G237</f>
        <v>23</v>
      </c>
      <c r="I237" s="151" t="s">
        <v>1774</v>
      </c>
    </row>
    <row r="238" spans="1:9" s="111" customFormat="1" ht="52" hidden="1">
      <c r="A238" s="112" t="s">
        <v>742</v>
      </c>
      <c r="B238" s="148" t="s">
        <v>1033</v>
      </c>
      <c r="C238" s="112"/>
      <c r="D238" s="129"/>
      <c r="E238" s="129"/>
      <c r="F238" s="155">
        <f t="shared" ref="F238" si="69">SUM(F239:F241)</f>
        <v>0</v>
      </c>
      <c r="G238" s="190">
        <f t="shared" si="44"/>
        <v>0</v>
      </c>
      <c r="H238" s="171">
        <f t="shared" si="45"/>
        <v>0</v>
      </c>
      <c r="I238" s="151" t="s">
        <v>1774</v>
      </c>
    </row>
    <row r="239" spans="1:9" s="111" customFormat="1" ht="26" hidden="1">
      <c r="A239" s="112"/>
      <c r="B239" s="148" t="s">
        <v>1106</v>
      </c>
      <c r="C239" s="112" t="s">
        <v>1034</v>
      </c>
      <c r="D239" s="129"/>
      <c r="E239" s="129">
        <v>500</v>
      </c>
      <c r="F239" s="155">
        <f t="shared" ref="F239:F241" si="70">E239*D239</f>
        <v>0</v>
      </c>
      <c r="G239" s="190">
        <f t="shared" si="44"/>
        <v>0</v>
      </c>
      <c r="H239" s="171">
        <f t="shared" si="45"/>
        <v>0</v>
      </c>
      <c r="I239" s="151" t="s">
        <v>1774</v>
      </c>
    </row>
    <row r="240" spans="1:9" s="111" customFormat="1" ht="26" hidden="1">
      <c r="A240" s="112"/>
      <c r="B240" s="148" t="s">
        <v>1107</v>
      </c>
      <c r="C240" s="112" t="s">
        <v>1034</v>
      </c>
      <c r="D240" s="129"/>
      <c r="E240" s="129">
        <v>500</v>
      </c>
      <c r="F240" s="155">
        <f t="shared" si="70"/>
        <v>0</v>
      </c>
      <c r="G240" s="190">
        <f t="shared" si="44"/>
        <v>0</v>
      </c>
      <c r="H240" s="171">
        <f t="shared" si="45"/>
        <v>0</v>
      </c>
      <c r="I240" s="151" t="s">
        <v>1774</v>
      </c>
    </row>
    <row r="241" spans="1:9" s="143" customFormat="1" ht="26" hidden="1">
      <c r="A241" s="112"/>
      <c r="B241" s="148" t="s">
        <v>1108</v>
      </c>
      <c r="C241" s="112" t="s">
        <v>1034</v>
      </c>
      <c r="D241" s="129"/>
      <c r="E241" s="129">
        <v>500</v>
      </c>
      <c r="F241" s="155">
        <f t="shared" si="70"/>
        <v>0</v>
      </c>
      <c r="G241" s="190">
        <f t="shared" si="44"/>
        <v>0</v>
      </c>
      <c r="H241" s="171">
        <f t="shared" si="45"/>
        <v>0</v>
      </c>
      <c r="I241" s="151" t="s">
        <v>1774</v>
      </c>
    </row>
    <row r="242" spans="1:9" s="8" customFormat="1" ht="26">
      <c r="A242" s="13" t="s">
        <v>742</v>
      </c>
      <c r="B242" s="12" t="s">
        <v>1021</v>
      </c>
      <c r="C242" s="13" t="str">
        <f>+C243</f>
        <v>CLB</v>
      </c>
      <c r="D242" s="174">
        <f t="shared" ref="D242:E242" si="71">+D243</f>
        <v>1</v>
      </c>
      <c r="E242" s="174">
        <f t="shared" si="71"/>
        <v>100</v>
      </c>
      <c r="F242" s="20">
        <f>SUM(F243:F246)</f>
        <v>100</v>
      </c>
      <c r="G242" s="44">
        <f t="shared" si="44"/>
        <v>95</v>
      </c>
      <c r="H242" s="247">
        <f t="shared" si="45"/>
        <v>5</v>
      </c>
      <c r="I242" s="890"/>
    </row>
    <row r="243" spans="1:9" s="111" customFormat="1" ht="18" hidden="1" customHeight="1">
      <c r="A243" s="112"/>
      <c r="B243" s="148" t="s">
        <v>2328</v>
      </c>
      <c r="C243" s="112" t="s">
        <v>1022</v>
      </c>
      <c r="D243" s="129">
        <v>1</v>
      </c>
      <c r="E243" s="129">
        <v>100</v>
      </c>
      <c r="F243" s="155">
        <f t="shared" ref="F243:F246" si="72">E243*D243</f>
        <v>100</v>
      </c>
      <c r="G243" s="190">
        <f t="shared" si="44"/>
        <v>95</v>
      </c>
      <c r="H243" s="171">
        <f t="shared" si="45"/>
        <v>5</v>
      </c>
      <c r="I243" s="151" t="s">
        <v>1774</v>
      </c>
    </row>
    <row r="244" spans="1:9" s="111" customFormat="1" ht="18" hidden="1" customHeight="1">
      <c r="A244" s="112"/>
      <c r="B244" s="148" t="s">
        <v>1109</v>
      </c>
      <c r="C244" s="112" t="s">
        <v>1022</v>
      </c>
      <c r="D244" s="129"/>
      <c r="E244" s="129">
        <v>300</v>
      </c>
      <c r="F244" s="155">
        <f t="shared" si="72"/>
        <v>0</v>
      </c>
      <c r="G244" s="190">
        <f t="shared" si="44"/>
        <v>0</v>
      </c>
      <c r="H244" s="171">
        <f t="shared" si="45"/>
        <v>0</v>
      </c>
      <c r="I244" s="151" t="s">
        <v>1774</v>
      </c>
    </row>
    <row r="245" spans="1:9" s="111" customFormat="1" ht="18" hidden="1" customHeight="1">
      <c r="A245" s="112"/>
      <c r="B245" s="148" t="s">
        <v>1110</v>
      </c>
      <c r="C245" s="112" t="s">
        <v>1022</v>
      </c>
      <c r="D245" s="129"/>
      <c r="E245" s="129">
        <v>300</v>
      </c>
      <c r="F245" s="155">
        <f t="shared" si="72"/>
        <v>0</v>
      </c>
      <c r="G245" s="190">
        <f t="shared" ref="G245:G310" si="73">ROUND(F245*95%,0)</f>
        <v>0</v>
      </c>
      <c r="H245" s="171">
        <f t="shared" ref="H245:H310" si="74">F245-G245</f>
        <v>0</v>
      </c>
      <c r="I245" s="151" t="s">
        <v>1774</v>
      </c>
    </row>
    <row r="246" spans="1:9" s="319" customFormat="1" ht="18" hidden="1" customHeight="1">
      <c r="A246" s="112"/>
      <c r="B246" s="148" t="s">
        <v>1111</v>
      </c>
      <c r="C246" s="112" t="s">
        <v>1022</v>
      </c>
      <c r="D246" s="129"/>
      <c r="E246" s="129">
        <v>300</v>
      </c>
      <c r="F246" s="155">
        <f t="shared" si="72"/>
        <v>0</v>
      </c>
      <c r="G246" s="190">
        <f t="shared" si="73"/>
        <v>0</v>
      </c>
      <c r="H246" s="171">
        <f t="shared" si="74"/>
        <v>0</v>
      </c>
      <c r="I246" s="151" t="s">
        <v>1774</v>
      </c>
    </row>
    <row r="247" spans="1:9" s="444" customFormat="1" ht="18" customHeight="1">
      <c r="A247" s="13" t="s">
        <v>742</v>
      </c>
      <c r="B247" s="12" t="s">
        <v>1038</v>
      </c>
      <c r="C247" s="13" t="s">
        <v>1040</v>
      </c>
      <c r="D247" s="174">
        <v>21</v>
      </c>
      <c r="E247" s="174">
        <v>150</v>
      </c>
      <c r="F247" s="44">
        <f>+F248</f>
        <v>3150</v>
      </c>
      <c r="G247" s="44">
        <f t="shared" ref="G247:H247" si="75">+G248</f>
        <v>2993</v>
      </c>
      <c r="H247" s="247">
        <f t="shared" si="75"/>
        <v>157</v>
      </c>
      <c r="I247" s="890"/>
    </row>
    <row r="248" spans="1:9" s="143" customFormat="1" ht="20.149999999999999" hidden="1" customHeight="1">
      <c r="A248" s="112"/>
      <c r="B248" s="148" t="s">
        <v>1802</v>
      </c>
      <c r="C248" s="112" t="s">
        <v>1040</v>
      </c>
      <c r="D248" s="129">
        <v>21</v>
      </c>
      <c r="E248" s="129">
        <v>150</v>
      </c>
      <c r="F248" s="190">
        <f t="shared" ref="F248:F311" si="76">D248*E248</f>
        <v>3150</v>
      </c>
      <c r="G248" s="190">
        <f t="shared" ref="G248" si="77">ROUND(F248*95%,0)</f>
        <v>2993</v>
      </c>
      <c r="H248" s="171">
        <f t="shared" ref="H248" si="78">F248-G248</f>
        <v>157</v>
      </c>
      <c r="I248" s="151" t="s">
        <v>1774</v>
      </c>
    </row>
    <row r="249" spans="1:9" s="143" customFormat="1" hidden="1">
      <c r="A249" s="112" t="s">
        <v>742</v>
      </c>
      <c r="B249" s="148" t="s">
        <v>705</v>
      </c>
      <c r="C249" s="112"/>
      <c r="D249" s="129"/>
      <c r="E249" s="129"/>
      <c r="F249" s="190">
        <f t="shared" si="76"/>
        <v>0</v>
      </c>
      <c r="G249" s="190">
        <f t="shared" si="73"/>
        <v>0</v>
      </c>
      <c r="H249" s="171">
        <f t="shared" si="74"/>
        <v>0</v>
      </c>
      <c r="I249" s="151" t="s">
        <v>1774</v>
      </c>
    </row>
    <row r="250" spans="1:9" s="143" customFormat="1" ht="26" hidden="1">
      <c r="A250" s="112" t="s">
        <v>742</v>
      </c>
      <c r="B250" s="148" t="s">
        <v>1044</v>
      </c>
      <c r="C250" s="112" t="s">
        <v>1045</v>
      </c>
      <c r="D250" s="129"/>
      <c r="E250" s="129">
        <v>3000</v>
      </c>
      <c r="F250" s="190">
        <f t="shared" si="76"/>
        <v>0</v>
      </c>
      <c r="G250" s="190">
        <f t="shared" si="73"/>
        <v>0</v>
      </c>
      <c r="H250" s="171">
        <f t="shared" si="74"/>
        <v>0</v>
      </c>
      <c r="I250" s="151" t="s">
        <v>1774</v>
      </c>
    </row>
    <row r="251" spans="1:9" s="143" customFormat="1" ht="26" hidden="1">
      <c r="A251" s="112" t="s">
        <v>742</v>
      </c>
      <c r="B251" s="148" t="s">
        <v>1046</v>
      </c>
      <c r="C251" s="112" t="s">
        <v>1047</v>
      </c>
      <c r="D251" s="129"/>
      <c r="E251" s="129">
        <v>1500</v>
      </c>
      <c r="F251" s="190">
        <f t="shared" si="76"/>
        <v>0</v>
      </c>
      <c r="G251" s="190">
        <f t="shared" si="73"/>
        <v>0</v>
      </c>
      <c r="H251" s="171">
        <f t="shared" si="74"/>
        <v>0</v>
      </c>
      <c r="I251" s="151" t="s">
        <v>1774</v>
      </c>
    </row>
    <row r="252" spans="1:9" s="143" customFormat="1" ht="26" hidden="1">
      <c r="A252" s="112" t="s">
        <v>742</v>
      </c>
      <c r="B252" s="148" t="s">
        <v>1048</v>
      </c>
      <c r="C252" s="112" t="s">
        <v>902</v>
      </c>
      <c r="D252" s="129"/>
      <c r="E252" s="129">
        <v>200</v>
      </c>
      <c r="F252" s="190">
        <f t="shared" si="76"/>
        <v>0</v>
      </c>
      <c r="G252" s="190">
        <f t="shared" si="73"/>
        <v>0</v>
      </c>
      <c r="H252" s="171">
        <f t="shared" si="74"/>
        <v>0</v>
      </c>
      <c r="I252" s="151" t="s">
        <v>1774</v>
      </c>
    </row>
    <row r="253" spans="1:9" s="143" customFormat="1" ht="52" hidden="1">
      <c r="A253" s="112" t="s">
        <v>742</v>
      </c>
      <c r="B253" s="148" t="s">
        <v>1017</v>
      </c>
      <c r="C253" s="112" t="s">
        <v>1018</v>
      </c>
      <c r="D253" s="129"/>
      <c r="E253" s="129">
        <v>500</v>
      </c>
      <c r="F253" s="190">
        <f t="shared" si="76"/>
        <v>0</v>
      </c>
      <c r="G253" s="190">
        <f t="shared" si="73"/>
        <v>0</v>
      </c>
      <c r="H253" s="171">
        <f t="shared" si="74"/>
        <v>0</v>
      </c>
      <c r="I253" s="151" t="s">
        <v>1774</v>
      </c>
    </row>
    <row r="254" spans="1:9" s="143" customFormat="1" hidden="1">
      <c r="A254" s="112" t="s">
        <v>742</v>
      </c>
      <c r="B254" s="148" t="s">
        <v>706</v>
      </c>
      <c r="C254" s="112"/>
      <c r="D254" s="129"/>
      <c r="E254" s="129"/>
      <c r="F254" s="190">
        <f t="shared" si="76"/>
        <v>0</v>
      </c>
      <c r="G254" s="190">
        <f t="shared" si="73"/>
        <v>0</v>
      </c>
      <c r="H254" s="171">
        <f t="shared" si="74"/>
        <v>0</v>
      </c>
      <c r="I254" s="151" t="s">
        <v>1774</v>
      </c>
    </row>
    <row r="255" spans="1:9" s="111" customFormat="1" hidden="1">
      <c r="A255" s="112" t="s">
        <v>742</v>
      </c>
      <c r="B255" s="148" t="s">
        <v>1051</v>
      </c>
      <c r="C255" s="112" t="s">
        <v>1052</v>
      </c>
      <c r="D255" s="129"/>
      <c r="E255" s="129">
        <v>30</v>
      </c>
      <c r="F255" s="190">
        <f t="shared" si="76"/>
        <v>0</v>
      </c>
      <c r="G255" s="190">
        <f t="shared" si="73"/>
        <v>0</v>
      </c>
      <c r="H255" s="171">
        <f t="shared" si="74"/>
        <v>0</v>
      </c>
      <c r="I255" s="151" t="s">
        <v>1774</v>
      </c>
    </row>
    <row r="256" spans="1:9" s="143" customFormat="1" hidden="1">
      <c r="A256" s="159"/>
      <c r="B256" s="152" t="s">
        <v>1112</v>
      </c>
      <c r="C256" s="159"/>
      <c r="D256" s="622"/>
      <c r="E256" s="622"/>
      <c r="F256" s="190">
        <f t="shared" si="76"/>
        <v>0</v>
      </c>
      <c r="G256" s="190">
        <f t="shared" si="73"/>
        <v>0</v>
      </c>
      <c r="H256" s="171">
        <f t="shared" si="74"/>
        <v>0</v>
      </c>
      <c r="I256" s="151" t="s">
        <v>1774</v>
      </c>
    </row>
    <row r="257" spans="1:9" s="143" customFormat="1" ht="26" hidden="1">
      <c r="A257" s="112" t="s">
        <v>742</v>
      </c>
      <c r="B257" s="148" t="s">
        <v>1053</v>
      </c>
      <c r="C257" s="112"/>
      <c r="D257" s="129"/>
      <c r="E257" s="129"/>
      <c r="F257" s="190">
        <f t="shared" si="76"/>
        <v>0</v>
      </c>
      <c r="G257" s="190">
        <f t="shared" si="73"/>
        <v>0</v>
      </c>
      <c r="H257" s="171">
        <f t="shared" si="74"/>
        <v>0</v>
      </c>
      <c r="I257" s="151" t="s">
        <v>1774</v>
      </c>
    </row>
    <row r="258" spans="1:9" s="444" customFormat="1" ht="26">
      <c r="A258" s="13" t="s">
        <v>742</v>
      </c>
      <c r="B258" s="12" t="s">
        <v>1025</v>
      </c>
      <c r="C258" s="13" t="s">
        <v>1026</v>
      </c>
      <c r="D258" s="174">
        <v>9</v>
      </c>
      <c r="E258" s="174">
        <v>50</v>
      </c>
      <c r="F258" s="44">
        <f t="shared" si="76"/>
        <v>450</v>
      </c>
      <c r="G258" s="44">
        <f t="shared" si="73"/>
        <v>428</v>
      </c>
      <c r="H258" s="247">
        <f t="shared" si="74"/>
        <v>22</v>
      </c>
      <c r="I258" s="890"/>
    </row>
    <row r="259" spans="1:9" s="317" customFormat="1" ht="18" hidden="1" customHeight="1">
      <c r="A259" s="112" t="s">
        <v>742</v>
      </c>
      <c r="B259" s="148" t="s">
        <v>1054</v>
      </c>
      <c r="C259" s="112"/>
      <c r="D259" s="129"/>
      <c r="E259" s="129"/>
      <c r="F259" s="190">
        <f t="shared" si="76"/>
        <v>0</v>
      </c>
      <c r="G259" s="190">
        <f t="shared" si="73"/>
        <v>0</v>
      </c>
      <c r="H259" s="171">
        <f t="shared" si="74"/>
        <v>0</v>
      </c>
      <c r="I259" s="151" t="s">
        <v>1774</v>
      </c>
    </row>
    <row r="260" spans="1:9" s="444" customFormat="1" ht="18" customHeight="1">
      <c r="A260" s="26">
        <v>7</v>
      </c>
      <c r="B260" s="55" t="s">
        <v>13</v>
      </c>
      <c r="C260" s="26"/>
      <c r="D260" s="34"/>
      <c r="E260" s="34"/>
      <c r="F260" s="23">
        <f>+F261+F265+F266+F270+F271+F272+F276+F280+F283+F285+F286+F287+F288+F289+F290+F291+F292+F293+F294</f>
        <v>4777</v>
      </c>
      <c r="G260" s="23">
        <f t="shared" ref="G260:H260" si="79">+G261+G265+G266+G270+G271+G272+G276+G280+G283+G285+G286+G287+G288+G289+G290+G291+G292+G293+G294</f>
        <v>4538</v>
      </c>
      <c r="H260" s="245">
        <f t="shared" si="79"/>
        <v>239</v>
      </c>
      <c r="I260" s="890"/>
    </row>
    <row r="261" spans="1:9" s="117" customFormat="1" hidden="1">
      <c r="A261" s="112" t="s">
        <v>742</v>
      </c>
      <c r="B261" s="148" t="s">
        <v>1027</v>
      </c>
      <c r="C261" s="112"/>
      <c r="D261" s="129"/>
      <c r="E261" s="129"/>
      <c r="F261" s="155">
        <f>SUM(F262:F264)</f>
        <v>0</v>
      </c>
      <c r="G261" s="190">
        <f t="shared" si="73"/>
        <v>0</v>
      </c>
      <c r="H261" s="171">
        <f t="shared" si="74"/>
        <v>0</v>
      </c>
      <c r="I261" s="151" t="s">
        <v>1774</v>
      </c>
    </row>
    <row r="262" spans="1:9" s="117" customFormat="1" ht="26" hidden="1">
      <c r="A262" s="623"/>
      <c r="B262" s="624" t="s">
        <v>1113</v>
      </c>
      <c r="C262" s="623" t="s">
        <v>1018</v>
      </c>
      <c r="D262" s="292"/>
      <c r="E262" s="292">
        <v>150</v>
      </c>
      <c r="F262" s="155">
        <f t="shared" ref="F262:F264" si="80">E262*D262</f>
        <v>0</v>
      </c>
      <c r="G262" s="190">
        <f t="shared" si="73"/>
        <v>0</v>
      </c>
      <c r="H262" s="171">
        <f t="shared" si="74"/>
        <v>0</v>
      </c>
      <c r="I262" s="151" t="s">
        <v>1774</v>
      </c>
    </row>
    <row r="263" spans="1:9" s="117" customFormat="1" ht="18" hidden="1" customHeight="1">
      <c r="A263" s="623"/>
      <c r="B263" s="624" t="s">
        <v>1114</v>
      </c>
      <c r="C263" s="623" t="s">
        <v>1018</v>
      </c>
      <c r="D263" s="292"/>
      <c r="E263" s="292">
        <v>150</v>
      </c>
      <c r="F263" s="155">
        <f t="shared" si="80"/>
        <v>0</v>
      </c>
      <c r="G263" s="190">
        <f t="shared" si="73"/>
        <v>0</v>
      </c>
      <c r="H263" s="171">
        <f t="shared" si="74"/>
        <v>0</v>
      </c>
      <c r="I263" s="151" t="s">
        <v>1774</v>
      </c>
    </row>
    <row r="264" spans="1:9" s="143" customFormat="1" hidden="1">
      <c r="A264" s="623"/>
      <c r="B264" s="148" t="s">
        <v>1115</v>
      </c>
      <c r="C264" s="623" t="s">
        <v>903</v>
      </c>
      <c r="D264" s="292"/>
      <c r="E264" s="292">
        <v>300</v>
      </c>
      <c r="F264" s="155">
        <f t="shared" si="80"/>
        <v>0</v>
      </c>
      <c r="G264" s="190">
        <f t="shared" si="73"/>
        <v>0</v>
      </c>
      <c r="H264" s="171">
        <f t="shared" si="74"/>
        <v>0</v>
      </c>
      <c r="I264" s="151" t="s">
        <v>1774</v>
      </c>
    </row>
    <row r="265" spans="1:9" s="319" customFormat="1" hidden="1">
      <c r="A265" s="112" t="s">
        <v>742</v>
      </c>
      <c r="B265" s="148" t="s">
        <v>1016</v>
      </c>
      <c r="C265" s="112" t="s">
        <v>1028</v>
      </c>
      <c r="D265" s="129"/>
      <c r="E265" s="129">
        <v>312</v>
      </c>
      <c r="F265" s="190">
        <f t="shared" si="76"/>
        <v>0</v>
      </c>
      <c r="G265" s="190">
        <f t="shared" si="73"/>
        <v>0</v>
      </c>
      <c r="H265" s="171">
        <f t="shared" si="74"/>
        <v>0</v>
      </c>
      <c r="I265" s="151" t="s">
        <v>1774</v>
      </c>
    </row>
    <row r="266" spans="1:9" s="30" customFormat="1" ht="26">
      <c r="A266" s="13" t="s">
        <v>742</v>
      </c>
      <c r="B266" s="12" t="s">
        <v>1029</v>
      </c>
      <c r="C266" s="13"/>
      <c r="D266" s="174"/>
      <c r="E266" s="174"/>
      <c r="F266" s="20">
        <f t="shared" ref="F266" si="81">SUM(F267:F269)</f>
        <v>1377</v>
      </c>
      <c r="G266" s="44">
        <f t="shared" si="73"/>
        <v>1308</v>
      </c>
      <c r="H266" s="247">
        <f t="shared" si="74"/>
        <v>69</v>
      </c>
      <c r="I266" s="890"/>
    </row>
    <row r="267" spans="1:9" s="327" customFormat="1" ht="18" hidden="1" customHeight="1">
      <c r="A267" s="112"/>
      <c r="B267" s="148" t="s">
        <v>1116</v>
      </c>
      <c r="C267" s="112" t="s">
        <v>1030</v>
      </c>
      <c r="D267" s="129"/>
      <c r="E267" s="129"/>
      <c r="F267" s="155">
        <f t="shared" ref="F267:F269" si="82">E267*D267</f>
        <v>0</v>
      </c>
      <c r="G267" s="190">
        <f t="shared" si="73"/>
        <v>0</v>
      </c>
      <c r="H267" s="171">
        <f t="shared" si="74"/>
        <v>0</v>
      </c>
      <c r="I267" s="151" t="s">
        <v>1774</v>
      </c>
    </row>
    <row r="268" spans="1:9" s="111" customFormat="1" ht="18" hidden="1" customHeight="1">
      <c r="A268" s="112"/>
      <c r="B268" s="148" t="s">
        <v>1117</v>
      </c>
      <c r="C268" s="112" t="s">
        <v>1030</v>
      </c>
      <c r="D268" s="129">
        <v>1</v>
      </c>
      <c r="E268" s="616">
        <f>776+601</f>
        <v>1377</v>
      </c>
      <c r="F268" s="155">
        <f t="shared" si="82"/>
        <v>1377</v>
      </c>
      <c r="G268" s="190">
        <f t="shared" si="73"/>
        <v>1308</v>
      </c>
      <c r="H268" s="171">
        <f t="shared" si="74"/>
        <v>69</v>
      </c>
      <c r="I268" s="151" t="s">
        <v>1774</v>
      </c>
    </row>
    <row r="269" spans="1:9" s="319" customFormat="1" hidden="1">
      <c r="A269" s="112"/>
      <c r="B269" s="148" t="s">
        <v>1118</v>
      </c>
      <c r="C269" s="112" t="s">
        <v>1030</v>
      </c>
      <c r="D269" s="129"/>
      <c r="E269" s="129">
        <v>700</v>
      </c>
      <c r="F269" s="155">
        <f t="shared" si="82"/>
        <v>0</v>
      </c>
      <c r="G269" s="190">
        <f t="shared" si="73"/>
        <v>0</v>
      </c>
      <c r="H269" s="171">
        <f t="shared" si="74"/>
        <v>0</v>
      </c>
      <c r="I269" s="151" t="s">
        <v>1774</v>
      </c>
    </row>
    <row r="270" spans="1:9" s="444" customFormat="1" ht="39">
      <c r="A270" s="13" t="s">
        <v>742</v>
      </c>
      <c r="B270" s="12" t="s">
        <v>1031</v>
      </c>
      <c r="C270" s="13" t="s">
        <v>874</v>
      </c>
      <c r="D270" s="174">
        <v>2</v>
      </c>
      <c r="E270" s="174">
        <v>200</v>
      </c>
      <c r="F270" s="44">
        <f t="shared" si="76"/>
        <v>400</v>
      </c>
      <c r="G270" s="44">
        <f t="shared" si="73"/>
        <v>380</v>
      </c>
      <c r="H270" s="247">
        <f t="shared" si="74"/>
        <v>20</v>
      </c>
      <c r="I270" s="890"/>
    </row>
    <row r="271" spans="1:9" s="143" customFormat="1" ht="52" hidden="1">
      <c r="A271" s="112" t="s">
        <v>742</v>
      </c>
      <c r="B271" s="148" t="s">
        <v>1020</v>
      </c>
      <c r="C271" s="112" t="s">
        <v>903</v>
      </c>
      <c r="D271" s="604"/>
      <c r="E271" s="129">
        <v>300</v>
      </c>
      <c r="F271" s="190">
        <f>D271*E271</f>
        <v>0</v>
      </c>
      <c r="G271" s="190">
        <f t="shared" si="73"/>
        <v>0</v>
      </c>
      <c r="H271" s="171">
        <f t="shared" si="74"/>
        <v>0</v>
      </c>
      <c r="I271" s="151" t="s">
        <v>1774</v>
      </c>
    </row>
    <row r="272" spans="1:9" s="111" customFormat="1" ht="52" hidden="1">
      <c r="A272" s="112" t="s">
        <v>742</v>
      </c>
      <c r="B272" s="148" t="s">
        <v>1032</v>
      </c>
      <c r="C272" s="112"/>
      <c r="D272" s="129"/>
      <c r="E272" s="129">
        <f t="shared" ref="E272:F272" si="83">SUM(E273:E275)</f>
        <v>1500</v>
      </c>
      <c r="F272" s="155">
        <f t="shared" si="83"/>
        <v>0</v>
      </c>
      <c r="G272" s="190">
        <f t="shared" si="73"/>
        <v>0</v>
      </c>
      <c r="H272" s="171">
        <f t="shared" si="74"/>
        <v>0</v>
      </c>
      <c r="I272" s="151" t="s">
        <v>1774</v>
      </c>
    </row>
    <row r="273" spans="1:9" s="111" customFormat="1" ht="26" hidden="1">
      <c r="A273" s="108"/>
      <c r="B273" s="148" t="s">
        <v>1119</v>
      </c>
      <c r="C273" s="112" t="s">
        <v>1018</v>
      </c>
      <c r="D273" s="129"/>
      <c r="E273" s="129">
        <v>500</v>
      </c>
      <c r="F273" s="155">
        <f t="shared" ref="F273:F275" si="84">E273*D273</f>
        <v>0</v>
      </c>
      <c r="G273" s="190">
        <f t="shared" si="73"/>
        <v>0</v>
      </c>
      <c r="H273" s="171">
        <f t="shared" si="74"/>
        <v>0</v>
      </c>
      <c r="I273" s="151" t="s">
        <v>1774</v>
      </c>
    </row>
    <row r="274" spans="1:9" s="111" customFormat="1" ht="26" hidden="1">
      <c r="A274" s="108"/>
      <c r="B274" s="148" t="s">
        <v>1120</v>
      </c>
      <c r="C274" s="112" t="s">
        <v>1018</v>
      </c>
      <c r="D274" s="129"/>
      <c r="E274" s="129">
        <v>500</v>
      </c>
      <c r="F274" s="155">
        <f t="shared" si="84"/>
        <v>0</v>
      </c>
      <c r="G274" s="190">
        <f t="shared" si="73"/>
        <v>0</v>
      </c>
      <c r="H274" s="171">
        <f t="shared" si="74"/>
        <v>0</v>
      </c>
      <c r="I274" s="151" t="s">
        <v>1774</v>
      </c>
    </row>
    <row r="275" spans="1:9" s="143" customFormat="1" ht="26" hidden="1">
      <c r="A275" s="108"/>
      <c r="B275" s="148" t="s">
        <v>1121</v>
      </c>
      <c r="C275" s="112" t="s">
        <v>1018</v>
      </c>
      <c r="D275" s="129"/>
      <c r="E275" s="129">
        <v>500</v>
      </c>
      <c r="F275" s="155">
        <f t="shared" si="84"/>
        <v>0</v>
      </c>
      <c r="G275" s="190">
        <f t="shared" si="73"/>
        <v>0</v>
      </c>
      <c r="H275" s="171">
        <f t="shared" si="74"/>
        <v>0</v>
      </c>
      <c r="I275" s="151" t="s">
        <v>1774</v>
      </c>
    </row>
    <row r="276" spans="1:9" s="111" customFormat="1" ht="52" hidden="1">
      <c r="A276" s="112" t="s">
        <v>742</v>
      </c>
      <c r="B276" s="148" t="s">
        <v>1033</v>
      </c>
      <c r="C276" s="112"/>
      <c r="D276" s="129"/>
      <c r="E276" s="129"/>
      <c r="F276" s="155">
        <f t="shared" ref="F276" si="85">SUM(F277:F279)</f>
        <v>0</v>
      </c>
      <c r="G276" s="190">
        <f t="shared" si="73"/>
        <v>0</v>
      </c>
      <c r="H276" s="171">
        <f t="shared" si="74"/>
        <v>0</v>
      </c>
      <c r="I276" s="151" t="s">
        <v>1774</v>
      </c>
    </row>
    <row r="277" spans="1:9" s="111" customFormat="1" ht="26" hidden="1">
      <c r="A277" s="108"/>
      <c r="B277" s="154" t="s">
        <v>1122</v>
      </c>
      <c r="C277" s="112" t="s">
        <v>1034</v>
      </c>
      <c r="D277" s="129"/>
      <c r="E277" s="129">
        <v>500</v>
      </c>
      <c r="F277" s="155">
        <f t="shared" ref="F277:F279" si="86">E277*D277</f>
        <v>0</v>
      </c>
      <c r="G277" s="190">
        <f t="shared" si="73"/>
        <v>0</v>
      </c>
      <c r="H277" s="171">
        <f t="shared" si="74"/>
        <v>0</v>
      </c>
      <c r="I277" s="151" t="s">
        <v>1774</v>
      </c>
    </row>
    <row r="278" spans="1:9" s="111" customFormat="1" ht="26" hidden="1">
      <c r="A278" s="108"/>
      <c r="B278" s="154" t="s">
        <v>1123</v>
      </c>
      <c r="C278" s="112" t="s">
        <v>1034</v>
      </c>
      <c r="D278" s="129"/>
      <c r="E278" s="129">
        <v>500</v>
      </c>
      <c r="F278" s="155">
        <f t="shared" si="86"/>
        <v>0</v>
      </c>
      <c r="G278" s="190">
        <f t="shared" si="73"/>
        <v>0</v>
      </c>
      <c r="H278" s="171">
        <f t="shared" si="74"/>
        <v>0</v>
      </c>
      <c r="I278" s="151" t="s">
        <v>1774</v>
      </c>
    </row>
    <row r="279" spans="1:9" s="143" customFormat="1" ht="26" hidden="1">
      <c r="A279" s="108"/>
      <c r="B279" s="154" t="s">
        <v>1124</v>
      </c>
      <c r="C279" s="112" t="s">
        <v>1034</v>
      </c>
      <c r="D279" s="129"/>
      <c r="E279" s="129">
        <v>500</v>
      </c>
      <c r="F279" s="155">
        <f t="shared" si="86"/>
        <v>0</v>
      </c>
      <c r="G279" s="190">
        <f t="shared" si="73"/>
        <v>0</v>
      </c>
      <c r="H279" s="171">
        <f t="shared" si="74"/>
        <v>0</v>
      </c>
      <c r="I279" s="151" t="s">
        <v>1774</v>
      </c>
    </row>
    <row r="280" spans="1:9" s="8" customFormat="1" ht="26">
      <c r="A280" s="13" t="s">
        <v>742</v>
      </c>
      <c r="B280" s="12" t="s">
        <v>1021</v>
      </c>
      <c r="C280" s="13" t="str">
        <f>+C281</f>
        <v>CLB</v>
      </c>
      <c r="D280" s="174">
        <f>SUM(D281:D282)</f>
        <v>2</v>
      </c>
      <c r="E280" s="174">
        <f>+E281</f>
        <v>100</v>
      </c>
      <c r="F280" s="20">
        <f>SUM(F281:F282)</f>
        <v>200</v>
      </c>
      <c r="G280" s="44">
        <f t="shared" si="73"/>
        <v>190</v>
      </c>
      <c r="H280" s="247">
        <f t="shared" si="74"/>
        <v>10</v>
      </c>
      <c r="I280" s="890"/>
    </row>
    <row r="281" spans="1:9" s="111" customFormat="1" ht="18" hidden="1" customHeight="1">
      <c r="A281" s="112"/>
      <c r="B281" s="148" t="s">
        <v>2329</v>
      </c>
      <c r="C281" s="112" t="s">
        <v>1022</v>
      </c>
      <c r="D281" s="129">
        <v>1</v>
      </c>
      <c r="E281" s="129">
        <v>100</v>
      </c>
      <c r="F281" s="155">
        <f t="shared" ref="F281:F282" si="87">E281*D281</f>
        <v>100</v>
      </c>
      <c r="G281" s="190">
        <f t="shared" si="73"/>
        <v>95</v>
      </c>
      <c r="H281" s="171">
        <f t="shared" si="74"/>
        <v>5</v>
      </c>
      <c r="I281" s="151" t="s">
        <v>1774</v>
      </c>
    </row>
    <row r="282" spans="1:9" s="319" customFormat="1" ht="18" hidden="1" customHeight="1">
      <c r="A282" s="112"/>
      <c r="B282" s="148" t="s">
        <v>2330</v>
      </c>
      <c r="C282" s="112" t="s">
        <v>1022</v>
      </c>
      <c r="D282" s="129">
        <v>1</v>
      </c>
      <c r="E282" s="129">
        <v>100</v>
      </c>
      <c r="F282" s="155">
        <f t="shared" si="87"/>
        <v>100</v>
      </c>
      <c r="G282" s="190">
        <f t="shared" si="73"/>
        <v>95</v>
      </c>
      <c r="H282" s="171">
        <f t="shared" si="74"/>
        <v>5</v>
      </c>
      <c r="I282" s="151" t="s">
        <v>1774</v>
      </c>
    </row>
    <row r="283" spans="1:9" s="444" customFormat="1" ht="18" customHeight="1">
      <c r="A283" s="13" t="s">
        <v>742</v>
      </c>
      <c r="B283" s="12" t="s">
        <v>1038</v>
      </c>
      <c r="C283" s="13" t="s">
        <v>1040</v>
      </c>
      <c r="D283" s="174">
        <v>12</v>
      </c>
      <c r="E283" s="174">
        <v>150</v>
      </c>
      <c r="F283" s="44">
        <f>+F284</f>
        <v>1800</v>
      </c>
      <c r="G283" s="44">
        <f t="shared" ref="G283:H283" si="88">+G284</f>
        <v>1710</v>
      </c>
      <c r="H283" s="247">
        <f t="shared" si="88"/>
        <v>90</v>
      </c>
      <c r="I283" s="890"/>
    </row>
    <row r="284" spans="1:9" s="143" customFormat="1" ht="18" hidden="1" customHeight="1">
      <c r="A284" s="112"/>
      <c r="B284" s="148" t="s">
        <v>1802</v>
      </c>
      <c r="C284" s="112" t="s">
        <v>1040</v>
      </c>
      <c r="D284" s="129">
        <v>12</v>
      </c>
      <c r="E284" s="129">
        <v>150</v>
      </c>
      <c r="F284" s="190">
        <f t="shared" ref="F284" si="89">D284*E284</f>
        <v>1800</v>
      </c>
      <c r="G284" s="190">
        <f t="shared" ref="G284" si="90">ROUND(F284*95%,0)</f>
        <v>1710</v>
      </c>
      <c r="H284" s="171">
        <f t="shared" ref="H284" si="91">F284-G284</f>
        <v>90</v>
      </c>
      <c r="I284" s="151" t="s">
        <v>1774</v>
      </c>
    </row>
    <row r="285" spans="1:9" s="143" customFormat="1" hidden="1">
      <c r="A285" s="112" t="s">
        <v>742</v>
      </c>
      <c r="B285" s="148" t="s">
        <v>705</v>
      </c>
      <c r="C285" s="112"/>
      <c r="D285" s="129"/>
      <c r="E285" s="129"/>
      <c r="F285" s="190">
        <f t="shared" si="76"/>
        <v>0</v>
      </c>
      <c r="G285" s="190">
        <f t="shared" si="73"/>
        <v>0</v>
      </c>
      <c r="H285" s="171">
        <f t="shared" si="74"/>
        <v>0</v>
      </c>
      <c r="I285" s="151" t="s">
        <v>1774</v>
      </c>
    </row>
    <row r="286" spans="1:9" s="143" customFormat="1" ht="26" hidden="1">
      <c r="A286" s="112" t="s">
        <v>742</v>
      </c>
      <c r="B286" s="148" t="s">
        <v>1044</v>
      </c>
      <c r="C286" s="112" t="s">
        <v>1045</v>
      </c>
      <c r="D286" s="129"/>
      <c r="E286" s="129">
        <v>3000</v>
      </c>
      <c r="F286" s="190">
        <f t="shared" si="76"/>
        <v>0</v>
      </c>
      <c r="G286" s="190">
        <f t="shared" si="73"/>
        <v>0</v>
      </c>
      <c r="H286" s="171">
        <f t="shared" si="74"/>
        <v>0</v>
      </c>
      <c r="I286" s="151" t="s">
        <v>1774</v>
      </c>
    </row>
    <row r="287" spans="1:9" s="143" customFormat="1" ht="26" hidden="1">
      <c r="A287" s="112" t="s">
        <v>742</v>
      </c>
      <c r="B287" s="148" t="s">
        <v>1046</v>
      </c>
      <c r="C287" s="112" t="s">
        <v>1047</v>
      </c>
      <c r="D287" s="129"/>
      <c r="E287" s="129">
        <v>1500</v>
      </c>
      <c r="F287" s="190">
        <f t="shared" si="76"/>
        <v>0</v>
      </c>
      <c r="G287" s="190">
        <f t="shared" si="73"/>
        <v>0</v>
      </c>
      <c r="H287" s="171">
        <f t="shared" si="74"/>
        <v>0</v>
      </c>
      <c r="I287" s="151" t="s">
        <v>1774</v>
      </c>
    </row>
    <row r="288" spans="1:9" s="143" customFormat="1" ht="26" hidden="1">
      <c r="A288" s="112" t="s">
        <v>742</v>
      </c>
      <c r="B288" s="148" t="s">
        <v>1048</v>
      </c>
      <c r="C288" s="112"/>
      <c r="D288" s="129"/>
      <c r="E288" s="129">
        <v>200</v>
      </c>
      <c r="F288" s="155">
        <f t="shared" ref="F288" si="92">E288*D288</f>
        <v>0</v>
      </c>
      <c r="G288" s="190">
        <f t="shared" si="73"/>
        <v>0</v>
      </c>
      <c r="H288" s="171">
        <f t="shared" si="74"/>
        <v>0</v>
      </c>
      <c r="I288" s="151" t="s">
        <v>1774</v>
      </c>
    </row>
    <row r="289" spans="1:9" s="143" customFormat="1" ht="52" hidden="1">
      <c r="A289" s="112" t="s">
        <v>742</v>
      </c>
      <c r="B289" s="148" t="s">
        <v>1017</v>
      </c>
      <c r="C289" s="112" t="s">
        <v>1018</v>
      </c>
      <c r="D289" s="129"/>
      <c r="E289" s="129">
        <v>500</v>
      </c>
      <c r="F289" s="190">
        <f t="shared" si="76"/>
        <v>0</v>
      </c>
      <c r="G289" s="190">
        <f t="shared" si="73"/>
        <v>0</v>
      </c>
      <c r="H289" s="171">
        <f t="shared" si="74"/>
        <v>0</v>
      </c>
      <c r="I289" s="151" t="s">
        <v>1774</v>
      </c>
    </row>
    <row r="290" spans="1:9" s="143" customFormat="1" hidden="1">
      <c r="A290" s="112" t="s">
        <v>742</v>
      </c>
      <c r="B290" s="148" t="s">
        <v>706</v>
      </c>
      <c r="C290" s="112"/>
      <c r="D290" s="129"/>
      <c r="E290" s="129"/>
      <c r="F290" s="190">
        <f t="shared" si="76"/>
        <v>0</v>
      </c>
      <c r="G290" s="190">
        <f t="shared" si="73"/>
        <v>0</v>
      </c>
      <c r="H290" s="171">
        <f t="shared" si="74"/>
        <v>0</v>
      </c>
      <c r="I290" s="151" t="s">
        <v>1774</v>
      </c>
    </row>
    <row r="291" spans="1:9" s="143" customFormat="1" hidden="1">
      <c r="A291" s="112" t="s">
        <v>742</v>
      </c>
      <c r="B291" s="148" t="s">
        <v>1051</v>
      </c>
      <c r="C291" s="112" t="s">
        <v>1052</v>
      </c>
      <c r="D291" s="129"/>
      <c r="E291" s="129">
        <v>30</v>
      </c>
      <c r="F291" s="190">
        <f t="shared" si="76"/>
        <v>0</v>
      </c>
      <c r="G291" s="190">
        <f t="shared" si="73"/>
        <v>0</v>
      </c>
      <c r="H291" s="171">
        <f t="shared" si="74"/>
        <v>0</v>
      </c>
      <c r="I291" s="151" t="s">
        <v>1774</v>
      </c>
    </row>
    <row r="292" spans="1:9" s="143" customFormat="1" ht="26" hidden="1">
      <c r="A292" s="112" t="s">
        <v>742</v>
      </c>
      <c r="B292" s="148" t="s">
        <v>1053</v>
      </c>
      <c r="C292" s="112"/>
      <c r="D292" s="129"/>
      <c r="E292" s="129"/>
      <c r="F292" s="190">
        <f t="shared" si="76"/>
        <v>0</v>
      </c>
      <c r="G292" s="190">
        <f t="shared" si="73"/>
        <v>0</v>
      </c>
      <c r="H292" s="171">
        <f t="shared" si="74"/>
        <v>0</v>
      </c>
      <c r="I292" s="151" t="s">
        <v>1774</v>
      </c>
    </row>
    <row r="293" spans="1:9" s="444" customFormat="1" ht="26">
      <c r="A293" s="13" t="s">
        <v>742</v>
      </c>
      <c r="B293" s="12" t="s">
        <v>1025</v>
      </c>
      <c r="C293" s="13" t="s">
        <v>1026</v>
      </c>
      <c r="D293" s="174">
        <v>20</v>
      </c>
      <c r="E293" s="174">
        <v>50</v>
      </c>
      <c r="F293" s="44">
        <f t="shared" si="76"/>
        <v>1000</v>
      </c>
      <c r="G293" s="44">
        <f t="shared" si="73"/>
        <v>950</v>
      </c>
      <c r="H293" s="247">
        <f t="shared" si="74"/>
        <v>50</v>
      </c>
      <c r="I293" s="890"/>
    </row>
    <row r="294" spans="1:9" s="317" customFormat="1" ht="18" hidden="1" customHeight="1">
      <c r="A294" s="112" t="s">
        <v>742</v>
      </c>
      <c r="B294" s="148" t="s">
        <v>1054</v>
      </c>
      <c r="C294" s="112"/>
      <c r="D294" s="129"/>
      <c r="E294" s="129"/>
      <c r="F294" s="190">
        <f t="shared" si="76"/>
        <v>0</v>
      </c>
      <c r="G294" s="190">
        <f t="shared" si="73"/>
        <v>0</v>
      </c>
      <c r="H294" s="171">
        <f t="shared" si="74"/>
        <v>0</v>
      </c>
      <c r="I294" s="151" t="s">
        <v>1774</v>
      </c>
    </row>
    <row r="295" spans="1:9" s="444" customFormat="1" ht="18" customHeight="1">
      <c r="A295" s="26">
        <v>8</v>
      </c>
      <c r="B295" s="55" t="s">
        <v>11</v>
      </c>
      <c r="C295" s="26"/>
      <c r="D295" s="34"/>
      <c r="E295" s="34"/>
      <c r="F295" s="23">
        <f>+F296+F311+F312+F313+F314+F318+F320+F324+F328+F330+F331+F332+F333+F334+F335+F336+F337+F338+F339</f>
        <v>6299</v>
      </c>
      <c r="G295" s="23">
        <f t="shared" ref="G295:H295" si="93">+G296+G311+G312+G313+G314+G318+G320+G324+G328+G330+G331+G332+G333+G334+G335+G336+G337+G338+G339</f>
        <v>5984</v>
      </c>
      <c r="H295" s="245">
        <f t="shared" si="93"/>
        <v>315</v>
      </c>
      <c r="I295" s="890"/>
    </row>
    <row r="296" spans="1:9" s="143" customFormat="1" ht="18" hidden="1" customHeight="1">
      <c r="A296" s="112" t="s">
        <v>742</v>
      </c>
      <c r="B296" s="148" t="s">
        <v>1027</v>
      </c>
      <c r="C296" s="112"/>
      <c r="D296" s="129"/>
      <c r="E296" s="129"/>
      <c r="F296" s="155">
        <f>SUM(F297:F310)</f>
        <v>0</v>
      </c>
      <c r="G296" s="190">
        <f t="shared" si="73"/>
        <v>0</v>
      </c>
      <c r="H296" s="171">
        <f t="shared" si="74"/>
        <v>0</v>
      </c>
      <c r="I296" s="151" t="s">
        <v>1774</v>
      </c>
    </row>
    <row r="297" spans="1:9" s="143" customFormat="1" ht="18" hidden="1" customHeight="1">
      <c r="A297" s="112"/>
      <c r="B297" s="148" t="s">
        <v>1125</v>
      </c>
      <c r="C297" s="112" t="s">
        <v>903</v>
      </c>
      <c r="D297" s="129"/>
      <c r="E297" s="129">
        <v>300</v>
      </c>
      <c r="F297" s="155">
        <f t="shared" ref="F297:F310" si="94">E297*D297</f>
        <v>0</v>
      </c>
      <c r="G297" s="190">
        <f t="shared" si="73"/>
        <v>0</v>
      </c>
      <c r="H297" s="171">
        <f t="shared" si="74"/>
        <v>0</v>
      </c>
      <c r="I297" s="151" t="s">
        <v>1774</v>
      </c>
    </row>
    <row r="298" spans="1:9" s="143" customFormat="1" ht="18" hidden="1" customHeight="1">
      <c r="A298" s="112"/>
      <c r="B298" s="148" t="s">
        <v>1126</v>
      </c>
      <c r="C298" s="112" t="s">
        <v>903</v>
      </c>
      <c r="D298" s="129"/>
      <c r="E298" s="129">
        <v>300</v>
      </c>
      <c r="F298" s="155">
        <f t="shared" si="94"/>
        <v>0</v>
      </c>
      <c r="G298" s="190">
        <f t="shared" si="73"/>
        <v>0</v>
      </c>
      <c r="H298" s="171">
        <f t="shared" si="74"/>
        <v>0</v>
      </c>
      <c r="I298" s="151" t="s">
        <v>1774</v>
      </c>
    </row>
    <row r="299" spans="1:9" s="143" customFormat="1" ht="18" hidden="1" customHeight="1">
      <c r="A299" s="112"/>
      <c r="B299" s="148" t="s">
        <v>1127</v>
      </c>
      <c r="C299" s="112" t="s">
        <v>903</v>
      </c>
      <c r="D299" s="129"/>
      <c r="E299" s="129">
        <v>300</v>
      </c>
      <c r="F299" s="155">
        <f t="shared" si="94"/>
        <v>0</v>
      </c>
      <c r="G299" s="190">
        <f t="shared" si="73"/>
        <v>0</v>
      </c>
      <c r="H299" s="171">
        <f t="shared" si="74"/>
        <v>0</v>
      </c>
      <c r="I299" s="151" t="s">
        <v>1774</v>
      </c>
    </row>
    <row r="300" spans="1:9" s="143" customFormat="1" hidden="1">
      <c r="A300" s="112"/>
      <c r="B300" s="148" t="s">
        <v>1128</v>
      </c>
      <c r="C300" s="112" t="s">
        <v>903</v>
      </c>
      <c r="D300" s="129"/>
      <c r="E300" s="129">
        <v>300</v>
      </c>
      <c r="F300" s="155">
        <f t="shared" si="94"/>
        <v>0</v>
      </c>
      <c r="G300" s="190">
        <f t="shared" si="73"/>
        <v>0</v>
      </c>
      <c r="H300" s="171">
        <f t="shared" si="74"/>
        <v>0</v>
      </c>
      <c r="I300" s="151" t="s">
        <v>1774</v>
      </c>
    </row>
    <row r="301" spans="1:9" s="143" customFormat="1" ht="26" hidden="1">
      <c r="A301" s="112"/>
      <c r="B301" s="624" t="s">
        <v>1113</v>
      </c>
      <c r="C301" s="112" t="s">
        <v>1018</v>
      </c>
      <c r="D301" s="129"/>
      <c r="E301" s="129">
        <v>150</v>
      </c>
      <c r="F301" s="155">
        <f t="shared" si="94"/>
        <v>0</v>
      </c>
      <c r="G301" s="190">
        <f t="shared" si="73"/>
        <v>0</v>
      </c>
      <c r="H301" s="171">
        <f t="shared" si="74"/>
        <v>0</v>
      </c>
      <c r="I301" s="151" t="s">
        <v>1774</v>
      </c>
    </row>
    <row r="302" spans="1:9" s="143" customFormat="1" ht="18" hidden="1" customHeight="1">
      <c r="A302" s="112"/>
      <c r="B302" s="624" t="s">
        <v>1114</v>
      </c>
      <c r="C302" s="112" t="s">
        <v>1018</v>
      </c>
      <c r="D302" s="129"/>
      <c r="E302" s="129">
        <v>150</v>
      </c>
      <c r="F302" s="155">
        <f t="shared" si="94"/>
        <v>0</v>
      </c>
      <c r="G302" s="190">
        <f t="shared" si="73"/>
        <v>0</v>
      </c>
      <c r="H302" s="171">
        <f t="shared" si="74"/>
        <v>0</v>
      </c>
      <c r="I302" s="151" t="s">
        <v>1774</v>
      </c>
    </row>
    <row r="303" spans="1:9" s="143" customFormat="1" ht="18" hidden="1" customHeight="1">
      <c r="A303" s="112"/>
      <c r="B303" s="148" t="s">
        <v>1129</v>
      </c>
      <c r="C303" s="112" t="s">
        <v>903</v>
      </c>
      <c r="D303" s="129"/>
      <c r="E303" s="129">
        <v>700</v>
      </c>
      <c r="F303" s="155">
        <f t="shared" si="94"/>
        <v>0</v>
      </c>
      <c r="G303" s="190">
        <f t="shared" si="73"/>
        <v>0</v>
      </c>
      <c r="H303" s="171">
        <f t="shared" si="74"/>
        <v>0</v>
      </c>
      <c r="I303" s="151" t="s">
        <v>1774</v>
      </c>
    </row>
    <row r="304" spans="1:9" s="143" customFormat="1" hidden="1">
      <c r="A304" s="112"/>
      <c r="B304" s="148" t="s">
        <v>1130</v>
      </c>
      <c r="C304" s="112" t="s">
        <v>903</v>
      </c>
      <c r="D304" s="129"/>
      <c r="E304" s="129">
        <v>300</v>
      </c>
      <c r="F304" s="155">
        <f t="shared" si="94"/>
        <v>0</v>
      </c>
      <c r="G304" s="190">
        <f t="shared" si="73"/>
        <v>0</v>
      </c>
      <c r="H304" s="171">
        <f t="shared" si="74"/>
        <v>0</v>
      </c>
      <c r="I304" s="151" t="s">
        <v>1774</v>
      </c>
    </row>
    <row r="305" spans="1:9" s="143" customFormat="1" ht="18" hidden="1" customHeight="1">
      <c r="A305" s="112"/>
      <c r="B305" s="624" t="s">
        <v>1131</v>
      </c>
      <c r="C305" s="112" t="s">
        <v>1018</v>
      </c>
      <c r="D305" s="129"/>
      <c r="E305" s="129">
        <v>150</v>
      </c>
      <c r="F305" s="155">
        <f t="shared" si="94"/>
        <v>0</v>
      </c>
      <c r="G305" s="190">
        <f t="shared" si="73"/>
        <v>0</v>
      </c>
      <c r="H305" s="171">
        <f t="shared" si="74"/>
        <v>0</v>
      </c>
      <c r="I305" s="151" t="s">
        <v>1774</v>
      </c>
    </row>
    <row r="306" spans="1:9" s="143" customFormat="1" ht="18" hidden="1" customHeight="1">
      <c r="A306" s="112"/>
      <c r="B306" s="148" t="s">
        <v>1132</v>
      </c>
      <c r="C306" s="112" t="s">
        <v>903</v>
      </c>
      <c r="D306" s="129"/>
      <c r="E306" s="129">
        <v>300</v>
      </c>
      <c r="F306" s="155">
        <f t="shared" si="94"/>
        <v>0</v>
      </c>
      <c r="G306" s="190">
        <f t="shared" si="73"/>
        <v>0</v>
      </c>
      <c r="H306" s="171">
        <f t="shared" si="74"/>
        <v>0</v>
      </c>
      <c r="I306" s="151" t="s">
        <v>1774</v>
      </c>
    </row>
    <row r="307" spans="1:9" s="143" customFormat="1" ht="18" hidden="1" customHeight="1">
      <c r="A307" s="112"/>
      <c r="B307" s="148" t="s">
        <v>1133</v>
      </c>
      <c r="C307" s="112" t="s">
        <v>903</v>
      </c>
      <c r="D307" s="129"/>
      <c r="E307" s="129">
        <v>300</v>
      </c>
      <c r="F307" s="155">
        <f t="shared" si="94"/>
        <v>0</v>
      </c>
      <c r="G307" s="190">
        <f t="shared" si="73"/>
        <v>0</v>
      </c>
      <c r="H307" s="171">
        <f t="shared" si="74"/>
        <v>0</v>
      </c>
      <c r="I307" s="151" t="s">
        <v>1774</v>
      </c>
    </row>
    <row r="308" spans="1:9" s="143" customFormat="1" ht="18" hidden="1" customHeight="1">
      <c r="A308" s="112"/>
      <c r="B308" s="148" t="s">
        <v>1134</v>
      </c>
      <c r="C308" s="112" t="s">
        <v>903</v>
      </c>
      <c r="D308" s="129"/>
      <c r="E308" s="129">
        <v>300</v>
      </c>
      <c r="F308" s="155">
        <f t="shared" si="94"/>
        <v>0</v>
      </c>
      <c r="G308" s="190">
        <f t="shared" si="73"/>
        <v>0</v>
      </c>
      <c r="H308" s="171">
        <f t="shared" si="74"/>
        <v>0</v>
      </c>
      <c r="I308" s="151" t="s">
        <v>1774</v>
      </c>
    </row>
    <row r="309" spans="1:9" s="143" customFormat="1" ht="18" hidden="1" customHeight="1">
      <c r="A309" s="112"/>
      <c r="B309" s="148" t="s">
        <v>1135</v>
      </c>
      <c r="C309" s="112" t="s">
        <v>903</v>
      </c>
      <c r="D309" s="129"/>
      <c r="E309" s="129">
        <v>300</v>
      </c>
      <c r="F309" s="155">
        <f t="shared" si="94"/>
        <v>0</v>
      </c>
      <c r="G309" s="190">
        <f t="shared" si="73"/>
        <v>0</v>
      </c>
      <c r="H309" s="171">
        <f t="shared" si="74"/>
        <v>0</v>
      </c>
      <c r="I309" s="151" t="s">
        <v>1774</v>
      </c>
    </row>
    <row r="310" spans="1:9" s="143" customFormat="1" hidden="1">
      <c r="A310" s="112"/>
      <c r="B310" s="148" t="s">
        <v>1136</v>
      </c>
      <c r="C310" s="112" t="s">
        <v>903</v>
      </c>
      <c r="D310" s="129"/>
      <c r="E310" s="129">
        <v>700</v>
      </c>
      <c r="F310" s="155">
        <f t="shared" si="94"/>
        <v>0</v>
      </c>
      <c r="G310" s="190">
        <f t="shared" si="73"/>
        <v>0</v>
      </c>
      <c r="H310" s="171">
        <f t="shared" si="74"/>
        <v>0</v>
      </c>
      <c r="I310" s="151" t="s">
        <v>1774</v>
      </c>
    </row>
    <row r="311" spans="1:9" s="143" customFormat="1" hidden="1">
      <c r="A311" s="112" t="s">
        <v>742</v>
      </c>
      <c r="B311" s="148" t="s">
        <v>1016</v>
      </c>
      <c r="C311" s="112" t="s">
        <v>1028</v>
      </c>
      <c r="D311" s="129"/>
      <c r="E311" s="129">
        <v>312</v>
      </c>
      <c r="F311" s="190">
        <f t="shared" si="76"/>
        <v>0</v>
      </c>
      <c r="G311" s="190">
        <f t="shared" ref="G311:G339" si="95">ROUND(F311*95%,0)</f>
        <v>0</v>
      </c>
      <c r="H311" s="171">
        <f t="shared" ref="H311:H339" si="96">F311-G311</f>
        <v>0</v>
      </c>
      <c r="I311" s="151" t="s">
        <v>1774</v>
      </c>
    </row>
    <row r="312" spans="1:9" s="319" customFormat="1" ht="26" hidden="1">
      <c r="A312" s="112" t="s">
        <v>742</v>
      </c>
      <c r="B312" s="148" t="s">
        <v>1029</v>
      </c>
      <c r="C312" s="112" t="s">
        <v>1030</v>
      </c>
      <c r="D312" s="129"/>
      <c r="E312" s="129">
        <v>700</v>
      </c>
      <c r="F312" s="190">
        <f t="shared" ref="F312:F339" si="97">D312*E312</f>
        <v>0</v>
      </c>
      <c r="G312" s="190">
        <f t="shared" si="95"/>
        <v>0</v>
      </c>
      <c r="H312" s="171">
        <f t="shared" si="96"/>
        <v>0</v>
      </c>
      <c r="I312" s="151" t="s">
        <v>1774</v>
      </c>
    </row>
    <row r="313" spans="1:9" s="444" customFormat="1" ht="39">
      <c r="A313" s="13" t="s">
        <v>742</v>
      </c>
      <c r="B313" s="12" t="s">
        <v>1031</v>
      </c>
      <c r="C313" s="13" t="s">
        <v>874</v>
      </c>
      <c r="D313" s="174">
        <v>2</v>
      </c>
      <c r="E313" s="174">
        <v>200</v>
      </c>
      <c r="F313" s="44">
        <f t="shared" si="97"/>
        <v>400</v>
      </c>
      <c r="G313" s="44">
        <f t="shared" si="95"/>
        <v>380</v>
      </c>
      <c r="H313" s="247">
        <f t="shared" si="96"/>
        <v>20</v>
      </c>
      <c r="I313" s="890"/>
    </row>
    <row r="314" spans="1:9" s="141" customFormat="1" ht="52" hidden="1">
      <c r="A314" s="112" t="s">
        <v>742</v>
      </c>
      <c r="B314" s="148" t="s">
        <v>1020</v>
      </c>
      <c r="C314" s="112" t="s">
        <v>903</v>
      </c>
      <c r="D314" s="604"/>
      <c r="E314" s="129">
        <v>300</v>
      </c>
      <c r="F314" s="190">
        <f>D314*E314</f>
        <v>0</v>
      </c>
      <c r="G314" s="190">
        <f t="shared" si="95"/>
        <v>0</v>
      </c>
      <c r="H314" s="171">
        <f t="shared" si="96"/>
        <v>0</v>
      </c>
      <c r="I314" s="151" t="s">
        <v>1774</v>
      </c>
    </row>
    <row r="315" spans="1:9" s="141" customFormat="1" ht="39" hidden="1">
      <c r="A315" s="112"/>
      <c r="B315" s="148" t="s">
        <v>1058</v>
      </c>
      <c r="C315" s="112" t="s">
        <v>903</v>
      </c>
      <c r="D315" s="129"/>
      <c r="E315" s="129">
        <v>300</v>
      </c>
      <c r="F315" s="190">
        <f t="shared" si="97"/>
        <v>0</v>
      </c>
      <c r="G315" s="190">
        <f t="shared" si="95"/>
        <v>0</v>
      </c>
      <c r="H315" s="171">
        <f t="shared" si="96"/>
        <v>0</v>
      </c>
      <c r="I315" s="151" t="s">
        <v>1774</v>
      </c>
    </row>
    <row r="316" spans="1:9" s="141" customFormat="1" ht="26" hidden="1">
      <c r="A316" s="112"/>
      <c r="B316" s="148" t="s">
        <v>1059</v>
      </c>
      <c r="C316" s="112" t="s">
        <v>903</v>
      </c>
      <c r="D316" s="129"/>
      <c r="E316" s="129">
        <v>300</v>
      </c>
      <c r="F316" s="190">
        <f t="shared" si="97"/>
        <v>0</v>
      </c>
      <c r="G316" s="190">
        <f t="shared" si="95"/>
        <v>0</v>
      </c>
      <c r="H316" s="171">
        <f t="shared" si="96"/>
        <v>0</v>
      </c>
      <c r="I316" s="151" t="s">
        <v>1774</v>
      </c>
    </row>
    <row r="317" spans="1:9" s="319" customFormat="1" ht="39" hidden="1">
      <c r="A317" s="112"/>
      <c r="B317" s="148" t="s">
        <v>1060</v>
      </c>
      <c r="C317" s="112" t="s">
        <v>903</v>
      </c>
      <c r="D317" s="129"/>
      <c r="E317" s="129">
        <v>300</v>
      </c>
      <c r="F317" s="190">
        <f t="shared" si="97"/>
        <v>0</v>
      </c>
      <c r="G317" s="190">
        <f t="shared" si="95"/>
        <v>0</v>
      </c>
      <c r="H317" s="171">
        <f t="shared" si="96"/>
        <v>0</v>
      </c>
      <c r="I317" s="151" t="s">
        <v>1774</v>
      </c>
    </row>
    <row r="318" spans="1:9" ht="52" outlineLevel="1">
      <c r="A318" s="13" t="s">
        <v>742</v>
      </c>
      <c r="B318" s="12" t="s">
        <v>1032</v>
      </c>
      <c r="C318" s="13"/>
      <c r="D318" s="174"/>
      <c r="E318" s="174"/>
      <c r="F318" s="20">
        <f t="shared" ref="F318" si="98">+F319</f>
        <v>1273</v>
      </c>
      <c r="G318" s="44">
        <f t="shared" si="95"/>
        <v>1209</v>
      </c>
      <c r="H318" s="247">
        <f t="shared" si="96"/>
        <v>64</v>
      </c>
      <c r="I318" s="890"/>
    </row>
    <row r="319" spans="1:9" s="319" customFormat="1" ht="26" hidden="1">
      <c r="A319" s="112"/>
      <c r="B319" s="148" t="s">
        <v>1137</v>
      </c>
      <c r="C319" s="112" t="s">
        <v>1018</v>
      </c>
      <c r="D319" s="129">
        <v>1</v>
      </c>
      <c r="E319" s="616">
        <f>526+747</f>
        <v>1273</v>
      </c>
      <c r="F319" s="190">
        <f>D319*E319</f>
        <v>1273</v>
      </c>
      <c r="G319" s="190">
        <f t="shared" si="95"/>
        <v>1209</v>
      </c>
      <c r="H319" s="171">
        <f t="shared" si="96"/>
        <v>64</v>
      </c>
      <c r="I319" s="151" t="s">
        <v>1774</v>
      </c>
    </row>
    <row r="320" spans="1:9" s="885" customFormat="1" ht="52" outlineLevel="1">
      <c r="A320" s="13" t="s">
        <v>742</v>
      </c>
      <c r="B320" s="12" t="s">
        <v>1033</v>
      </c>
      <c r="C320" s="702" t="s">
        <v>1034</v>
      </c>
      <c r="D320" s="17">
        <v>1</v>
      </c>
      <c r="E320" s="17">
        <f>526+750</f>
        <v>1276</v>
      </c>
      <c r="F320" s="20">
        <f>D320*E320</f>
        <v>1276</v>
      </c>
      <c r="G320" s="44">
        <f t="shared" si="95"/>
        <v>1212</v>
      </c>
      <c r="H320" s="247">
        <f t="shared" si="96"/>
        <v>64</v>
      </c>
      <c r="I320" s="890"/>
    </row>
    <row r="321" spans="1:9" s="329" customFormat="1" ht="18" hidden="1" customHeight="1" outlineLevel="1">
      <c r="A321" s="112"/>
      <c r="B321" s="154" t="s">
        <v>1138</v>
      </c>
      <c r="C321" s="623" t="s">
        <v>1034</v>
      </c>
      <c r="D321" s="292"/>
      <c r="E321" s="292"/>
      <c r="F321" s="155">
        <f>D321*E321</f>
        <v>0</v>
      </c>
      <c r="G321" s="190">
        <f t="shared" si="95"/>
        <v>0</v>
      </c>
      <c r="H321" s="171">
        <f t="shared" si="96"/>
        <v>0</v>
      </c>
      <c r="I321" s="151" t="s">
        <v>1774</v>
      </c>
    </row>
    <row r="322" spans="1:9" s="329" customFormat="1" ht="18" hidden="1" customHeight="1" outlineLevel="1">
      <c r="A322" s="112"/>
      <c r="B322" s="154" t="s">
        <v>1139</v>
      </c>
      <c r="C322" s="623" t="s">
        <v>1034</v>
      </c>
      <c r="D322" s="292"/>
      <c r="E322" s="292"/>
      <c r="F322" s="155">
        <f t="shared" ref="F322:F323" si="99">D322*E322</f>
        <v>0</v>
      </c>
      <c r="G322" s="190">
        <f t="shared" si="95"/>
        <v>0</v>
      </c>
      <c r="H322" s="171">
        <f t="shared" si="96"/>
        <v>0</v>
      </c>
      <c r="I322" s="151" t="s">
        <v>1774</v>
      </c>
    </row>
    <row r="323" spans="1:9" s="143" customFormat="1" hidden="1">
      <c r="A323" s="112"/>
      <c r="B323" s="154" t="s">
        <v>1806</v>
      </c>
      <c r="C323" s="623" t="s">
        <v>1034</v>
      </c>
      <c r="D323" s="292"/>
      <c r="E323" s="292"/>
      <c r="F323" s="155">
        <f t="shared" si="99"/>
        <v>0</v>
      </c>
      <c r="G323" s="190">
        <f t="shared" si="95"/>
        <v>0</v>
      </c>
      <c r="H323" s="171">
        <f t="shared" si="96"/>
        <v>0</v>
      </c>
      <c r="I323" s="151" t="s">
        <v>1774</v>
      </c>
    </row>
    <row r="324" spans="1:9" s="885" customFormat="1" ht="26" outlineLevel="2">
      <c r="A324" s="13" t="s">
        <v>742</v>
      </c>
      <c r="B324" s="12" t="s">
        <v>1021</v>
      </c>
      <c r="C324" s="13" t="str">
        <f>+C325</f>
        <v>CLB</v>
      </c>
      <c r="D324" s="174">
        <f>SUM(D325:D327)</f>
        <v>3</v>
      </c>
      <c r="E324" s="174">
        <f>+E325</f>
        <v>100</v>
      </c>
      <c r="F324" s="20">
        <f t="shared" ref="F324" si="100">SUM(F325:F327)</f>
        <v>300</v>
      </c>
      <c r="G324" s="44">
        <f t="shared" si="95"/>
        <v>285</v>
      </c>
      <c r="H324" s="247">
        <f t="shared" si="96"/>
        <v>15</v>
      </c>
      <c r="I324" s="890"/>
    </row>
    <row r="325" spans="1:9" s="150" customFormat="1" ht="18" hidden="1" customHeight="1" outlineLevel="2">
      <c r="A325" s="112"/>
      <c r="B325" s="148" t="s">
        <v>2331</v>
      </c>
      <c r="C325" s="112" t="s">
        <v>1022</v>
      </c>
      <c r="D325" s="292">
        <v>1</v>
      </c>
      <c r="E325" s="292">
        <v>100</v>
      </c>
      <c r="F325" s="155">
        <f t="shared" si="97"/>
        <v>100</v>
      </c>
      <c r="G325" s="190">
        <f t="shared" si="95"/>
        <v>95</v>
      </c>
      <c r="H325" s="171">
        <f t="shared" si="96"/>
        <v>5</v>
      </c>
      <c r="I325" s="151" t="s">
        <v>1774</v>
      </c>
    </row>
    <row r="326" spans="1:9" s="319" customFormat="1" ht="18" hidden="1" customHeight="1">
      <c r="A326" s="112"/>
      <c r="B326" s="148" t="s">
        <v>2332</v>
      </c>
      <c r="C326" s="112" t="s">
        <v>1022</v>
      </c>
      <c r="D326" s="292">
        <v>1</v>
      </c>
      <c r="E326" s="292">
        <v>100</v>
      </c>
      <c r="F326" s="155">
        <f t="shared" si="97"/>
        <v>100</v>
      </c>
      <c r="G326" s="190">
        <f t="shared" si="95"/>
        <v>95</v>
      </c>
      <c r="H326" s="171">
        <f t="shared" si="96"/>
        <v>5</v>
      </c>
      <c r="I326" s="151" t="s">
        <v>1774</v>
      </c>
    </row>
    <row r="327" spans="1:9" s="319" customFormat="1" ht="54" hidden="1" customHeight="1">
      <c r="A327" s="112"/>
      <c r="B327" s="148" t="s">
        <v>2333</v>
      </c>
      <c r="C327" s="112" t="s">
        <v>1022</v>
      </c>
      <c r="D327" s="292">
        <v>1</v>
      </c>
      <c r="E327" s="292">
        <v>100</v>
      </c>
      <c r="F327" s="155">
        <f t="shared" si="97"/>
        <v>100</v>
      </c>
      <c r="G327" s="190">
        <f t="shared" si="95"/>
        <v>95</v>
      </c>
      <c r="H327" s="171">
        <f t="shared" si="96"/>
        <v>5</v>
      </c>
      <c r="I327" s="151" t="s">
        <v>1774</v>
      </c>
    </row>
    <row r="328" spans="1:9" s="444" customFormat="1" ht="20.149999999999999" customHeight="1">
      <c r="A328" s="13" t="s">
        <v>742</v>
      </c>
      <c r="B328" s="12" t="s">
        <v>1038</v>
      </c>
      <c r="C328" s="13" t="s">
        <v>1040</v>
      </c>
      <c r="D328" s="174">
        <v>13</v>
      </c>
      <c r="E328" s="174">
        <v>150</v>
      </c>
      <c r="F328" s="44">
        <f>+F329</f>
        <v>1950</v>
      </c>
      <c r="G328" s="44">
        <f t="shared" ref="G328:H328" si="101">+G329</f>
        <v>1853</v>
      </c>
      <c r="H328" s="247">
        <f t="shared" si="101"/>
        <v>97</v>
      </c>
      <c r="I328" s="890"/>
    </row>
    <row r="329" spans="1:9" s="143" customFormat="1" ht="52" hidden="1">
      <c r="A329" s="112"/>
      <c r="B329" s="148" t="s">
        <v>1802</v>
      </c>
      <c r="C329" s="112" t="s">
        <v>1040</v>
      </c>
      <c r="D329" s="129">
        <v>13</v>
      </c>
      <c r="E329" s="129">
        <v>150</v>
      </c>
      <c r="F329" s="190">
        <f t="shared" ref="F329" si="102">D329*E329</f>
        <v>1950</v>
      </c>
      <c r="G329" s="190">
        <f t="shared" ref="G329" si="103">ROUND(F329*95%,0)</f>
        <v>1853</v>
      </c>
      <c r="H329" s="171">
        <f t="shared" ref="H329" si="104">F329-G329</f>
        <v>97</v>
      </c>
      <c r="I329" s="151" t="s">
        <v>1774</v>
      </c>
    </row>
    <row r="330" spans="1:9" s="143" customFormat="1" hidden="1">
      <c r="A330" s="112" t="s">
        <v>742</v>
      </c>
      <c r="B330" s="148" t="s">
        <v>705</v>
      </c>
      <c r="C330" s="112"/>
      <c r="D330" s="129"/>
      <c r="E330" s="129"/>
      <c r="F330" s="190">
        <f t="shared" si="97"/>
        <v>0</v>
      </c>
      <c r="G330" s="190">
        <f t="shared" si="95"/>
        <v>0</v>
      </c>
      <c r="H330" s="171">
        <f t="shared" si="96"/>
        <v>0</v>
      </c>
      <c r="I330" s="151" t="s">
        <v>1774</v>
      </c>
    </row>
    <row r="331" spans="1:9" s="143" customFormat="1" ht="26" hidden="1">
      <c r="A331" s="112" t="s">
        <v>742</v>
      </c>
      <c r="B331" s="148" t="s">
        <v>1044</v>
      </c>
      <c r="C331" s="112" t="s">
        <v>1045</v>
      </c>
      <c r="D331" s="129"/>
      <c r="E331" s="129">
        <v>3000</v>
      </c>
      <c r="F331" s="190">
        <f t="shared" si="97"/>
        <v>0</v>
      </c>
      <c r="G331" s="190">
        <f t="shared" si="95"/>
        <v>0</v>
      </c>
      <c r="H331" s="171">
        <f t="shared" si="96"/>
        <v>0</v>
      </c>
      <c r="I331" s="151" t="s">
        <v>1774</v>
      </c>
    </row>
    <row r="332" spans="1:9" s="143" customFormat="1" ht="26" hidden="1">
      <c r="A332" s="112" t="s">
        <v>742</v>
      </c>
      <c r="B332" s="148" t="s">
        <v>1046</v>
      </c>
      <c r="C332" s="112" t="s">
        <v>1047</v>
      </c>
      <c r="D332" s="129"/>
      <c r="E332" s="129">
        <v>1500</v>
      </c>
      <c r="F332" s="190">
        <f t="shared" si="97"/>
        <v>0</v>
      </c>
      <c r="G332" s="190">
        <f t="shared" si="95"/>
        <v>0</v>
      </c>
      <c r="H332" s="171">
        <f t="shared" si="96"/>
        <v>0</v>
      </c>
      <c r="I332" s="151" t="s">
        <v>1774</v>
      </c>
    </row>
    <row r="333" spans="1:9" s="143" customFormat="1" ht="26" hidden="1">
      <c r="A333" s="112" t="s">
        <v>742</v>
      </c>
      <c r="B333" s="148" t="s">
        <v>1048</v>
      </c>
      <c r="C333" s="112" t="s">
        <v>902</v>
      </c>
      <c r="D333" s="129"/>
      <c r="E333" s="129">
        <v>200</v>
      </c>
      <c r="F333" s="190">
        <f t="shared" si="97"/>
        <v>0</v>
      </c>
      <c r="G333" s="190">
        <f t="shared" si="95"/>
        <v>0</v>
      </c>
      <c r="H333" s="171">
        <f t="shared" si="96"/>
        <v>0</v>
      </c>
      <c r="I333" s="151" t="s">
        <v>1774</v>
      </c>
    </row>
    <row r="334" spans="1:9" s="143" customFormat="1" ht="52" hidden="1">
      <c r="A334" s="112" t="s">
        <v>742</v>
      </c>
      <c r="B334" s="148" t="s">
        <v>1017</v>
      </c>
      <c r="C334" s="112" t="s">
        <v>1018</v>
      </c>
      <c r="D334" s="129"/>
      <c r="E334" s="129">
        <v>500</v>
      </c>
      <c r="F334" s="190">
        <f t="shared" si="97"/>
        <v>0</v>
      </c>
      <c r="G334" s="190">
        <f t="shared" si="95"/>
        <v>0</v>
      </c>
      <c r="H334" s="171">
        <f t="shared" si="96"/>
        <v>0</v>
      </c>
      <c r="I334" s="151" t="s">
        <v>1774</v>
      </c>
    </row>
    <row r="335" spans="1:9" s="143" customFormat="1" hidden="1">
      <c r="A335" s="112" t="s">
        <v>742</v>
      </c>
      <c r="B335" s="148" t="s">
        <v>706</v>
      </c>
      <c r="C335" s="112"/>
      <c r="D335" s="129"/>
      <c r="E335" s="129"/>
      <c r="F335" s="190">
        <f t="shared" si="97"/>
        <v>0</v>
      </c>
      <c r="G335" s="190">
        <f t="shared" si="95"/>
        <v>0</v>
      </c>
      <c r="H335" s="171">
        <f t="shared" si="96"/>
        <v>0</v>
      </c>
      <c r="I335" s="151" t="s">
        <v>1774</v>
      </c>
    </row>
    <row r="336" spans="1:9" s="143" customFormat="1" hidden="1">
      <c r="A336" s="112" t="s">
        <v>742</v>
      </c>
      <c r="B336" s="148" t="s">
        <v>1051</v>
      </c>
      <c r="C336" s="112"/>
      <c r="D336" s="129"/>
      <c r="E336" s="129"/>
      <c r="F336" s="190">
        <f t="shared" si="97"/>
        <v>0</v>
      </c>
      <c r="G336" s="190">
        <f t="shared" si="95"/>
        <v>0</v>
      </c>
      <c r="H336" s="171">
        <f t="shared" si="96"/>
        <v>0</v>
      </c>
      <c r="I336" s="151" t="s">
        <v>1774</v>
      </c>
    </row>
    <row r="337" spans="1:9" s="143" customFormat="1" ht="26" hidden="1">
      <c r="A337" s="112" t="s">
        <v>742</v>
      </c>
      <c r="B337" s="148" t="s">
        <v>1053</v>
      </c>
      <c r="C337" s="112"/>
      <c r="D337" s="129"/>
      <c r="E337" s="129"/>
      <c r="F337" s="190">
        <f t="shared" si="97"/>
        <v>0</v>
      </c>
      <c r="G337" s="190">
        <f t="shared" si="95"/>
        <v>0</v>
      </c>
      <c r="H337" s="171">
        <f t="shared" si="96"/>
        <v>0</v>
      </c>
      <c r="I337" s="151" t="s">
        <v>1774</v>
      </c>
    </row>
    <row r="338" spans="1:9" s="444" customFormat="1" ht="26">
      <c r="A338" s="13" t="s">
        <v>742</v>
      </c>
      <c r="B338" s="12" t="s">
        <v>1025</v>
      </c>
      <c r="C338" s="13" t="s">
        <v>1026</v>
      </c>
      <c r="D338" s="174">
        <v>22</v>
      </c>
      <c r="E338" s="174">
        <v>50</v>
      </c>
      <c r="F338" s="44">
        <f t="shared" si="97"/>
        <v>1100</v>
      </c>
      <c r="G338" s="44">
        <f t="shared" si="95"/>
        <v>1045</v>
      </c>
      <c r="H338" s="247">
        <f t="shared" si="96"/>
        <v>55</v>
      </c>
      <c r="I338" s="890"/>
    </row>
    <row r="339" spans="1:9" s="143" customFormat="1" ht="26" hidden="1">
      <c r="A339" s="258" t="s">
        <v>742</v>
      </c>
      <c r="B339" s="625" t="s">
        <v>1054</v>
      </c>
      <c r="C339" s="258"/>
      <c r="D339" s="626"/>
      <c r="E339" s="626"/>
      <c r="F339" s="627">
        <f t="shared" si="97"/>
        <v>0</v>
      </c>
      <c r="G339" s="627">
        <f t="shared" si="95"/>
        <v>0</v>
      </c>
      <c r="H339" s="629">
        <f t="shared" si="96"/>
        <v>0</v>
      </c>
      <c r="I339" s="471" t="s">
        <v>1774</v>
      </c>
    </row>
    <row r="340" spans="1:9" ht="11.25" customHeight="1">
      <c r="A340" s="892"/>
      <c r="B340" s="857"/>
      <c r="C340" s="799"/>
      <c r="D340" s="433"/>
      <c r="E340" s="800"/>
      <c r="F340" s="800"/>
      <c r="H340" s="313"/>
      <c r="I340" s="800"/>
    </row>
    <row r="341" spans="1:9" s="453" customFormat="1" ht="18" customHeight="1">
      <c r="A341" s="1824" t="s">
        <v>2490</v>
      </c>
      <c r="B341" s="1824"/>
      <c r="C341" s="1824"/>
      <c r="D341" s="1824"/>
      <c r="E341" s="1824"/>
      <c r="F341" s="1824"/>
      <c r="G341" s="1824"/>
      <c r="H341" s="1873"/>
      <c r="I341" s="1824"/>
    </row>
    <row r="342" spans="1:9" ht="27" customHeight="1">
      <c r="A342" s="1803" t="s">
        <v>2056</v>
      </c>
      <c r="B342" s="1803"/>
      <c r="C342" s="1803"/>
      <c r="D342" s="1803"/>
      <c r="E342" s="1803"/>
      <c r="F342" s="1803"/>
      <c r="G342" s="1803"/>
      <c r="H342" s="1877"/>
      <c r="I342" s="1803"/>
    </row>
    <row r="343" spans="1:9" ht="54" customHeight="1">
      <c r="A343" s="1803" t="s">
        <v>2057</v>
      </c>
      <c r="B343" s="1803"/>
      <c r="C343" s="1803"/>
      <c r="D343" s="1803"/>
      <c r="E343" s="1803"/>
      <c r="F343" s="1803"/>
      <c r="G343" s="1803"/>
      <c r="H343" s="1877"/>
      <c r="I343" s="1803"/>
    </row>
    <row r="344" spans="1:9" ht="26.25" customHeight="1">
      <c r="A344" s="1803" t="s">
        <v>2058</v>
      </c>
      <c r="B344" s="1803"/>
      <c r="C344" s="1803"/>
      <c r="D344" s="1803"/>
      <c r="E344" s="1803"/>
      <c r="F344" s="1803"/>
      <c r="G344" s="1803"/>
      <c r="H344" s="1877"/>
      <c r="I344" s="1803"/>
    </row>
    <row r="345" spans="1:9" ht="29.25" customHeight="1">
      <c r="A345" s="1803" t="s">
        <v>2059</v>
      </c>
      <c r="B345" s="1803"/>
      <c r="C345" s="1803"/>
      <c r="D345" s="1803"/>
      <c r="E345" s="1803"/>
      <c r="F345" s="1803"/>
      <c r="G345" s="1803"/>
      <c r="H345" s="1877"/>
      <c r="I345" s="1803"/>
    </row>
    <row r="346" spans="1:9" ht="42.75" customHeight="1">
      <c r="A346" s="1803" t="s">
        <v>2060</v>
      </c>
      <c r="B346" s="1803"/>
      <c r="C346" s="1803"/>
      <c r="D346" s="1803"/>
      <c r="E346" s="1803"/>
      <c r="F346" s="1803"/>
      <c r="G346" s="1803"/>
      <c r="H346" s="1877"/>
      <c r="I346" s="1803"/>
    </row>
    <row r="347" spans="1:9" ht="27" customHeight="1">
      <c r="A347" s="1803" t="s">
        <v>2061</v>
      </c>
      <c r="B347" s="1803"/>
      <c r="C347" s="1803"/>
      <c r="D347" s="1803"/>
      <c r="E347" s="1803"/>
      <c r="F347" s="1803"/>
      <c r="G347" s="1803"/>
      <c r="H347" s="1877"/>
      <c r="I347" s="1803"/>
    </row>
    <row r="348" spans="1:9" ht="27" customHeight="1">
      <c r="A348" s="1803" t="s">
        <v>2062</v>
      </c>
      <c r="B348" s="1803"/>
      <c r="C348" s="1803"/>
      <c r="D348" s="1803"/>
      <c r="E348" s="1803"/>
      <c r="F348" s="1803"/>
      <c r="G348" s="1803"/>
      <c r="H348" s="1877"/>
      <c r="I348" s="1803"/>
    </row>
    <row r="349" spans="1:9">
      <c r="A349" s="892"/>
      <c r="B349" s="857"/>
      <c r="C349" s="799"/>
      <c r="D349" s="433"/>
      <c r="E349" s="800"/>
      <c r="F349" s="800"/>
      <c r="H349" s="313"/>
      <c r="I349" s="800"/>
    </row>
    <row r="350" spans="1:9">
      <c r="A350" s="892"/>
      <c r="B350" s="857"/>
      <c r="C350" s="799"/>
      <c r="D350" s="433"/>
      <c r="E350" s="800"/>
      <c r="F350" s="800"/>
      <c r="H350" s="313"/>
      <c r="I350" s="800"/>
    </row>
    <row r="351" spans="1:9">
      <c r="A351" s="892"/>
      <c r="B351" s="857"/>
      <c r="C351" s="799"/>
      <c r="D351" s="433"/>
      <c r="E351" s="800"/>
      <c r="F351" s="800"/>
      <c r="H351" s="313"/>
      <c r="I351" s="800"/>
    </row>
    <row r="352" spans="1:9">
      <c r="A352" s="892"/>
      <c r="B352" s="857"/>
      <c r="C352" s="799"/>
      <c r="D352" s="433"/>
      <c r="E352" s="800"/>
      <c r="F352" s="800"/>
      <c r="H352" s="313"/>
      <c r="I352" s="800"/>
    </row>
    <row r="353" spans="1:9">
      <c r="A353" s="892"/>
      <c r="B353" s="857"/>
      <c r="C353" s="799"/>
      <c r="D353" s="433"/>
      <c r="E353" s="800"/>
      <c r="F353" s="800"/>
      <c r="H353" s="313"/>
      <c r="I353" s="800"/>
    </row>
    <row r="354" spans="1:9">
      <c r="A354" s="1878"/>
      <c r="B354" s="1878"/>
      <c r="C354" s="1878"/>
      <c r="D354" s="1878"/>
      <c r="E354" s="1878"/>
      <c r="F354" s="1878"/>
      <c r="G354" s="1878"/>
      <c r="H354" s="1879"/>
      <c r="I354" s="1878"/>
    </row>
    <row r="355" spans="1:9">
      <c r="A355" s="1838"/>
      <c r="B355" s="1839"/>
      <c r="C355" s="1839"/>
      <c r="D355" s="1839"/>
      <c r="E355" s="1839"/>
      <c r="F355" s="1839"/>
      <c r="G355" s="1839"/>
      <c r="H355" s="1880"/>
      <c r="I355" s="1839"/>
    </row>
  </sheetData>
  <autoFilter ref="A6:V339">
    <filterColumn colId="8">
      <filters blank="1"/>
    </filterColumn>
  </autoFilter>
  <mergeCells count="22">
    <mergeCell ref="A348:I348"/>
    <mergeCell ref="A354:I354"/>
    <mergeCell ref="A355:I355"/>
    <mergeCell ref="G4:G5"/>
    <mergeCell ref="F3:I3"/>
    <mergeCell ref="A342:I342"/>
    <mergeCell ref="A343:I343"/>
    <mergeCell ref="A344:I344"/>
    <mergeCell ref="A345:I345"/>
    <mergeCell ref="A346:I346"/>
    <mergeCell ref="A347:I347"/>
    <mergeCell ref="I4:I5"/>
    <mergeCell ref="A4:A5"/>
    <mergeCell ref="B4:B5"/>
    <mergeCell ref="C4:C5"/>
    <mergeCell ref="A341:I341"/>
    <mergeCell ref="D4:D5"/>
    <mergeCell ref="E4:E5"/>
    <mergeCell ref="F4:F5"/>
    <mergeCell ref="A1:B1"/>
    <mergeCell ref="A2:I2"/>
    <mergeCell ref="G1:I1"/>
  </mergeCells>
  <pageMargins left="0.5" right="0.2" top="0.5" bottom="0.5" header="0.3" footer="0.3"/>
  <pageSetup paperSize="9" scale="80" orientation="portrait" r:id="rId1"/>
  <headerFooter>
    <oddFooter>&amp;C&amp;8&amp;P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O191"/>
  <sheetViews>
    <sheetView workbookViewId="0">
      <selection activeCell="F6" sqref="F6:F10"/>
    </sheetView>
  </sheetViews>
  <sheetFormatPr defaultColWidth="9.08203125" defaultRowHeight="13"/>
  <cols>
    <col min="1" max="1" width="7.4140625" style="105" customWidth="1"/>
    <col min="2" max="2" width="44.6640625" style="105" customWidth="1"/>
    <col min="3" max="3" width="10.6640625" style="105" customWidth="1"/>
    <col min="4" max="4" width="11.33203125" style="105" customWidth="1"/>
    <col min="5" max="5" width="13.33203125" style="105" customWidth="1"/>
    <col min="6" max="6" width="12.6640625" style="105" hidden="1" customWidth="1"/>
    <col min="7" max="11" width="9.33203125" style="105" hidden="1" customWidth="1"/>
    <col min="12" max="12" width="12.08203125" style="105" customWidth="1"/>
    <col min="13" max="13" width="13.4140625" style="105" customWidth="1"/>
    <col min="14" max="16384" width="9.08203125" style="105"/>
  </cols>
  <sheetData>
    <row r="1" spans="1:14" s="1115" customFormat="1" ht="23.25" customHeight="1">
      <c r="A1" s="1831" t="s">
        <v>2792</v>
      </c>
      <c r="B1" s="1831"/>
      <c r="C1" s="1831"/>
      <c r="D1" s="1831"/>
      <c r="E1" s="1831"/>
      <c r="F1" s="1831"/>
      <c r="G1" s="1831"/>
      <c r="H1" s="1831"/>
      <c r="I1" s="1831"/>
      <c r="J1" s="1831"/>
      <c r="K1" s="1831"/>
      <c r="L1" s="1831"/>
    </row>
    <row r="2" spans="1:14" s="140" customFormat="1" ht="18" hidden="1" customHeight="1">
      <c r="A2" s="1874"/>
      <c r="B2" s="1874"/>
      <c r="C2" s="1116"/>
      <c r="D2" s="1116"/>
      <c r="E2" s="1113"/>
      <c r="F2" s="1113"/>
      <c r="G2" s="1113"/>
      <c r="H2" s="1113"/>
      <c r="I2" s="1113"/>
      <c r="J2" s="1875" t="s">
        <v>1402</v>
      </c>
      <c r="K2" s="1875"/>
      <c r="L2" s="1875"/>
    </row>
    <row r="3" spans="1:14" ht="18" customHeight="1">
      <c r="A3" s="1831" t="s">
        <v>1401</v>
      </c>
      <c r="B3" s="1831"/>
      <c r="C3" s="1831"/>
      <c r="D3" s="1831"/>
      <c r="E3" s="1831"/>
      <c r="F3" s="1831"/>
      <c r="G3" s="1831"/>
      <c r="H3" s="1831"/>
      <c r="I3" s="1831"/>
      <c r="J3" s="1831"/>
      <c r="K3" s="1831"/>
      <c r="L3" s="1831"/>
    </row>
    <row r="4" spans="1:14" ht="30" customHeight="1">
      <c r="A4" s="1831" t="s">
        <v>1400</v>
      </c>
      <c r="B4" s="1831"/>
      <c r="C4" s="1831"/>
      <c r="D4" s="1831"/>
      <c r="E4" s="1831"/>
      <c r="F4" s="1831"/>
      <c r="G4" s="1831"/>
      <c r="H4" s="1831"/>
      <c r="I4" s="1831"/>
      <c r="J4" s="1831"/>
      <c r="K4" s="1831"/>
      <c r="L4" s="1831"/>
    </row>
    <row r="5" spans="1:14" s="444" customFormat="1" ht="30" customHeight="1">
      <c r="A5" s="1837" t="e">
        <f>#REF!</f>
        <v>#REF!</v>
      </c>
      <c r="B5" s="1837"/>
      <c r="C5" s="1837"/>
      <c r="D5" s="1837"/>
      <c r="E5" s="1837"/>
      <c r="F5" s="1837"/>
      <c r="G5" s="1837"/>
      <c r="H5" s="1837"/>
      <c r="I5" s="1837"/>
      <c r="J5" s="1837"/>
      <c r="K5" s="1837"/>
      <c r="L5" s="1837"/>
    </row>
    <row r="6" spans="1:14" ht="18" customHeight="1">
      <c r="A6" s="1835" t="s">
        <v>3</v>
      </c>
      <c r="B6" s="1835"/>
      <c r="C6" s="1835"/>
      <c r="D6" s="1835"/>
      <c r="E6" s="1835"/>
      <c r="F6" s="1835"/>
      <c r="G6" s="1835"/>
      <c r="H6" s="1835"/>
      <c r="I6" s="1835"/>
      <c r="J6" s="1835"/>
      <c r="K6" s="1835"/>
      <c r="L6" s="1835"/>
    </row>
    <row r="7" spans="1:14" ht="21" customHeight="1">
      <c r="A7" s="1825" t="s">
        <v>4</v>
      </c>
      <c r="B7" s="1825" t="s">
        <v>5</v>
      </c>
      <c r="C7" s="1882" t="s">
        <v>2547</v>
      </c>
      <c r="D7" s="1882" t="s">
        <v>36</v>
      </c>
      <c r="E7" s="1833" t="s">
        <v>2537</v>
      </c>
      <c r="F7" s="1049"/>
      <c r="G7" s="1050"/>
      <c r="H7" s="1832" t="s">
        <v>724</v>
      </c>
      <c r="I7" s="1832"/>
      <c r="J7" s="1832"/>
      <c r="K7" s="1832" t="s">
        <v>727</v>
      </c>
      <c r="L7" s="1825" t="s">
        <v>33</v>
      </c>
      <c r="M7" s="1775" t="s">
        <v>2925</v>
      </c>
      <c r="N7" s="1776" t="s">
        <v>2926</v>
      </c>
    </row>
    <row r="8" spans="1:14" ht="21" customHeight="1">
      <c r="A8" s="1826"/>
      <c r="B8" s="1826"/>
      <c r="C8" s="1883"/>
      <c r="D8" s="1883"/>
      <c r="E8" s="1836"/>
      <c r="F8" s="789" t="s">
        <v>720</v>
      </c>
      <c r="G8" s="789" t="s">
        <v>6</v>
      </c>
      <c r="H8" s="789" t="s">
        <v>880</v>
      </c>
      <c r="I8" s="789" t="s">
        <v>720</v>
      </c>
      <c r="J8" s="789" t="s">
        <v>6</v>
      </c>
      <c r="K8" s="1832"/>
      <c r="L8" s="1826"/>
      <c r="M8" s="1775"/>
      <c r="N8" s="1776"/>
    </row>
    <row r="9" spans="1:14" s="485" customFormat="1" ht="18" hidden="1" customHeight="1">
      <c r="A9" s="484">
        <v>1</v>
      </c>
      <c r="B9" s="484">
        <v>2</v>
      </c>
      <c r="C9" s="484"/>
      <c r="D9" s="484"/>
      <c r="E9" s="484">
        <v>3</v>
      </c>
      <c r="F9" s="484">
        <v>4</v>
      </c>
      <c r="G9" s="484">
        <v>5</v>
      </c>
      <c r="H9" s="484" t="s">
        <v>22</v>
      </c>
      <c r="I9" s="484" t="s">
        <v>24</v>
      </c>
      <c r="J9" s="484" t="s">
        <v>882</v>
      </c>
      <c r="K9" s="484">
        <v>12</v>
      </c>
      <c r="L9" s="484">
        <v>6</v>
      </c>
      <c r="M9" s="30">
        <f>COUNTIF(M10:M64,"1")</f>
        <v>2</v>
      </c>
      <c r="N9" s="30">
        <f>COUNTIF(N10:N64,"1")</f>
        <v>2</v>
      </c>
    </row>
    <row r="10" spans="1:14" ht="36.75" customHeight="1">
      <c r="A10" s="40"/>
      <c r="B10" s="40" t="s">
        <v>7</v>
      </c>
      <c r="C10" s="1145"/>
      <c r="D10" s="1145"/>
      <c r="E10" s="777">
        <f>+E11+E15</f>
        <v>29985</v>
      </c>
      <c r="F10" s="777">
        <f>+F11+F15</f>
        <v>31924</v>
      </c>
      <c r="G10" s="777">
        <f>+G11+G15</f>
        <v>61909</v>
      </c>
      <c r="H10" s="777" t="e">
        <f>+#REF!+#REF!+#REF!+#REF!</f>
        <v>#REF!</v>
      </c>
      <c r="I10" s="777" t="e">
        <f>+#REF!+#REF!+#REF!+#REF!</f>
        <v>#REF!</v>
      </c>
      <c r="J10" s="777" t="e">
        <f>+#REF!+#REF!+#REF!+#REF!</f>
        <v>#REF!</v>
      </c>
      <c r="K10" s="777" t="e">
        <f>+#REF!+#REF!+#REF!+#REF!</f>
        <v>#REF!</v>
      </c>
      <c r="L10" s="1046" t="s">
        <v>2096</v>
      </c>
      <c r="M10" s="1177"/>
      <c r="N10" s="1177"/>
    </row>
    <row r="11" spans="1:14" ht="36.75" customHeight="1">
      <c r="A11" s="40" t="s">
        <v>8</v>
      </c>
      <c r="B11" s="54" t="s">
        <v>1395</v>
      </c>
      <c r="C11" s="1146"/>
      <c r="D11" s="1146"/>
      <c r="E11" s="777">
        <f>SUM(E12:E13)</f>
        <v>29985</v>
      </c>
      <c r="F11" s="777">
        <f t="shared" ref="F11:G11" si="0">SUM(F12:F13)</f>
        <v>31924</v>
      </c>
      <c r="G11" s="777">
        <f t="shared" si="0"/>
        <v>61909</v>
      </c>
      <c r="H11" s="777"/>
      <c r="I11" s="777"/>
      <c r="J11" s="777"/>
      <c r="K11" s="777"/>
      <c r="L11" s="721"/>
      <c r="M11" s="30">
        <f>COUNTIF(M12:M14,"1")</f>
        <v>1</v>
      </c>
      <c r="N11" s="30">
        <f>COUNTIF(N12:N14,"1")</f>
        <v>1</v>
      </c>
    </row>
    <row r="12" spans="1:14" ht="43.5" hidden="1" customHeight="1">
      <c r="A12" s="18">
        <v>1</v>
      </c>
      <c r="B12" s="638" t="s">
        <v>697</v>
      </c>
      <c r="C12" s="1142"/>
      <c r="D12" s="1142"/>
      <c r="E12" s="878"/>
      <c r="F12" s="878">
        <f>+'7-SN'!G8</f>
        <v>31924</v>
      </c>
      <c r="G12" s="878">
        <f>SUM(E12:F12)</f>
        <v>31924</v>
      </c>
      <c r="H12" s="878"/>
      <c r="I12" s="878"/>
      <c r="J12" s="878"/>
      <c r="K12" s="878"/>
      <c r="L12" s="722"/>
    </row>
    <row r="13" spans="1:14" s="444" customFormat="1" ht="43.5" customHeight="1">
      <c r="A13" s="482"/>
      <c r="B13" s="712" t="s">
        <v>1483</v>
      </c>
      <c r="C13" s="1166"/>
      <c r="D13" s="1166"/>
      <c r="E13" s="1167">
        <f>+'7-ĐT'!G24</f>
        <v>29985</v>
      </c>
      <c r="F13" s="1167"/>
      <c r="G13" s="1167">
        <f>SUM(E13:F13)</f>
        <v>29985</v>
      </c>
      <c r="H13" s="1167"/>
      <c r="I13" s="1167"/>
      <c r="J13" s="1167"/>
      <c r="K13" s="1167"/>
      <c r="L13" s="889"/>
    </row>
    <row r="14" spans="1:14" ht="54" customHeight="1">
      <c r="A14" s="1141" t="s">
        <v>10</v>
      </c>
      <c r="B14" s="1142" t="s">
        <v>2875</v>
      </c>
      <c r="C14" s="1141" t="s">
        <v>2876</v>
      </c>
      <c r="D14" s="1143">
        <f>E13</f>
        <v>29985</v>
      </c>
      <c r="E14" s="1143">
        <f>E13</f>
        <v>29985</v>
      </c>
      <c r="F14" s="1143"/>
      <c r="G14" s="1143"/>
      <c r="H14" s="1143"/>
      <c r="I14" s="1143"/>
      <c r="J14" s="1143"/>
      <c r="K14" s="1143"/>
      <c r="L14" s="1144"/>
      <c r="M14" s="645" t="str">
        <f>IF(E14&gt;15000,"1","0")</f>
        <v>1</v>
      </c>
      <c r="N14" s="645" t="str">
        <f>IF(E14&gt;10000,"1","0")</f>
        <v>1</v>
      </c>
    </row>
    <row r="15" spans="1:14" ht="43.5" hidden="1" customHeight="1">
      <c r="A15" s="40" t="s">
        <v>26</v>
      </c>
      <c r="B15" s="54" t="s">
        <v>1396</v>
      </c>
      <c r="C15" s="1146"/>
      <c r="D15" s="1146"/>
      <c r="E15" s="777">
        <f>SUM(E16:E23)</f>
        <v>0</v>
      </c>
      <c r="F15" s="777">
        <f t="shared" ref="F15:G15" si="1">SUM(F16:F23)</f>
        <v>0</v>
      </c>
      <c r="G15" s="777">
        <f t="shared" si="1"/>
        <v>0</v>
      </c>
      <c r="H15" s="777"/>
      <c r="I15" s="777"/>
      <c r="J15" s="777"/>
      <c r="K15" s="777"/>
      <c r="L15" s="721"/>
    </row>
    <row r="16" spans="1:14" s="106" customFormat="1" ht="20.25" hidden="1" customHeight="1">
      <c r="A16" s="13">
        <v>1</v>
      </c>
      <c r="B16" s="12" t="s">
        <v>25</v>
      </c>
      <c r="C16" s="1147"/>
      <c r="D16" s="1147"/>
      <c r="E16" s="779"/>
      <c r="F16" s="779"/>
      <c r="G16" s="779">
        <f>+F16+E16</f>
        <v>0</v>
      </c>
      <c r="H16" s="779"/>
      <c r="I16" s="779">
        <f>+'[2]5-1'!H35</f>
        <v>220</v>
      </c>
      <c r="J16" s="779">
        <f>+I16+H16</f>
        <v>220</v>
      </c>
      <c r="K16" s="779"/>
      <c r="L16" s="445"/>
    </row>
    <row r="17" spans="1:15" ht="18" hidden="1" customHeight="1">
      <c r="A17" s="13">
        <v>2</v>
      </c>
      <c r="B17" s="12" t="s">
        <v>23</v>
      </c>
      <c r="C17" s="1147"/>
      <c r="D17" s="1147"/>
      <c r="E17" s="779"/>
      <c r="F17" s="779"/>
      <c r="G17" s="779">
        <f t="shared" ref="G17:G23" si="2">+F17+E17</f>
        <v>0</v>
      </c>
      <c r="H17" s="779"/>
      <c r="I17" s="779">
        <f>+'[2]5-1'!H41</f>
        <v>430.8</v>
      </c>
      <c r="J17" s="779">
        <f t="shared" ref="J17:J23" si="3">+I17+H17</f>
        <v>430.8</v>
      </c>
      <c r="K17" s="779"/>
      <c r="L17" s="714"/>
      <c r="M17" s="96"/>
    </row>
    <row r="18" spans="1:15" ht="18" hidden="1" customHeight="1">
      <c r="A18" s="13">
        <v>3</v>
      </c>
      <c r="B18" s="12" t="s">
        <v>21</v>
      </c>
      <c r="C18" s="1147"/>
      <c r="D18" s="1147"/>
      <c r="E18" s="779"/>
      <c r="F18" s="779"/>
      <c r="G18" s="779">
        <f t="shared" si="2"/>
        <v>0</v>
      </c>
      <c r="H18" s="779"/>
      <c r="I18" s="779">
        <f>+'[2]5-1'!H47</f>
        <v>377</v>
      </c>
      <c r="J18" s="779">
        <f t="shared" si="3"/>
        <v>377</v>
      </c>
      <c r="K18" s="779"/>
      <c r="L18" s="714"/>
    </row>
    <row r="19" spans="1:15" ht="18" hidden="1" customHeight="1">
      <c r="A19" s="13">
        <v>4</v>
      </c>
      <c r="B19" s="12" t="s">
        <v>19</v>
      </c>
      <c r="C19" s="1147"/>
      <c r="D19" s="1147"/>
      <c r="E19" s="779"/>
      <c r="F19" s="779"/>
      <c r="G19" s="779">
        <f t="shared" si="2"/>
        <v>0</v>
      </c>
      <c r="H19" s="779"/>
      <c r="I19" s="779">
        <f>+'[2]5-1'!H53</f>
        <v>222.4</v>
      </c>
      <c r="J19" s="779">
        <f t="shared" si="3"/>
        <v>222.4</v>
      </c>
      <c r="K19" s="779"/>
      <c r="L19" s="714"/>
    </row>
    <row r="20" spans="1:15" ht="18" hidden="1" customHeight="1">
      <c r="A20" s="13">
        <v>5</v>
      </c>
      <c r="B20" s="12" t="s">
        <v>17</v>
      </c>
      <c r="C20" s="1147"/>
      <c r="D20" s="1147"/>
      <c r="E20" s="779"/>
      <c r="F20" s="779"/>
      <c r="G20" s="779">
        <f>+F20+E20</f>
        <v>0</v>
      </c>
      <c r="H20" s="779"/>
      <c r="I20" s="779">
        <f>+'[2]5-1'!H59</f>
        <v>370.5</v>
      </c>
      <c r="J20" s="779">
        <f t="shared" si="3"/>
        <v>370.5</v>
      </c>
      <c r="K20" s="779"/>
      <c r="L20" s="714"/>
    </row>
    <row r="21" spans="1:15" ht="18" hidden="1" customHeight="1">
      <c r="A21" s="13">
        <v>6</v>
      </c>
      <c r="B21" s="12" t="s">
        <v>15</v>
      </c>
      <c r="C21" s="1147"/>
      <c r="D21" s="1147"/>
      <c r="E21" s="779"/>
      <c r="F21" s="779"/>
      <c r="G21" s="779">
        <f t="shared" si="2"/>
        <v>0</v>
      </c>
      <c r="H21" s="779"/>
      <c r="I21" s="779">
        <f>+'[2]5-1'!H65</f>
        <v>442</v>
      </c>
      <c r="J21" s="779">
        <f t="shared" si="3"/>
        <v>442</v>
      </c>
      <c r="K21" s="779"/>
      <c r="L21" s="714"/>
    </row>
    <row r="22" spans="1:15" ht="18" hidden="1" customHeight="1">
      <c r="A22" s="13">
        <v>7</v>
      </c>
      <c r="B22" s="12" t="s">
        <v>13</v>
      </c>
      <c r="C22" s="1147"/>
      <c r="D22" s="1147"/>
      <c r="E22" s="779"/>
      <c r="F22" s="779"/>
      <c r="G22" s="779">
        <f t="shared" si="2"/>
        <v>0</v>
      </c>
      <c r="H22" s="779"/>
      <c r="I22" s="779">
        <f>+'[2]5-1'!H71</f>
        <v>464.8</v>
      </c>
      <c r="J22" s="779">
        <f t="shared" si="3"/>
        <v>464.8</v>
      </c>
      <c r="K22" s="779"/>
      <c r="L22" s="714"/>
    </row>
    <row r="23" spans="1:15" ht="18" hidden="1" customHeight="1">
      <c r="A23" s="13">
        <v>8</v>
      </c>
      <c r="B23" s="12" t="s">
        <v>11</v>
      </c>
      <c r="C23" s="1147"/>
      <c r="D23" s="1147"/>
      <c r="E23" s="779"/>
      <c r="F23" s="779"/>
      <c r="G23" s="779">
        <f t="shared" si="2"/>
        <v>0</v>
      </c>
      <c r="H23" s="779"/>
      <c r="I23" s="779">
        <f>+'[2]5-1'!H77</f>
        <v>336.1</v>
      </c>
      <c r="J23" s="779">
        <f t="shared" si="3"/>
        <v>336.1</v>
      </c>
      <c r="K23" s="779"/>
      <c r="L23" s="714"/>
      <c r="O23" s="105" t="s">
        <v>750</v>
      </c>
    </row>
    <row r="24" spans="1:15" ht="18" customHeight="1"/>
    <row r="25" spans="1:15" ht="18" customHeight="1">
      <c r="A25" s="1801" t="s">
        <v>2491</v>
      </c>
      <c r="B25" s="1801"/>
      <c r="C25" s="1801"/>
      <c r="D25" s="1801"/>
      <c r="E25" s="1801"/>
      <c r="F25" s="1801"/>
      <c r="G25" s="1801"/>
      <c r="H25" s="1801"/>
      <c r="I25" s="1801"/>
      <c r="J25" s="1801"/>
      <c r="K25" s="1801"/>
      <c r="L25" s="1801"/>
    </row>
    <row r="26" spans="1:15" ht="18" customHeight="1">
      <c r="B26" s="1055"/>
      <c r="C26" s="1055"/>
      <c r="D26" s="1055"/>
    </row>
    <row r="27" spans="1:15" ht="18" customHeight="1"/>
    <row r="28" spans="1:15" ht="18" customHeight="1"/>
    <row r="29" spans="1:15" ht="18" customHeight="1"/>
    <row r="30" spans="1:15" ht="18" customHeight="1"/>
    <row r="31" spans="1:15" ht="18" customHeight="1"/>
    <row r="32" spans="1:15" ht="18" customHeight="1"/>
    <row r="33" ht="18" customHeight="1"/>
    <row r="34" ht="18" customHeight="1"/>
    <row r="35" ht="18" customHeight="1"/>
    <row r="36" ht="18" customHeight="1"/>
    <row r="37" ht="18" customHeight="1"/>
    <row r="38" ht="18" customHeight="1"/>
    <row r="39" ht="18"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sheetData>
  <autoFilter ref="A9:L23"/>
  <mergeCells count="18">
    <mergeCell ref="C7:C8"/>
    <mergeCell ref="D7:D8"/>
    <mergeCell ref="M7:M8"/>
    <mergeCell ref="N7:N8"/>
    <mergeCell ref="A1:L1"/>
    <mergeCell ref="A5:L5"/>
    <mergeCell ref="A25:L25"/>
    <mergeCell ref="L7:L8"/>
    <mergeCell ref="A2:B2"/>
    <mergeCell ref="J2:L2"/>
    <mergeCell ref="A3:L3"/>
    <mergeCell ref="A4:L4"/>
    <mergeCell ref="A6:L6"/>
    <mergeCell ref="A7:A8"/>
    <mergeCell ref="B7:B8"/>
    <mergeCell ref="H7:J7"/>
    <mergeCell ref="K7:K8"/>
    <mergeCell ref="E7:E8"/>
  </mergeCells>
  <pageMargins left="0.5" right="0.5" top="0.5" bottom="0.5" header="0.47" footer="0.3"/>
  <pageSetup paperSize="9" scale="90" orientation="portrait" r:id="rId1"/>
  <headerFooter>
    <oddFooter>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7030A0"/>
  </sheetPr>
  <dimension ref="A1:K26"/>
  <sheetViews>
    <sheetView zoomScaleNormal="100" workbookViewId="0">
      <selection activeCell="F6" sqref="F6"/>
    </sheetView>
  </sheetViews>
  <sheetFormatPr defaultColWidth="9.08203125" defaultRowHeight="13"/>
  <cols>
    <col min="1" max="1" width="4.9140625" style="8" customWidth="1"/>
    <col min="2" max="2" width="30.9140625" style="8" customWidth="1"/>
    <col min="3" max="3" width="9.6640625" style="8" customWidth="1"/>
    <col min="4" max="4" width="7.6640625" style="8" hidden="1" customWidth="1"/>
    <col min="5" max="5" width="10.33203125" style="8" customWidth="1"/>
    <col min="6" max="6" width="10.08203125" style="8" customWidth="1"/>
    <col min="7" max="7" width="13.4140625" style="8" customWidth="1"/>
    <col min="8" max="8" width="9.08203125" style="2" hidden="1" customWidth="1"/>
    <col min="9" max="9" width="11" style="8" customWidth="1"/>
    <col min="10" max="16384" width="9.08203125" style="8"/>
  </cols>
  <sheetData>
    <row r="1" spans="1:9" ht="30.75" customHeight="1">
      <c r="A1" s="1714" t="s">
        <v>2793</v>
      </c>
      <c r="B1" s="1714"/>
      <c r="C1" s="1714"/>
      <c r="D1" s="1776"/>
      <c r="E1" s="1714"/>
      <c r="F1" s="1714"/>
      <c r="G1" s="1714"/>
      <c r="H1" s="1776"/>
      <c r="I1" s="1714"/>
    </row>
    <row r="2" spans="1:9" s="164" customFormat="1" ht="18" hidden="1" customHeight="1">
      <c r="A2" s="1772"/>
      <c r="B2" s="1772"/>
      <c r="C2" s="1088"/>
      <c r="D2" s="7"/>
      <c r="E2" s="1088"/>
      <c r="F2" s="1088"/>
      <c r="G2" s="1774" t="s">
        <v>2097</v>
      </c>
      <c r="H2" s="1886"/>
      <c r="I2" s="1774"/>
    </row>
    <row r="3" spans="1:9" ht="24" customHeight="1">
      <c r="A3" s="1714" t="s">
        <v>2099</v>
      </c>
      <c r="B3" s="1714"/>
      <c r="C3" s="1714"/>
      <c r="D3" s="1714"/>
      <c r="E3" s="1714"/>
      <c r="F3" s="1714"/>
      <c r="G3" s="1714"/>
      <c r="H3" s="1777"/>
      <c r="I3" s="1714"/>
    </row>
    <row r="4" spans="1:9" s="35" customFormat="1" ht="24" customHeight="1">
      <c r="A4" s="1716" t="e">
        <f>#REF!</f>
        <v>#REF!</v>
      </c>
      <c r="B4" s="1716"/>
      <c r="C4" s="1716"/>
      <c r="D4" s="1714"/>
      <c r="E4" s="1716"/>
      <c r="F4" s="1716"/>
      <c r="G4" s="1716"/>
      <c r="H4" s="1714"/>
      <c r="I4" s="1716"/>
    </row>
    <row r="5" spans="1:9" ht="24" customHeight="1">
      <c r="A5" s="1773" t="s">
        <v>3</v>
      </c>
      <c r="B5" s="1773"/>
      <c r="C5" s="1773"/>
      <c r="D5" s="1773"/>
      <c r="E5" s="1773"/>
      <c r="F5" s="1773"/>
      <c r="G5" s="1773"/>
      <c r="H5" s="1773"/>
      <c r="I5" s="1773"/>
    </row>
    <row r="6" spans="1:9" ht="68.25" customHeight="1">
      <c r="A6" s="66" t="s">
        <v>4</v>
      </c>
      <c r="B6" s="66" t="s">
        <v>5</v>
      </c>
      <c r="C6" s="66" t="s">
        <v>34</v>
      </c>
      <c r="D6" s="65" t="s">
        <v>32</v>
      </c>
      <c r="E6" s="66" t="s">
        <v>35</v>
      </c>
      <c r="F6" s="66" t="s">
        <v>36</v>
      </c>
      <c r="G6" s="66" t="s">
        <v>2537</v>
      </c>
      <c r="H6" s="66" t="s">
        <v>697</v>
      </c>
      <c r="I6" s="66" t="s">
        <v>33</v>
      </c>
    </row>
    <row r="7" spans="1:9" s="485" customFormat="1" ht="18" hidden="1" customHeight="1">
      <c r="A7" s="484" t="s">
        <v>10</v>
      </c>
      <c r="B7" s="484" t="s">
        <v>12</v>
      </c>
      <c r="C7" s="484" t="s">
        <v>14</v>
      </c>
      <c r="D7" s="484" t="s">
        <v>16</v>
      </c>
      <c r="E7" s="484" t="s">
        <v>77</v>
      </c>
      <c r="F7" s="484" t="s">
        <v>20</v>
      </c>
      <c r="G7" s="484" t="s">
        <v>22</v>
      </c>
      <c r="H7" s="22"/>
      <c r="I7" s="484" t="s">
        <v>24</v>
      </c>
    </row>
    <row r="8" spans="1:9" ht="45.75" customHeight="1">
      <c r="A8" s="40"/>
      <c r="B8" s="40" t="s">
        <v>6</v>
      </c>
      <c r="C8" s="40"/>
      <c r="D8" s="40"/>
      <c r="E8" s="40"/>
      <c r="F8" s="23">
        <f>F9+F11+F13+F15+F17+F19+F21+F23</f>
        <v>29985</v>
      </c>
      <c r="G8" s="23">
        <f>G9+G11+G13+G15+G17+G19+G21+G23</f>
        <v>29985</v>
      </c>
      <c r="H8" s="23">
        <f>H9+H11+H13+H15+H17+H19+H21+H23</f>
        <v>29985</v>
      </c>
      <c r="I8" s="23"/>
    </row>
    <row r="9" spans="1:9" s="2" customFormat="1" ht="18" hidden="1" customHeight="1">
      <c r="A9" s="14" t="s">
        <v>8</v>
      </c>
      <c r="B9" s="46" t="s">
        <v>25</v>
      </c>
      <c r="C9" s="36"/>
      <c r="D9" s="36"/>
      <c r="E9" s="23"/>
      <c r="F9" s="23">
        <v>0</v>
      </c>
      <c r="G9" s="23">
        <f>SUM(G10:G10)</f>
        <v>0</v>
      </c>
      <c r="H9" s="23">
        <f>SUM(H10:H10)</f>
        <v>0</v>
      </c>
      <c r="I9" s="11"/>
    </row>
    <row r="10" spans="1:9" s="2" customFormat="1" ht="18" hidden="1" customHeight="1">
      <c r="A10" s="32">
        <v>1</v>
      </c>
      <c r="B10" s="31" t="s">
        <v>78</v>
      </c>
      <c r="C10" s="17"/>
      <c r="D10" s="17"/>
      <c r="E10" s="16"/>
      <c r="F10" s="20"/>
      <c r="G10" s="20"/>
      <c r="H10" s="20"/>
      <c r="I10" s="24"/>
    </row>
    <row r="11" spans="1:9" s="2" customFormat="1" ht="18" hidden="1" customHeight="1">
      <c r="A11" s="14" t="s">
        <v>26</v>
      </c>
      <c r="B11" s="46" t="s">
        <v>23</v>
      </c>
      <c r="C11" s="36"/>
      <c r="D11" s="36"/>
      <c r="E11" s="23"/>
      <c r="F11" s="23">
        <v>0</v>
      </c>
      <c r="G11" s="23">
        <f>SUM(G12:G12)</f>
        <v>0</v>
      </c>
      <c r="H11" s="23">
        <f>SUM(H12:H12)</f>
        <v>0</v>
      </c>
      <c r="I11" s="51"/>
    </row>
    <row r="12" spans="1:9" s="2" customFormat="1" ht="18" hidden="1" customHeight="1">
      <c r="A12" s="32">
        <v>1</v>
      </c>
      <c r="B12" s="31" t="s">
        <v>78</v>
      </c>
      <c r="C12" s="56"/>
      <c r="D12" s="56"/>
      <c r="E12" s="44"/>
      <c r="F12" s="44"/>
      <c r="G12" s="44"/>
      <c r="H12" s="44"/>
      <c r="I12" s="51"/>
    </row>
    <row r="13" spans="1:9" s="2" customFormat="1" ht="18" hidden="1" customHeight="1">
      <c r="A13" s="14" t="s">
        <v>28</v>
      </c>
      <c r="B13" s="46" t="s">
        <v>21</v>
      </c>
      <c r="C13" s="36"/>
      <c r="D13" s="36"/>
      <c r="E13" s="23"/>
      <c r="F13" s="23">
        <v>0</v>
      </c>
      <c r="G13" s="23">
        <f>SUM(G14:G14)</f>
        <v>0</v>
      </c>
      <c r="H13" s="23">
        <f>SUM(H14:H14)</f>
        <v>0</v>
      </c>
      <c r="I13" s="51"/>
    </row>
    <row r="14" spans="1:9" s="2" customFormat="1" ht="18" hidden="1" customHeight="1">
      <c r="A14" s="32">
        <v>1</v>
      </c>
      <c r="B14" s="31" t="s">
        <v>78</v>
      </c>
      <c r="C14" s="56"/>
      <c r="D14" s="56"/>
      <c r="E14" s="44"/>
      <c r="F14" s="44"/>
      <c r="G14" s="44"/>
      <c r="H14" s="44"/>
      <c r="I14" s="51"/>
    </row>
    <row r="15" spans="1:9" s="2" customFormat="1" ht="18" hidden="1" customHeight="1">
      <c r="A15" s="14" t="s">
        <v>29</v>
      </c>
      <c r="B15" s="46" t="s">
        <v>19</v>
      </c>
      <c r="C15" s="36"/>
      <c r="D15" s="36"/>
      <c r="E15" s="23"/>
      <c r="F15" s="23">
        <v>0</v>
      </c>
      <c r="G15" s="23">
        <f>SUM(G16:G16)</f>
        <v>0</v>
      </c>
      <c r="H15" s="23">
        <f>SUM(H16:H16)</f>
        <v>0</v>
      </c>
      <c r="I15" s="51"/>
    </row>
    <row r="16" spans="1:9" s="2" customFormat="1" ht="18" hidden="1" customHeight="1">
      <c r="A16" s="32">
        <v>1</v>
      </c>
      <c r="B16" s="31" t="s">
        <v>78</v>
      </c>
      <c r="C16" s="56"/>
      <c r="D16" s="56"/>
      <c r="E16" s="44"/>
      <c r="F16" s="44"/>
      <c r="G16" s="44"/>
      <c r="H16" s="44"/>
      <c r="I16" s="51"/>
    </row>
    <row r="17" spans="1:11" s="2" customFormat="1" ht="18" hidden="1" customHeight="1">
      <c r="A17" s="14" t="s">
        <v>30</v>
      </c>
      <c r="B17" s="46" t="s">
        <v>17</v>
      </c>
      <c r="C17" s="36"/>
      <c r="D17" s="36"/>
      <c r="E17" s="23"/>
      <c r="F17" s="23">
        <v>0</v>
      </c>
      <c r="G17" s="23">
        <f>SUM(G18:G18)</f>
        <v>0</v>
      </c>
      <c r="H17" s="23">
        <f>SUM(H18:H18)</f>
        <v>0</v>
      </c>
      <c r="I17" s="51"/>
    </row>
    <row r="18" spans="1:11" s="2" customFormat="1" ht="18" hidden="1" customHeight="1">
      <c r="A18" s="32">
        <v>1</v>
      </c>
      <c r="B18" s="31" t="s">
        <v>78</v>
      </c>
      <c r="C18" s="56"/>
      <c r="D18" s="56"/>
      <c r="E18" s="44"/>
      <c r="F18" s="44"/>
      <c r="G18" s="44"/>
      <c r="H18" s="44"/>
      <c r="I18" s="51"/>
    </row>
    <row r="19" spans="1:11" s="2" customFormat="1" ht="18" hidden="1" customHeight="1">
      <c r="A19" s="14" t="s">
        <v>31</v>
      </c>
      <c r="B19" s="46" t="s">
        <v>15</v>
      </c>
      <c r="C19" s="36"/>
      <c r="D19" s="36"/>
      <c r="E19" s="23"/>
      <c r="F19" s="23">
        <v>0</v>
      </c>
      <c r="G19" s="23">
        <f>SUM(G20:G20)</f>
        <v>0</v>
      </c>
      <c r="H19" s="23">
        <f>SUM(H20:H20)</f>
        <v>0</v>
      </c>
      <c r="I19" s="51"/>
    </row>
    <row r="20" spans="1:11" s="2" customFormat="1" ht="18" hidden="1" customHeight="1">
      <c r="A20" s="32">
        <v>1</v>
      </c>
      <c r="B20" s="31" t="s">
        <v>78</v>
      </c>
      <c r="C20" s="56"/>
      <c r="D20" s="56"/>
      <c r="E20" s="44"/>
      <c r="F20" s="44"/>
      <c r="G20" s="44"/>
      <c r="H20" s="44"/>
      <c r="I20" s="51"/>
    </row>
    <row r="21" spans="1:11" s="2" customFormat="1" ht="18" hidden="1" customHeight="1">
      <c r="A21" s="14" t="s">
        <v>80</v>
      </c>
      <c r="B21" s="46" t="s">
        <v>13</v>
      </c>
      <c r="C21" s="36"/>
      <c r="D21" s="36"/>
      <c r="E21" s="23"/>
      <c r="F21" s="23">
        <v>0</v>
      </c>
      <c r="G21" s="23">
        <f>SUM(G22:G22)</f>
        <v>0</v>
      </c>
      <c r="H21" s="23">
        <f>SUM(H22:H22)</f>
        <v>0</v>
      </c>
      <c r="I21" s="51"/>
    </row>
    <row r="22" spans="1:11" s="2" customFormat="1" ht="18" hidden="1" customHeight="1">
      <c r="A22" s="32">
        <v>1</v>
      </c>
      <c r="B22" s="31" t="s">
        <v>78</v>
      </c>
      <c r="C22" s="56"/>
      <c r="D22" s="56"/>
      <c r="E22" s="44"/>
      <c r="F22" s="44"/>
      <c r="G22" s="44"/>
      <c r="H22" s="44"/>
      <c r="I22" s="51"/>
    </row>
    <row r="23" spans="1:11" s="2" customFormat="1" ht="18" hidden="1" customHeight="1">
      <c r="A23" s="14" t="s">
        <v>81</v>
      </c>
      <c r="B23" s="46" t="s">
        <v>11</v>
      </c>
      <c r="C23" s="36"/>
      <c r="D23" s="36"/>
      <c r="E23" s="23"/>
      <c r="F23" s="23">
        <v>29985</v>
      </c>
      <c r="G23" s="23">
        <v>29985</v>
      </c>
      <c r="H23" s="23">
        <v>29985</v>
      </c>
      <c r="I23" s="51"/>
    </row>
    <row r="24" spans="1:11" ht="68.25" customHeight="1">
      <c r="A24" s="77">
        <v>1</v>
      </c>
      <c r="B24" s="67" t="s">
        <v>626</v>
      </c>
      <c r="C24" s="60" t="s">
        <v>11</v>
      </c>
      <c r="D24" s="60"/>
      <c r="E24" s="60" t="s">
        <v>118</v>
      </c>
      <c r="F24" s="45">
        <f>+H24</f>
        <v>29985</v>
      </c>
      <c r="G24" s="45">
        <v>29985</v>
      </c>
      <c r="H24" s="45">
        <v>29985</v>
      </c>
      <c r="I24" s="757"/>
      <c r="K24" s="50"/>
    </row>
    <row r="26" spans="1:11">
      <c r="A26" s="1884" t="s">
        <v>2491</v>
      </c>
      <c r="B26" s="1884"/>
      <c r="C26" s="1884"/>
      <c r="D26" s="1884"/>
      <c r="E26" s="1884"/>
      <c r="F26" s="1884"/>
      <c r="G26" s="1884"/>
      <c r="H26" s="1885"/>
      <c r="I26" s="1884"/>
    </row>
  </sheetData>
  <autoFilter ref="A7:I24">
    <filterColumn colId="6">
      <customFilters>
        <customFilter operator="notEqual" val=" "/>
      </customFilters>
    </filterColumn>
  </autoFilter>
  <mergeCells count="7">
    <mergeCell ref="A26:I26"/>
    <mergeCell ref="A1:I1"/>
    <mergeCell ref="A4:I4"/>
    <mergeCell ref="A2:B2"/>
    <mergeCell ref="A3:I3"/>
    <mergeCell ref="A5:I5"/>
    <mergeCell ref="G2:I2"/>
  </mergeCells>
  <pageMargins left="0.75" right="0.54" top="0.63" bottom="0.5" header="0.63" footer="0.3"/>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DL21"/>
  <sheetViews>
    <sheetView zoomScaleNormal="100" workbookViewId="0">
      <selection activeCell="C12" sqref="C12"/>
    </sheetView>
  </sheetViews>
  <sheetFormatPr defaultColWidth="9.08203125" defaultRowHeight="13"/>
  <cols>
    <col min="1" max="1" width="11.4140625" style="1261" customWidth="1"/>
    <col min="2" max="2" width="36.4140625" style="1242" customWidth="1"/>
    <col min="3" max="3" width="21.9140625" style="1242" customWidth="1"/>
    <col min="4" max="4" width="25.33203125" style="1242" customWidth="1"/>
    <col min="5" max="16384" width="9.08203125" style="1242"/>
  </cols>
  <sheetData>
    <row r="1" spans="1:116" ht="22.5" customHeight="1">
      <c r="A1" s="1685" t="s">
        <v>2542</v>
      </c>
      <c r="B1" s="1685"/>
      <c r="C1" s="1685"/>
      <c r="D1" s="1685"/>
      <c r="E1" s="1241"/>
      <c r="F1" s="1241"/>
      <c r="G1" s="1241"/>
      <c r="H1" s="1241"/>
      <c r="I1" s="1241"/>
      <c r="J1" s="1241"/>
      <c r="K1" s="1241"/>
      <c r="L1" s="1241"/>
      <c r="M1" s="1241"/>
      <c r="N1" s="1241"/>
      <c r="O1" s="1241"/>
      <c r="P1" s="1241"/>
      <c r="Q1" s="1241"/>
      <c r="R1" s="1241"/>
      <c r="S1" s="1241"/>
      <c r="T1" s="1241"/>
      <c r="U1" s="1241"/>
      <c r="V1" s="1241"/>
      <c r="W1" s="1241"/>
      <c r="X1" s="1241"/>
      <c r="Y1" s="1241"/>
      <c r="Z1" s="1241"/>
      <c r="AA1" s="1241"/>
      <c r="AB1" s="1241"/>
      <c r="AC1" s="1241"/>
      <c r="AD1" s="1241"/>
      <c r="AE1" s="1241"/>
      <c r="AF1" s="1241"/>
      <c r="AG1" s="1241"/>
      <c r="AH1" s="1241"/>
      <c r="AI1" s="1241"/>
      <c r="AJ1" s="1241"/>
      <c r="AK1" s="1241"/>
      <c r="AL1" s="1241"/>
      <c r="AM1" s="1241"/>
      <c r="AN1" s="1241"/>
      <c r="AO1" s="1241"/>
      <c r="AP1" s="1241"/>
      <c r="AQ1" s="1241"/>
      <c r="AR1" s="1241"/>
      <c r="AS1" s="1241"/>
      <c r="AT1" s="1241"/>
      <c r="AU1" s="1241"/>
      <c r="AV1" s="1241"/>
      <c r="AW1" s="1241"/>
      <c r="AX1" s="1241"/>
      <c r="AY1" s="1241"/>
      <c r="AZ1" s="1241"/>
      <c r="BA1" s="1241"/>
      <c r="BB1" s="1241"/>
      <c r="BC1" s="1241"/>
      <c r="BD1" s="1241"/>
      <c r="BE1" s="1241"/>
      <c r="BF1" s="1241"/>
      <c r="BG1" s="1241"/>
      <c r="BH1" s="1241"/>
      <c r="BI1" s="1241"/>
      <c r="BJ1" s="1241"/>
      <c r="BK1" s="1241"/>
      <c r="BL1" s="1241"/>
      <c r="BM1" s="1241"/>
      <c r="BN1" s="1241"/>
      <c r="BO1" s="1241"/>
      <c r="BP1" s="1241"/>
      <c r="BQ1" s="1241"/>
      <c r="BR1" s="1241"/>
      <c r="BS1" s="1241"/>
      <c r="BT1" s="1241"/>
      <c r="BU1" s="1241"/>
      <c r="BV1" s="1241"/>
      <c r="BW1" s="1241"/>
      <c r="BX1" s="1241"/>
      <c r="BY1" s="1241"/>
      <c r="BZ1" s="1241"/>
      <c r="CA1" s="1241"/>
      <c r="CB1" s="1241"/>
      <c r="CC1" s="1241"/>
      <c r="CD1" s="1241"/>
      <c r="CE1" s="1241"/>
      <c r="CF1" s="1241"/>
      <c r="CG1" s="1241"/>
      <c r="CH1" s="1241"/>
      <c r="CI1" s="1241"/>
      <c r="CJ1" s="1241"/>
      <c r="CK1" s="1241"/>
      <c r="CL1" s="1241"/>
      <c r="CM1" s="1241"/>
      <c r="CN1" s="1241"/>
      <c r="CO1" s="1241"/>
      <c r="CP1" s="1241"/>
      <c r="CQ1" s="1241"/>
      <c r="CR1" s="1241"/>
      <c r="CS1" s="1241"/>
      <c r="CT1" s="1241"/>
      <c r="CU1" s="1241"/>
      <c r="CV1" s="1241"/>
      <c r="CW1" s="1241"/>
      <c r="CX1" s="1241"/>
      <c r="CY1" s="1241"/>
      <c r="CZ1" s="1241"/>
      <c r="DA1" s="1241"/>
      <c r="DB1" s="1241"/>
      <c r="DC1" s="1241"/>
      <c r="DD1" s="1241"/>
      <c r="DE1" s="1241"/>
      <c r="DF1" s="1241"/>
      <c r="DG1" s="1241"/>
      <c r="DH1" s="1241"/>
      <c r="DI1" s="1241"/>
      <c r="DJ1" s="1241"/>
      <c r="DK1" s="1241"/>
      <c r="DL1" s="1241"/>
    </row>
    <row r="2" spans="1:116" ht="42" customHeight="1">
      <c r="A2" s="1686" t="s">
        <v>2870</v>
      </c>
      <c r="B2" s="1686"/>
      <c r="C2" s="1686"/>
      <c r="D2" s="1686"/>
      <c r="E2" s="1241"/>
      <c r="F2" s="1241"/>
      <c r="G2" s="1241"/>
      <c r="H2" s="1241"/>
      <c r="I2" s="1241"/>
      <c r="J2" s="1241"/>
      <c r="K2" s="1241"/>
      <c r="L2" s="1241"/>
      <c r="M2" s="1241"/>
      <c r="N2" s="1241"/>
      <c r="O2" s="1241"/>
      <c r="P2" s="1241"/>
      <c r="Q2" s="1241"/>
      <c r="R2" s="1241"/>
      <c r="S2" s="1241"/>
      <c r="T2" s="1241"/>
      <c r="U2" s="1241"/>
      <c r="V2" s="1241"/>
      <c r="W2" s="1241"/>
      <c r="X2" s="1241"/>
      <c r="Y2" s="1241"/>
      <c r="Z2" s="1241"/>
      <c r="AA2" s="1241"/>
      <c r="AB2" s="1241"/>
      <c r="AC2" s="1241"/>
      <c r="AD2" s="1241"/>
      <c r="AE2" s="1241"/>
      <c r="AF2" s="1241"/>
      <c r="AG2" s="1241"/>
      <c r="AH2" s="1241"/>
      <c r="AI2" s="1241"/>
      <c r="AJ2" s="1241"/>
      <c r="AK2" s="1241"/>
      <c r="AL2" s="1241"/>
      <c r="AM2" s="1241"/>
      <c r="AN2" s="1241"/>
      <c r="AO2" s="1241"/>
      <c r="AP2" s="1241"/>
      <c r="AQ2" s="1241"/>
      <c r="AR2" s="1241"/>
      <c r="AS2" s="1241"/>
      <c r="AT2" s="1241"/>
      <c r="AU2" s="1241"/>
      <c r="AV2" s="1241"/>
      <c r="AW2" s="1241"/>
      <c r="AX2" s="1241"/>
      <c r="AY2" s="1241"/>
      <c r="AZ2" s="1241"/>
      <c r="BA2" s="1241"/>
      <c r="BB2" s="1241"/>
      <c r="BC2" s="1241"/>
      <c r="BD2" s="1241"/>
      <c r="BE2" s="1241"/>
      <c r="BF2" s="1241"/>
      <c r="BG2" s="1241"/>
      <c r="BH2" s="1241"/>
      <c r="BI2" s="1241"/>
      <c r="BJ2" s="1241"/>
      <c r="BK2" s="1241"/>
      <c r="BL2" s="1241"/>
      <c r="BM2" s="1241"/>
      <c r="BN2" s="1241"/>
      <c r="BO2" s="1241"/>
      <c r="BP2" s="1241"/>
      <c r="BQ2" s="1241"/>
      <c r="BR2" s="1241"/>
      <c r="BS2" s="1241"/>
      <c r="BT2" s="1241"/>
      <c r="BU2" s="1241"/>
      <c r="BV2" s="1241"/>
      <c r="BW2" s="1241"/>
      <c r="BX2" s="1241"/>
      <c r="BY2" s="1241"/>
      <c r="BZ2" s="1241"/>
      <c r="CA2" s="1241"/>
      <c r="CB2" s="1241"/>
      <c r="CC2" s="1241"/>
      <c r="CD2" s="1241"/>
      <c r="CE2" s="1241"/>
      <c r="CF2" s="1241"/>
      <c r="CG2" s="1241"/>
      <c r="CH2" s="1241"/>
      <c r="CI2" s="1241"/>
      <c r="CJ2" s="1241"/>
      <c r="CK2" s="1241"/>
      <c r="CL2" s="1241"/>
      <c r="CM2" s="1241"/>
      <c r="CN2" s="1241"/>
      <c r="CO2" s="1241"/>
      <c r="CP2" s="1241"/>
      <c r="CQ2" s="1241"/>
      <c r="CR2" s="1241"/>
      <c r="CS2" s="1241"/>
      <c r="CT2" s="1241"/>
      <c r="CU2" s="1241"/>
      <c r="CV2" s="1241"/>
      <c r="CW2" s="1241"/>
      <c r="CX2" s="1241"/>
      <c r="CY2" s="1241"/>
      <c r="CZ2" s="1241"/>
      <c r="DA2" s="1241"/>
      <c r="DB2" s="1241"/>
      <c r="DC2" s="1241"/>
      <c r="DD2" s="1241"/>
      <c r="DE2" s="1241"/>
      <c r="DF2" s="1241"/>
      <c r="DG2" s="1241"/>
      <c r="DH2" s="1241"/>
      <c r="DI2" s="1241"/>
      <c r="DJ2" s="1241"/>
      <c r="DK2" s="1241"/>
      <c r="DL2" s="1241"/>
    </row>
    <row r="3" spans="1:116" ht="21.75" customHeight="1">
      <c r="A3" s="1687" t="e">
        <f>#REF!</f>
        <v>#REF!</v>
      </c>
      <c r="B3" s="1687"/>
      <c r="C3" s="1687"/>
      <c r="D3" s="1687"/>
      <c r="E3" s="1243"/>
      <c r="F3" s="1243"/>
      <c r="G3" s="1243"/>
      <c r="H3" s="1243"/>
      <c r="I3" s="1243"/>
      <c r="J3" s="1243"/>
      <c r="K3" s="1243"/>
      <c r="L3" s="1243"/>
      <c r="M3" s="1243"/>
      <c r="N3" s="1243"/>
      <c r="O3" s="1243"/>
      <c r="P3" s="1243"/>
      <c r="Q3" s="1243"/>
      <c r="R3" s="1243"/>
      <c r="S3" s="1243"/>
      <c r="T3" s="1243"/>
      <c r="U3" s="1243"/>
      <c r="V3" s="1243"/>
      <c r="W3" s="1243"/>
      <c r="X3" s="1243"/>
      <c r="Y3" s="1243"/>
      <c r="Z3" s="1243"/>
      <c r="AA3" s="1243"/>
      <c r="AB3" s="1243"/>
      <c r="AC3" s="1243"/>
      <c r="AD3" s="1243"/>
      <c r="AE3" s="1243"/>
      <c r="AF3" s="1243"/>
      <c r="AG3" s="1243"/>
      <c r="AH3" s="1243"/>
      <c r="AI3" s="1243"/>
      <c r="AJ3" s="1243"/>
      <c r="AK3" s="1243"/>
      <c r="AL3" s="1243"/>
      <c r="AM3" s="1243"/>
      <c r="AN3" s="1243"/>
      <c r="AO3" s="1243"/>
      <c r="AP3" s="1243"/>
      <c r="AQ3" s="1243"/>
      <c r="AR3" s="1243"/>
      <c r="AS3" s="1243"/>
      <c r="AT3" s="1243"/>
      <c r="AU3" s="1243"/>
      <c r="AV3" s="1243"/>
      <c r="AW3" s="1243"/>
      <c r="AX3" s="1243"/>
      <c r="AY3" s="1243"/>
      <c r="AZ3" s="1243"/>
      <c r="BA3" s="1243"/>
      <c r="BB3" s="1243"/>
      <c r="BC3" s="1243"/>
      <c r="BD3" s="1243"/>
      <c r="BE3" s="1243"/>
      <c r="BF3" s="1243"/>
      <c r="BG3" s="1243"/>
      <c r="BH3" s="1243"/>
      <c r="BI3" s="1243"/>
      <c r="BJ3" s="1243"/>
      <c r="BK3" s="1243"/>
      <c r="BL3" s="1243"/>
      <c r="BM3" s="1243"/>
      <c r="BN3" s="1243"/>
      <c r="BO3" s="1243"/>
      <c r="BP3" s="1243"/>
      <c r="BQ3" s="1243"/>
      <c r="BR3" s="1243"/>
      <c r="BS3" s="1243"/>
      <c r="BT3" s="1243"/>
      <c r="BU3" s="1243"/>
      <c r="BV3" s="1243"/>
      <c r="BW3" s="1243"/>
      <c r="BX3" s="1243"/>
      <c r="BY3" s="1243"/>
      <c r="BZ3" s="1243"/>
      <c r="CA3" s="1243"/>
      <c r="CB3" s="1243"/>
      <c r="CC3" s="1243"/>
      <c r="CD3" s="1243"/>
      <c r="CE3" s="1243"/>
      <c r="CF3" s="1243"/>
      <c r="CG3" s="1243"/>
      <c r="CH3" s="1243"/>
      <c r="CI3" s="1243"/>
      <c r="CJ3" s="1243"/>
      <c r="CK3" s="1243"/>
      <c r="CL3" s="1243"/>
      <c r="CM3" s="1243"/>
      <c r="CN3" s="1243"/>
      <c r="CO3" s="1243"/>
      <c r="CP3" s="1243"/>
      <c r="CQ3" s="1243"/>
      <c r="CR3" s="1243"/>
      <c r="CS3" s="1243"/>
      <c r="CT3" s="1243"/>
      <c r="CU3" s="1243"/>
      <c r="CV3" s="1243"/>
      <c r="CW3" s="1243"/>
      <c r="CX3" s="1243"/>
      <c r="CY3" s="1243"/>
      <c r="CZ3" s="1243"/>
      <c r="DA3" s="1243"/>
      <c r="DB3" s="1243"/>
      <c r="DC3" s="1243"/>
      <c r="DD3" s="1243"/>
      <c r="DE3" s="1243"/>
      <c r="DF3" s="1243"/>
      <c r="DG3" s="1243"/>
      <c r="DH3" s="1243"/>
      <c r="DI3" s="1243"/>
      <c r="DJ3" s="1243"/>
      <c r="DK3" s="1243"/>
      <c r="DL3" s="1243"/>
    </row>
    <row r="4" spans="1:116" ht="42" hidden="1" customHeight="1">
      <c r="A4" s="1687" t="e">
        <f>#REF!</f>
        <v>#REF!</v>
      </c>
      <c r="B4" s="1687"/>
      <c r="C4" s="1687"/>
      <c r="D4" s="1687"/>
      <c r="E4" s="1243"/>
      <c r="F4" s="1243"/>
      <c r="G4" s="1243"/>
      <c r="H4" s="1243"/>
      <c r="I4" s="1243"/>
      <c r="J4" s="1243"/>
      <c r="K4" s="1243"/>
      <c r="L4" s="1243"/>
      <c r="M4" s="1243"/>
      <c r="N4" s="1243"/>
      <c r="O4" s="1243"/>
      <c r="P4" s="1243"/>
      <c r="Q4" s="1243"/>
      <c r="R4" s="1243"/>
      <c r="S4" s="1243"/>
      <c r="T4" s="1243"/>
      <c r="U4" s="1243"/>
      <c r="V4" s="1243"/>
      <c r="W4" s="1243"/>
      <c r="X4" s="1243"/>
      <c r="Y4" s="1243"/>
      <c r="Z4" s="1243"/>
      <c r="AA4" s="1243"/>
      <c r="AB4" s="1243"/>
      <c r="AC4" s="1243"/>
      <c r="AD4" s="1243"/>
      <c r="AE4" s="1243"/>
      <c r="AF4" s="1243"/>
      <c r="AG4" s="1243"/>
      <c r="AH4" s="1243"/>
      <c r="AI4" s="1243"/>
      <c r="AJ4" s="1243"/>
      <c r="AK4" s="1243"/>
      <c r="AL4" s="1243"/>
      <c r="AM4" s="1243"/>
      <c r="AN4" s="1243"/>
      <c r="AO4" s="1243"/>
      <c r="AP4" s="1243"/>
      <c r="AQ4" s="1243"/>
      <c r="AR4" s="1243"/>
      <c r="AS4" s="1243"/>
      <c r="AT4" s="1243"/>
      <c r="AU4" s="1243"/>
      <c r="AV4" s="1243"/>
      <c r="AW4" s="1243"/>
      <c r="AX4" s="1243"/>
      <c r="AY4" s="1243"/>
      <c r="AZ4" s="1243"/>
      <c r="BA4" s="1243"/>
      <c r="BB4" s="1243"/>
      <c r="BC4" s="1243"/>
      <c r="BD4" s="1243"/>
      <c r="BE4" s="1243"/>
      <c r="BF4" s="1243"/>
      <c r="BG4" s="1243"/>
      <c r="BH4" s="1243"/>
      <c r="BI4" s="1243"/>
      <c r="BJ4" s="1243"/>
      <c r="BK4" s="1243"/>
      <c r="BL4" s="1243"/>
      <c r="BM4" s="1243"/>
      <c r="BN4" s="1243"/>
      <c r="BO4" s="1243"/>
      <c r="BP4" s="1243"/>
      <c r="BQ4" s="1243"/>
      <c r="BR4" s="1243"/>
      <c r="BS4" s="1243"/>
      <c r="BT4" s="1243"/>
      <c r="BU4" s="1243"/>
      <c r="BV4" s="1243"/>
      <c r="BW4" s="1243"/>
      <c r="BX4" s="1243"/>
      <c r="BY4" s="1243"/>
      <c r="BZ4" s="1243"/>
      <c r="CA4" s="1243"/>
      <c r="CB4" s="1243"/>
      <c r="CC4" s="1243"/>
      <c r="CD4" s="1243"/>
      <c r="CE4" s="1243"/>
      <c r="CF4" s="1243"/>
      <c r="CG4" s="1243"/>
      <c r="CH4" s="1243"/>
      <c r="CI4" s="1243"/>
      <c r="CJ4" s="1243"/>
      <c r="CK4" s="1243"/>
      <c r="CL4" s="1243"/>
      <c r="CM4" s="1243"/>
      <c r="CN4" s="1243"/>
      <c r="CO4" s="1243"/>
      <c r="CP4" s="1243"/>
      <c r="CQ4" s="1243"/>
      <c r="CR4" s="1243"/>
      <c r="CS4" s="1243"/>
      <c r="CT4" s="1243"/>
      <c r="CU4" s="1243"/>
      <c r="CV4" s="1243"/>
      <c r="CW4" s="1243"/>
      <c r="CX4" s="1243"/>
      <c r="CY4" s="1243"/>
      <c r="CZ4" s="1243"/>
      <c r="DA4" s="1243"/>
      <c r="DB4" s="1243"/>
      <c r="DC4" s="1243"/>
      <c r="DD4" s="1243"/>
      <c r="DE4" s="1243"/>
      <c r="DF4" s="1243"/>
      <c r="DG4" s="1243"/>
      <c r="DH4" s="1243"/>
      <c r="DI4" s="1243"/>
      <c r="DJ4" s="1243"/>
      <c r="DK4" s="1243"/>
      <c r="DL4" s="1243"/>
    </row>
    <row r="5" spans="1:116" ht="21" customHeight="1">
      <c r="A5" s="1244"/>
      <c r="B5" s="1245"/>
      <c r="C5" s="1244"/>
      <c r="D5" s="1246" t="s">
        <v>2540</v>
      </c>
      <c r="E5" s="1241"/>
      <c r="F5" s="1241"/>
      <c r="G5" s="1241"/>
      <c r="H5" s="1241"/>
      <c r="I5" s="1241"/>
      <c r="J5" s="1241"/>
      <c r="K5" s="1241"/>
      <c r="L5" s="1241"/>
      <c r="M5" s="1241"/>
      <c r="N5" s="1241"/>
      <c r="O5" s="1241"/>
      <c r="P5" s="1241"/>
      <c r="Q5" s="1241"/>
      <c r="R5" s="1241"/>
      <c r="S5" s="1241"/>
      <c r="T5" s="1241"/>
      <c r="U5" s="1241"/>
      <c r="V5" s="1241"/>
      <c r="W5" s="1241"/>
      <c r="X5" s="1241"/>
      <c r="Y5" s="1241"/>
      <c r="Z5" s="1241"/>
      <c r="AA5" s="1241"/>
      <c r="AB5" s="1241"/>
      <c r="AC5" s="1241"/>
      <c r="AD5" s="1241"/>
      <c r="AE5" s="1241"/>
      <c r="AF5" s="1241"/>
      <c r="AG5" s="1241"/>
      <c r="AH5" s="1241"/>
      <c r="AI5" s="1241"/>
      <c r="AJ5" s="1241"/>
      <c r="AK5" s="1241"/>
      <c r="AL5" s="1241"/>
      <c r="AM5" s="1241"/>
      <c r="AN5" s="1241"/>
      <c r="AO5" s="1241"/>
      <c r="AP5" s="1241"/>
      <c r="AQ5" s="1241"/>
      <c r="AR5" s="1241"/>
      <c r="AS5" s="1241"/>
      <c r="AT5" s="1241"/>
      <c r="AU5" s="1241"/>
      <c r="AV5" s="1241"/>
      <c r="AW5" s="1241"/>
      <c r="AX5" s="1241"/>
      <c r="AY5" s="1241"/>
      <c r="AZ5" s="1241"/>
      <c r="BA5" s="1241"/>
      <c r="BB5" s="1241"/>
      <c r="BC5" s="1241"/>
      <c r="BD5" s="1241"/>
      <c r="BE5" s="1241"/>
      <c r="BF5" s="1241"/>
      <c r="BG5" s="1241"/>
      <c r="BH5" s="1241"/>
      <c r="BI5" s="1241"/>
      <c r="BJ5" s="1241"/>
      <c r="BK5" s="1241"/>
      <c r="BL5" s="1241"/>
      <c r="BM5" s="1241"/>
      <c r="BN5" s="1241"/>
      <c r="BO5" s="1241"/>
      <c r="BP5" s="1241"/>
      <c r="BQ5" s="1241"/>
      <c r="BR5" s="1241"/>
      <c r="BS5" s="1241"/>
      <c r="BT5" s="1241"/>
      <c r="BU5" s="1241"/>
      <c r="BV5" s="1241"/>
      <c r="BW5" s="1241"/>
      <c r="BX5" s="1241"/>
      <c r="BY5" s="1241"/>
      <c r="BZ5" s="1241"/>
      <c r="CA5" s="1241"/>
      <c r="CB5" s="1241"/>
      <c r="CC5" s="1241"/>
      <c r="CD5" s="1241"/>
      <c r="CE5" s="1241"/>
      <c r="CF5" s="1241"/>
      <c r="CG5" s="1241"/>
      <c r="CH5" s="1241"/>
      <c r="CI5" s="1241"/>
      <c r="CJ5" s="1241"/>
      <c r="CK5" s="1241"/>
      <c r="CL5" s="1241"/>
      <c r="CM5" s="1241"/>
      <c r="CN5" s="1241"/>
      <c r="CO5" s="1241"/>
      <c r="CP5" s="1241"/>
      <c r="CQ5" s="1241"/>
      <c r="CR5" s="1241"/>
      <c r="CS5" s="1241"/>
      <c r="CT5" s="1241"/>
      <c r="CU5" s="1241"/>
      <c r="CV5" s="1241"/>
      <c r="CW5" s="1241"/>
      <c r="CX5" s="1241"/>
      <c r="CY5" s="1241"/>
      <c r="CZ5" s="1241"/>
      <c r="DA5" s="1241"/>
      <c r="DB5" s="1241"/>
      <c r="DC5" s="1241"/>
      <c r="DD5" s="1241"/>
      <c r="DE5" s="1241"/>
      <c r="DF5" s="1241"/>
      <c r="DG5" s="1241"/>
      <c r="DH5" s="1241"/>
      <c r="DI5" s="1241"/>
      <c r="DJ5" s="1241"/>
      <c r="DK5" s="1241"/>
      <c r="DL5" s="1241"/>
    </row>
    <row r="6" spans="1:116" ht="45" customHeight="1">
      <c r="A6" s="1247" t="s">
        <v>4</v>
      </c>
      <c r="B6" s="1248" t="s">
        <v>895</v>
      </c>
      <c r="C6" s="1249" t="s">
        <v>2541</v>
      </c>
      <c r="D6" s="1247" t="s">
        <v>33</v>
      </c>
      <c r="E6" s="1241"/>
      <c r="F6" s="1241"/>
      <c r="G6" s="1241"/>
      <c r="H6" s="1241"/>
      <c r="I6" s="1241"/>
      <c r="J6" s="1241"/>
      <c r="K6" s="1241"/>
      <c r="L6" s="1241"/>
      <c r="M6" s="1241"/>
      <c r="N6" s="1241"/>
      <c r="O6" s="1241"/>
      <c r="P6" s="1241"/>
      <c r="Q6" s="1241"/>
      <c r="R6" s="1241"/>
      <c r="S6" s="1241"/>
      <c r="T6" s="1241"/>
      <c r="U6" s="1241"/>
      <c r="V6" s="1241"/>
      <c r="W6" s="1241"/>
      <c r="X6" s="1241"/>
      <c r="Y6" s="1241"/>
      <c r="Z6" s="1241"/>
      <c r="AA6" s="1241"/>
      <c r="AB6" s="1241"/>
      <c r="AC6" s="1241"/>
      <c r="AD6" s="1241"/>
      <c r="AE6" s="1241"/>
      <c r="AF6" s="1241"/>
      <c r="AG6" s="1241"/>
      <c r="AH6" s="1241"/>
      <c r="AI6" s="1241"/>
      <c r="AJ6" s="1241"/>
      <c r="AK6" s="1241"/>
      <c r="AL6" s="1241"/>
      <c r="AM6" s="1241"/>
      <c r="AN6" s="1241"/>
      <c r="AO6" s="1241"/>
      <c r="AP6" s="1241"/>
      <c r="AQ6" s="1241"/>
      <c r="AR6" s="1241"/>
      <c r="AS6" s="1241"/>
      <c r="AT6" s="1241"/>
      <c r="AU6" s="1241"/>
      <c r="AV6" s="1241"/>
      <c r="AW6" s="1241"/>
      <c r="AX6" s="1241"/>
      <c r="AY6" s="1241"/>
      <c r="AZ6" s="1241"/>
      <c r="BA6" s="1241"/>
      <c r="BB6" s="1241"/>
      <c r="BC6" s="1241"/>
      <c r="BD6" s="1241"/>
      <c r="BE6" s="1241"/>
      <c r="BF6" s="1241"/>
      <c r="BG6" s="1241"/>
      <c r="BH6" s="1241"/>
      <c r="BI6" s="1241"/>
      <c r="BJ6" s="1241"/>
      <c r="BK6" s="1241"/>
      <c r="BL6" s="1241"/>
      <c r="BM6" s="1241"/>
      <c r="BN6" s="1241"/>
      <c r="BO6" s="1241"/>
      <c r="BP6" s="1241"/>
      <c r="BQ6" s="1241"/>
      <c r="BR6" s="1241"/>
      <c r="BS6" s="1241"/>
      <c r="BT6" s="1241"/>
      <c r="BU6" s="1241"/>
      <c r="BV6" s="1241"/>
      <c r="BW6" s="1241"/>
      <c r="BX6" s="1241"/>
      <c r="BY6" s="1241"/>
      <c r="BZ6" s="1241"/>
      <c r="CA6" s="1241"/>
      <c r="CB6" s="1241"/>
      <c r="CC6" s="1241"/>
      <c r="CD6" s="1241"/>
      <c r="CE6" s="1241"/>
      <c r="CF6" s="1241"/>
      <c r="CG6" s="1241"/>
      <c r="CH6" s="1241"/>
      <c r="CI6" s="1241"/>
      <c r="CJ6" s="1241"/>
      <c r="CK6" s="1241"/>
      <c r="CL6" s="1241"/>
      <c r="CM6" s="1241"/>
      <c r="CN6" s="1241"/>
      <c r="CO6" s="1241"/>
      <c r="CP6" s="1241"/>
      <c r="CQ6" s="1241"/>
      <c r="CR6" s="1241"/>
      <c r="CS6" s="1241"/>
      <c r="CT6" s="1241"/>
      <c r="CU6" s="1241"/>
      <c r="CV6" s="1241"/>
      <c r="CW6" s="1241"/>
      <c r="CX6" s="1241"/>
      <c r="CY6" s="1241"/>
      <c r="CZ6" s="1241"/>
      <c r="DA6" s="1241"/>
      <c r="DB6" s="1241"/>
      <c r="DC6" s="1241"/>
      <c r="DD6" s="1241"/>
      <c r="DE6" s="1241"/>
      <c r="DF6" s="1241"/>
      <c r="DG6" s="1241"/>
      <c r="DH6" s="1241"/>
      <c r="DI6" s="1241"/>
      <c r="DJ6" s="1241"/>
      <c r="DK6" s="1241"/>
      <c r="DL6" s="1241"/>
    </row>
    <row r="7" spans="1:116" s="1253" customFormat="1" ht="21" customHeight="1">
      <c r="A7" s="1250"/>
      <c r="B7" s="1439" t="s">
        <v>758</v>
      </c>
      <c r="C7" s="1434">
        <f>C8+C18</f>
        <v>323320</v>
      </c>
      <c r="D7" s="1252"/>
    </row>
    <row r="8" spans="1:116" s="1253" customFormat="1" ht="21" customHeight="1">
      <c r="A8" s="1439"/>
      <c r="B8" s="1440" t="s">
        <v>757</v>
      </c>
      <c r="C8" s="1435">
        <f>C9</f>
        <v>219852</v>
      </c>
      <c r="D8" s="1252"/>
    </row>
    <row r="9" spans="1:116" s="1253" customFormat="1" ht="21" customHeight="1">
      <c r="A9" s="1439" t="s">
        <v>8</v>
      </c>
      <c r="B9" s="1440" t="s">
        <v>2874</v>
      </c>
      <c r="C9" s="1435">
        <f>SUM(C10:C17)</f>
        <v>219852</v>
      </c>
      <c r="D9" s="1252"/>
    </row>
    <row r="10" spans="1:116" s="1258" customFormat="1" ht="21" customHeight="1">
      <c r="A10" s="1441">
        <v>1</v>
      </c>
      <c r="B10" s="1200" t="s">
        <v>25</v>
      </c>
      <c r="C10" s="1436">
        <f>VLOOKUP(B10,'Chi tiết NTM'!B10:C111,2,0)</f>
        <v>11348</v>
      </c>
      <c r="D10" s="1257"/>
    </row>
    <row r="11" spans="1:116" s="1258" customFormat="1" ht="21" customHeight="1">
      <c r="A11" s="1441">
        <v>2</v>
      </c>
      <c r="B11" s="1200" t="s">
        <v>23</v>
      </c>
      <c r="C11" s="1436">
        <f>VLOOKUP(B11,'Chi tiết NTM'!B11:C112,2,0)</f>
        <v>28084</v>
      </c>
      <c r="D11" s="1257"/>
    </row>
    <row r="12" spans="1:116" s="1258" customFormat="1" ht="21" customHeight="1">
      <c r="A12" s="1441">
        <v>3</v>
      </c>
      <c r="B12" s="1200" t="s">
        <v>21</v>
      </c>
      <c r="C12" s="1436">
        <f>VLOOKUP(B12,'Chi tiết NTM'!B12:C113,2,0)</f>
        <v>27180</v>
      </c>
      <c r="D12" s="1257"/>
    </row>
    <row r="13" spans="1:116" s="1258" customFormat="1" ht="21" customHeight="1">
      <c r="A13" s="1441">
        <v>4</v>
      </c>
      <c r="B13" s="1200" t="s">
        <v>19</v>
      </c>
      <c r="C13" s="1436">
        <f>VLOOKUP(B13,'Chi tiết NTM'!B13:C114,2,0)</f>
        <v>31104</v>
      </c>
      <c r="D13" s="1257"/>
    </row>
    <row r="14" spans="1:116" s="1258" customFormat="1" ht="21" customHeight="1">
      <c r="A14" s="1441">
        <v>5</v>
      </c>
      <c r="B14" s="1200" t="s">
        <v>17</v>
      </c>
      <c r="C14" s="1436">
        <f>VLOOKUP(B14,'Chi tiết NTM'!B14:C115,2,0)</f>
        <v>32912</v>
      </c>
      <c r="D14" s="1257"/>
    </row>
    <row r="15" spans="1:116" s="1258" customFormat="1" ht="21" customHeight="1">
      <c r="A15" s="1441">
        <v>6</v>
      </c>
      <c r="B15" s="1200" t="s">
        <v>15</v>
      </c>
      <c r="C15" s="1436">
        <f>VLOOKUP(B15,'Chi tiết NTM'!B15:C116,2,0)</f>
        <v>41592</v>
      </c>
      <c r="D15" s="1257"/>
    </row>
    <row r="16" spans="1:116" s="1258" customFormat="1" ht="21" customHeight="1">
      <c r="A16" s="1441">
        <v>7</v>
      </c>
      <c r="B16" s="1200" t="s">
        <v>13</v>
      </c>
      <c r="C16" s="1436">
        <f>VLOOKUP(B16,'Chi tiết NTM'!B16:C117,2,0)</f>
        <v>21212</v>
      </c>
      <c r="D16" s="1257"/>
    </row>
    <row r="17" spans="1:4" s="1258" customFormat="1" ht="21" customHeight="1">
      <c r="A17" s="1441">
        <v>8</v>
      </c>
      <c r="B17" s="1200" t="s">
        <v>11</v>
      </c>
      <c r="C17" s="1436">
        <f>VLOOKUP(B17,'Chi tiết NTM'!B17:C118,2,0)</f>
        <v>26420</v>
      </c>
      <c r="D17" s="1257"/>
    </row>
    <row r="18" spans="1:4" s="1253" customFormat="1" ht="39" customHeight="1">
      <c r="A18" s="1442" t="s">
        <v>26</v>
      </c>
      <c r="B18" s="1303" t="s">
        <v>2873</v>
      </c>
      <c r="C18" s="1437">
        <f>SUM(C19:C20)</f>
        <v>103468</v>
      </c>
      <c r="D18" s="1304"/>
    </row>
    <row r="19" spans="1:4" s="1258" customFormat="1" ht="21" customHeight="1">
      <c r="A19" s="1443">
        <v>1</v>
      </c>
      <c r="B19" s="1305" t="s">
        <v>19</v>
      </c>
      <c r="C19" s="1438">
        <f>VLOOKUP(B19,'Chi tiết NTM'!B113:C114,2,0)</f>
        <v>51734</v>
      </c>
      <c r="D19" s="1306"/>
    </row>
    <row r="20" spans="1:4" s="1258" customFormat="1" ht="21" customHeight="1">
      <c r="A20" s="1443">
        <v>2</v>
      </c>
      <c r="B20" s="1305" t="s">
        <v>23</v>
      </c>
      <c r="C20" s="1438">
        <f>VLOOKUP(B20,'Chi tiết NTM'!B114:C115,2,0)</f>
        <v>51734</v>
      </c>
      <c r="D20" s="1306"/>
    </row>
    <row r="21" spans="1:4" ht="21" customHeight="1">
      <c r="A21" s="1444"/>
      <c r="B21" s="1260"/>
      <c r="C21" s="1260"/>
      <c r="D21" s="1260"/>
    </row>
  </sheetData>
  <mergeCells count="4">
    <mergeCell ref="A1:D1"/>
    <mergeCell ref="A2:D2"/>
    <mergeCell ref="A3:D3"/>
    <mergeCell ref="A4:D4"/>
  </mergeCells>
  <pageMargins left="0.69" right="0.5" top="0.5" bottom="0.5" header="0.47" footer="0.3"/>
  <pageSetup paperSize="9" scale="90" orientation="portrait" r:id="rId1"/>
  <headerFooter>
    <oddFooter>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0070C0"/>
  </sheetPr>
  <dimension ref="A1:J76"/>
  <sheetViews>
    <sheetView workbookViewId="0">
      <selection sqref="A1:I76"/>
    </sheetView>
  </sheetViews>
  <sheetFormatPr defaultColWidth="9.08203125" defaultRowHeight="13"/>
  <cols>
    <col min="1" max="1" width="4.9140625" style="331" customWidth="1"/>
    <col min="2" max="2" width="59.6640625" style="331" customWidth="1"/>
    <col min="3" max="3" width="7.4140625" style="395" customWidth="1"/>
    <col min="4" max="4" width="6.9140625" style="395" customWidth="1"/>
    <col min="5" max="5" width="6.4140625" style="331" customWidth="1"/>
    <col min="6" max="6" width="8.08203125" style="331" customWidth="1"/>
    <col min="7" max="7" width="8" style="331" customWidth="1"/>
    <col min="8" max="8" width="7.4140625" style="331" customWidth="1"/>
    <col min="9" max="9" width="5" style="331" customWidth="1"/>
    <col min="10" max="10" width="0" style="140" hidden="1" customWidth="1"/>
    <col min="11" max="16384" width="9.08203125" style="331"/>
  </cols>
  <sheetData>
    <row r="1" spans="1:10" ht="18" customHeight="1">
      <c r="A1" s="1888"/>
      <c r="B1" s="1888"/>
      <c r="C1" s="864"/>
      <c r="D1" s="864"/>
      <c r="E1" s="105"/>
      <c r="F1" s="105"/>
      <c r="G1" s="1891" t="s">
        <v>2100</v>
      </c>
      <c r="H1" s="1891"/>
      <c r="I1" s="1891"/>
    </row>
    <row r="2" spans="1:10" ht="18" customHeight="1">
      <c r="A2" s="1831" t="s">
        <v>2101</v>
      </c>
      <c r="B2" s="1831"/>
      <c r="C2" s="1831"/>
      <c r="D2" s="1831"/>
      <c r="E2" s="1831"/>
      <c r="F2" s="1831"/>
      <c r="G2" s="1831"/>
      <c r="H2" s="1831"/>
      <c r="I2" s="1831"/>
    </row>
    <row r="3" spans="1:10" ht="18" customHeight="1">
      <c r="A3" s="1835" t="s">
        <v>3</v>
      </c>
      <c r="B3" s="1835"/>
      <c r="C3" s="1835"/>
      <c r="D3" s="1835"/>
      <c r="E3" s="1835"/>
      <c r="F3" s="1835"/>
      <c r="G3" s="1835"/>
      <c r="H3" s="1835"/>
      <c r="I3" s="1835"/>
    </row>
    <row r="4" spans="1:10" ht="15" customHeight="1">
      <c r="A4" s="1889" t="s">
        <v>4</v>
      </c>
      <c r="B4" s="1889" t="s">
        <v>5</v>
      </c>
      <c r="C4" s="1889" t="s">
        <v>1140</v>
      </c>
      <c r="D4" s="1889" t="s">
        <v>897</v>
      </c>
      <c r="E4" s="1889" t="s">
        <v>739</v>
      </c>
      <c r="F4" s="1889" t="s">
        <v>727</v>
      </c>
      <c r="G4" s="1889" t="s">
        <v>1600</v>
      </c>
      <c r="H4" s="1889" t="s">
        <v>1601</v>
      </c>
      <c r="I4" s="1832" t="s">
        <v>33</v>
      </c>
      <c r="J4" s="140" t="e">
        <f>1370-#REF!</f>
        <v>#REF!</v>
      </c>
    </row>
    <row r="5" spans="1:10" ht="27.75" customHeight="1">
      <c r="A5" s="1890"/>
      <c r="B5" s="1890"/>
      <c r="C5" s="1890"/>
      <c r="D5" s="1890"/>
      <c r="E5" s="1890"/>
      <c r="F5" s="1890"/>
      <c r="G5" s="1890"/>
      <c r="H5" s="1890"/>
      <c r="I5" s="1832"/>
    </row>
    <row r="6" spans="1:10" s="487" customFormat="1" ht="18" customHeight="1">
      <c r="A6" s="484" t="s">
        <v>10</v>
      </c>
      <c r="B6" s="484" t="s">
        <v>12</v>
      </c>
      <c r="C6" s="484">
        <v>3</v>
      </c>
      <c r="D6" s="484">
        <v>4</v>
      </c>
      <c r="E6" s="484">
        <v>5</v>
      </c>
      <c r="F6" s="484" t="s">
        <v>716</v>
      </c>
      <c r="G6" s="484">
        <v>7</v>
      </c>
      <c r="H6" s="484">
        <v>8</v>
      </c>
      <c r="I6" s="490">
        <v>9</v>
      </c>
      <c r="J6" s="140"/>
    </row>
    <row r="7" spans="1:10" ht="18" customHeight="1">
      <c r="A7" s="721"/>
      <c r="B7" s="721" t="s">
        <v>7</v>
      </c>
      <c r="C7" s="721"/>
      <c r="D7" s="721"/>
      <c r="E7" s="721"/>
      <c r="F7" s="23">
        <f>+F9+F22+F46</f>
        <v>33606</v>
      </c>
      <c r="G7" s="23">
        <f t="shared" ref="G7:H7" si="0">+G9+G22+G46</f>
        <v>31924</v>
      </c>
      <c r="H7" s="23">
        <f t="shared" si="0"/>
        <v>1682</v>
      </c>
      <c r="I7" s="722"/>
    </row>
    <row r="8" spans="1:10" ht="18" customHeight="1">
      <c r="A8" s="40" t="s">
        <v>37</v>
      </c>
      <c r="B8" s="54" t="s">
        <v>1602</v>
      </c>
      <c r="C8" s="40"/>
      <c r="D8" s="721"/>
      <c r="E8" s="721"/>
      <c r="F8" s="23">
        <f>+F9+F22+F46</f>
        <v>33606</v>
      </c>
      <c r="G8" s="23">
        <f>+G9+G22+G46</f>
        <v>31924</v>
      </c>
      <c r="H8" s="23">
        <f>+H9+H22+H46</f>
        <v>1682</v>
      </c>
      <c r="I8" s="722"/>
    </row>
    <row r="9" spans="1:10" s="317" customFormat="1" ht="18" customHeight="1">
      <c r="A9" s="26">
        <v>1</v>
      </c>
      <c r="B9" s="55" t="s">
        <v>1141</v>
      </c>
      <c r="C9" s="26"/>
      <c r="D9" s="781"/>
      <c r="E9" s="27"/>
      <c r="F9" s="21">
        <f>+F10+F15+F17+F19+F20</f>
        <v>12240</v>
      </c>
      <c r="G9" s="21">
        <f t="shared" ref="G9:H9" si="1">+G10+G15+G17+G19+G20</f>
        <v>11628</v>
      </c>
      <c r="H9" s="21">
        <f t="shared" si="1"/>
        <v>612</v>
      </c>
      <c r="I9" s="781"/>
      <c r="J9" s="219"/>
    </row>
    <row r="10" spans="1:10" s="301" customFormat="1" ht="18" customHeight="1">
      <c r="A10" s="13" t="s">
        <v>927</v>
      </c>
      <c r="B10" s="12" t="s">
        <v>1152</v>
      </c>
      <c r="C10" s="13"/>
      <c r="D10" s="894"/>
      <c r="E10" s="19"/>
      <c r="F10" s="391">
        <f>SUM(F11:F14)</f>
        <v>4460</v>
      </c>
      <c r="G10" s="391">
        <f t="shared" ref="G10:H10" si="2">SUM(G11:G14)</f>
        <v>4237</v>
      </c>
      <c r="H10" s="391">
        <f t="shared" si="2"/>
        <v>223</v>
      </c>
      <c r="I10" s="96"/>
      <c r="J10" s="202"/>
    </row>
    <row r="11" spans="1:10" s="141" customFormat="1" ht="18" hidden="1" customHeight="1">
      <c r="A11" s="112"/>
      <c r="B11" s="148" t="s">
        <v>1153</v>
      </c>
      <c r="C11" s="112" t="s">
        <v>1154</v>
      </c>
      <c r="D11" s="209">
        <v>7</v>
      </c>
      <c r="E11" s="155">
        <v>100</v>
      </c>
      <c r="F11" s="209">
        <v>700</v>
      </c>
      <c r="G11" s="155">
        <v>665</v>
      </c>
      <c r="H11" s="155">
        <f>F11-G11</f>
        <v>35</v>
      </c>
      <c r="I11" s="161" t="s">
        <v>1774</v>
      </c>
      <c r="J11" s="213"/>
    </row>
    <row r="12" spans="1:10" s="141" customFormat="1" ht="41.25" hidden="1" customHeight="1">
      <c r="A12" s="112"/>
      <c r="B12" s="148" t="s">
        <v>1155</v>
      </c>
      <c r="C12" s="112" t="s">
        <v>1154</v>
      </c>
      <c r="D12" s="209">
        <v>47</v>
      </c>
      <c r="E12" s="155">
        <v>80</v>
      </c>
      <c r="F12" s="209">
        <v>3760</v>
      </c>
      <c r="G12" s="155">
        <v>3572</v>
      </c>
      <c r="H12" s="155">
        <f t="shared" ref="H12:H74" si="3">F12-G12</f>
        <v>188</v>
      </c>
      <c r="I12" s="161" t="s">
        <v>1774</v>
      </c>
      <c r="J12" s="213"/>
    </row>
    <row r="13" spans="1:10" s="140" customFormat="1" ht="39" hidden="1">
      <c r="A13" s="200"/>
      <c r="B13" s="210" t="s">
        <v>1156</v>
      </c>
      <c r="C13" s="200" t="s">
        <v>874</v>
      </c>
      <c r="D13" s="211">
        <v>0</v>
      </c>
      <c r="E13" s="212"/>
      <c r="F13" s="211">
        <v>0</v>
      </c>
      <c r="G13" s="212">
        <v>0</v>
      </c>
      <c r="H13" s="212">
        <f t="shared" si="3"/>
        <v>0</v>
      </c>
      <c r="I13" s="161" t="s">
        <v>1774</v>
      </c>
      <c r="J13" s="213"/>
    </row>
    <row r="14" spans="1:10" s="140" customFormat="1" ht="39" hidden="1">
      <c r="A14" s="200"/>
      <c r="B14" s="210" t="s">
        <v>1157</v>
      </c>
      <c r="C14" s="200" t="s">
        <v>874</v>
      </c>
      <c r="D14" s="211">
        <v>0</v>
      </c>
      <c r="E14" s="212"/>
      <c r="F14" s="211">
        <v>0</v>
      </c>
      <c r="G14" s="212">
        <v>0</v>
      </c>
      <c r="H14" s="212">
        <f t="shared" si="3"/>
        <v>0</v>
      </c>
      <c r="I14" s="161" t="s">
        <v>1774</v>
      </c>
      <c r="J14" s="213"/>
    </row>
    <row r="15" spans="1:10" s="301" customFormat="1" ht="18" customHeight="1">
      <c r="A15" s="13" t="s">
        <v>742</v>
      </c>
      <c r="B15" s="12" t="s">
        <v>1158</v>
      </c>
      <c r="C15" s="13"/>
      <c r="D15" s="391"/>
      <c r="E15" s="20"/>
      <c r="F15" s="391">
        <f>+F16</f>
        <v>7700</v>
      </c>
      <c r="G15" s="391">
        <f t="shared" ref="G15:H15" si="4">+G16</f>
        <v>7315</v>
      </c>
      <c r="H15" s="391">
        <f t="shared" si="4"/>
        <v>385</v>
      </c>
      <c r="I15" s="96"/>
      <c r="J15" s="202"/>
    </row>
    <row r="16" spans="1:10" s="141" customFormat="1" ht="52" hidden="1">
      <c r="A16" s="112"/>
      <c r="B16" s="148" t="s">
        <v>1159</v>
      </c>
      <c r="C16" s="112" t="s">
        <v>874</v>
      </c>
      <c r="D16" s="209">
        <v>140</v>
      </c>
      <c r="E16" s="155">
        <v>55</v>
      </c>
      <c r="F16" s="209">
        <v>7700</v>
      </c>
      <c r="G16" s="155">
        <v>7315</v>
      </c>
      <c r="H16" s="155">
        <f t="shared" si="3"/>
        <v>385</v>
      </c>
      <c r="I16" s="161" t="s">
        <v>1774</v>
      </c>
      <c r="J16" s="213"/>
    </row>
    <row r="17" spans="1:10" s="301" customFormat="1" ht="18" customHeight="1">
      <c r="A17" s="13" t="s">
        <v>742</v>
      </c>
      <c r="B17" s="12" t="s">
        <v>1142</v>
      </c>
      <c r="C17" s="13"/>
      <c r="D17" s="391"/>
      <c r="E17" s="20"/>
      <c r="F17" s="391">
        <f>+F18</f>
        <v>80</v>
      </c>
      <c r="G17" s="391">
        <f t="shared" ref="G17:H17" si="5">+G18</f>
        <v>76</v>
      </c>
      <c r="H17" s="391">
        <f t="shared" si="5"/>
        <v>4</v>
      </c>
      <c r="I17" s="96"/>
      <c r="J17" s="202"/>
    </row>
    <row r="18" spans="1:10" s="141" customFormat="1" ht="69.75" hidden="1" customHeight="1">
      <c r="A18" s="112"/>
      <c r="B18" s="148" t="s">
        <v>1603</v>
      </c>
      <c r="C18" s="112" t="s">
        <v>903</v>
      </c>
      <c r="D18" s="209">
        <v>8</v>
      </c>
      <c r="E18" s="155">
        <v>10</v>
      </c>
      <c r="F18" s="209">
        <v>80</v>
      </c>
      <c r="G18" s="155">
        <v>76</v>
      </c>
      <c r="H18" s="155">
        <f t="shared" si="3"/>
        <v>4</v>
      </c>
      <c r="I18" s="161" t="s">
        <v>1774</v>
      </c>
      <c r="J18" s="213"/>
    </row>
    <row r="19" spans="1:10" s="140" customFormat="1" hidden="1">
      <c r="A19" s="200" t="s">
        <v>742</v>
      </c>
      <c r="B19" s="210" t="s">
        <v>1160</v>
      </c>
      <c r="C19" s="200" t="s">
        <v>874</v>
      </c>
      <c r="D19" s="211">
        <v>0</v>
      </c>
      <c r="E19" s="212"/>
      <c r="F19" s="211">
        <v>0</v>
      </c>
      <c r="G19" s="212">
        <v>0</v>
      </c>
      <c r="H19" s="212">
        <f t="shared" si="3"/>
        <v>0</v>
      </c>
      <c r="I19" s="161" t="s">
        <v>1774</v>
      </c>
      <c r="J19" s="213"/>
    </row>
    <row r="20" spans="1:10" s="140" customFormat="1" hidden="1">
      <c r="A20" s="200" t="s">
        <v>742</v>
      </c>
      <c r="B20" s="210" t="s">
        <v>1161</v>
      </c>
      <c r="C20" s="200" t="s">
        <v>1162</v>
      </c>
      <c r="D20" s="211">
        <v>0</v>
      </c>
      <c r="E20" s="212"/>
      <c r="F20" s="211">
        <v>0</v>
      </c>
      <c r="G20" s="212">
        <v>0</v>
      </c>
      <c r="H20" s="212">
        <f t="shared" si="3"/>
        <v>0</v>
      </c>
      <c r="I20" s="161" t="s">
        <v>1774</v>
      </c>
      <c r="J20" s="213"/>
    </row>
    <row r="21" spans="1:10" s="140" customFormat="1" ht="26" hidden="1">
      <c r="A21" s="200"/>
      <c r="B21" s="210" t="s">
        <v>1163</v>
      </c>
      <c r="C21" s="200" t="s">
        <v>1162</v>
      </c>
      <c r="D21" s="211">
        <v>0</v>
      </c>
      <c r="E21" s="212"/>
      <c r="F21" s="211">
        <v>0</v>
      </c>
      <c r="G21" s="212">
        <v>0</v>
      </c>
      <c r="H21" s="212">
        <f t="shared" si="3"/>
        <v>0</v>
      </c>
      <c r="I21" s="161" t="s">
        <v>1774</v>
      </c>
      <c r="J21" s="213"/>
    </row>
    <row r="22" spans="1:10" s="317" customFormat="1" ht="18" customHeight="1">
      <c r="A22" s="26">
        <v>2</v>
      </c>
      <c r="B22" s="55" t="s">
        <v>1143</v>
      </c>
      <c r="C22" s="26"/>
      <c r="D22" s="21"/>
      <c r="E22" s="21"/>
      <c r="F22" s="21">
        <f>+F23+F29+F33+F38+F41</f>
        <v>2468</v>
      </c>
      <c r="G22" s="21">
        <f t="shared" ref="G22:H22" si="6">+G23+G29+G33+G38+G41</f>
        <v>2345</v>
      </c>
      <c r="H22" s="21">
        <f t="shared" si="6"/>
        <v>123</v>
      </c>
      <c r="I22" s="781"/>
      <c r="J22" s="220"/>
    </row>
    <row r="23" spans="1:10" s="301" customFormat="1" ht="39">
      <c r="A23" s="13" t="s">
        <v>927</v>
      </c>
      <c r="B23" s="12" t="s">
        <v>1164</v>
      </c>
      <c r="C23" s="13"/>
      <c r="D23" s="391"/>
      <c r="E23" s="20"/>
      <c r="F23" s="391">
        <f>SUM(F24:F28)</f>
        <v>1019</v>
      </c>
      <c r="G23" s="391">
        <f t="shared" ref="G23:H23" si="7">SUM(G24:G28)</f>
        <v>968</v>
      </c>
      <c r="H23" s="391">
        <f t="shared" si="7"/>
        <v>51</v>
      </c>
      <c r="I23" s="96"/>
      <c r="J23" s="202"/>
    </row>
    <row r="24" spans="1:10" s="141" customFormat="1" ht="39" hidden="1">
      <c r="A24" s="112"/>
      <c r="B24" s="148" t="s">
        <v>1165</v>
      </c>
      <c r="C24" s="112" t="s">
        <v>877</v>
      </c>
      <c r="D24" s="209">
        <v>1194</v>
      </c>
      <c r="E24" s="155">
        <v>0.15</v>
      </c>
      <c r="F24" s="209">
        <v>179</v>
      </c>
      <c r="G24" s="155">
        <v>170</v>
      </c>
      <c r="H24" s="155">
        <f t="shared" si="3"/>
        <v>9</v>
      </c>
      <c r="I24" s="161" t="s">
        <v>1774</v>
      </c>
      <c r="J24" s="213"/>
    </row>
    <row r="25" spans="1:10" s="140" customFormat="1" ht="39" hidden="1">
      <c r="A25" s="200"/>
      <c r="B25" s="210" t="s">
        <v>1166</v>
      </c>
      <c r="C25" s="200" t="s">
        <v>1167</v>
      </c>
      <c r="D25" s="211">
        <v>0</v>
      </c>
      <c r="E25" s="212">
        <v>640</v>
      </c>
      <c r="F25" s="211">
        <v>0</v>
      </c>
      <c r="G25" s="212">
        <v>0</v>
      </c>
      <c r="H25" s="212">
        <f t="shared" si="3"/>
        <v>0</v>
      </c>
      <c r="I25" s="161" t="s">
        <v>1774</v>
      </c>
      <c r="J25" s="213"/>
    </row>
    <row r="26" spans="1:10" s="141" customFormat="1" ht="26" hidden="1">
      <c r="A26" s="112"/>
      <c r="B26" s="148" t="s">
        <v>1168</v>
      </c>
      <c r="C26" s="112" t="s">
        <v>874</v>
      </c>
      <c r="D26" s="209">
        <v>1200</v>
      </c>
      <c r="E26" s="155">
        <v>0.7</v>
      </c>
      <c r="F26" s="209">
        <v>840</v>
      </c>
      <c r="G26" s="155">
        <v>798</v>
      </c>
      <c r="H26" s="155">
        <f t="shared" si="3"/>
        <v>42</v>
      </c>
      <c r="I26" s="161" t="s">
        <v>1774</v>
      </c>
      <c r="J26" s="213"/>
    </row>
    <row r="27" spans="1:10" s="140" customFormat="1" ht="26" hidden="1">
      <c r="A27" s="200"/>
      <c r="B27" s="210" t="s">
        <v>1169</v>
      </c>
      <c r="C27" s="200" t="s">
        <v>874</v>
      </c>
      <c r="D27" s="211">
        <v>0</v>
      </c>
      <c r="E27" s="212">
        <v>0.09</v>
      </c>
      <c r="F27" s="211">
        <v>0</v>
      </c>
      <c r="G27" s="212">
        <v>0</v>
      </c>
      <c r="H27" s="212">
        <f t="shared" si="3"/>
        <v>0</v>
      </c>
      <c r="I27" s="161" t="s">
        <v>1774</v>
      </c>
      <c r="J27" s="213"/>
    </row>
    <row r="28" spans="1:10" s="140" customFormat="1" ht="26" hidden="1">
      <c r="A28" s="200"/>
      <c r="B28" s="210" t="s">
        <v>1170</v>
      </c>
      <c r="C28" s="200" t="s">
        <v>874</v>
      </c>
      <c r="D28" s="211">
        <v>0</v>
      </c>
      <c r="E28" s="212">
        <v>0.32500000000000001</v>
      </c>
      <c r="F28" s="211">
        <v>0</v>
      </c>
      <c r="G28" s="212">
        <v>0</v>
      </c>
      <c r="H28" s="212">
        <f t="shared" si="3"/>
        <v>0</v>
      </c>
      <c r="I28" s="161" t="s">
        <v>1774</v>
      </c>
      <c r="J28" s="213"/>
    </row>
    <row r="29" spans="1:10" s="301" customFormat="1" ht="26">
      <c r="A29" s="13" t="s">
        <v>742</v>
      </c>
      <c r="B29" s="12" t="s">
        <v>1171</v>
      </c>
      <c r="C29" s="13"/>
      <c r="D29" s="391"/>
      <c r="E29" s="20"/>
      <c r="F29" s="391">
        <f>SUM(F30:F32)</f>
        <v>433</v>
      </c>
      <c r="G29" s="391">
        <f t="shared" ref="G29:H29" si="8">SUM(G30:G32)</f>
        <v>412</v>
      </c>
      <c r="H29" s="391">
        <f t="shared" si="8"/>
        <v>21</v>
      </c>
      <c r="I29" s="96"/>
      <c r="J29" s="202"/>
    </row>
    <row r="30" spans="1:10" s="141" customFormat="1" ht="26" hidden="1">
      <c r="A30" s="112"/>
      <c r="B30" s="148" t="s">
        <v>1172</v>
      </c>
      <c r="C30" s="112" t="s">
        <v>902</v>
      </c>
      <c r="D30" s="209">
        <v>1220</v>
      </c>
      <c r="E30" s="155">
        <v>0.15</v>
      </c>
      <c r="F30" s="209">
        <v>183</v>
      </c>
      <c r="G30" s="155">
        <v>174</v>
      </c>
      <c r="H30" s="155">
        <f t="shared" si="3"/>
        <v>9</v>
      </c>
      <c r="I30" s="161" t="s">
        <v>1774</v>
      </c>
      <c r="J30" s="213"/>
    </row>
    <row r="31" spans="1:10" s="141" customFormat="1" ht="26" hidden="1">
      <c r="A31" s="112"/>
      <c r="B31" s="148" t="s">
        <v>1173</v>
      </c>
      <c r="C31" s="112" t="s">
        <v>902</v>
      </c>
      <c r="D31" s="209">
        <v>24</v>
      </c>
      <c r="E31" s="155">
        <v>5</v>
      </c>
      <c r="F31" s="209">
        <v>120</v>
      </c>
      <c r="G31" s="155">
        <v>114</v>
      </c>
      <c r="H31" s="155">
        <f t="shared" si="3"/>
        <v>6</v>
      </c>
      <c r="I31" s="161" t="s">
        <v>1774</v>
      </c>
      <c r="J31" s="213"/>
    </row>
    <row r="32" spans="1:10" s="141" customFormat="1" ht="30" hidden="1" customHeight="1">
      <c r="A32" s="112"/>
      <c r="B32" s="148" t="s">
        <v>1174</v>
      </c>
      <c r="C32" s="112" t="s">
        <v>903</v>
      </c>
      <c r="D32" s="209">
        <v>24</v>
      </c>
      <c r="E32" s="155">
        <v>5.4</v>
      </c>
      <c r="F32" s="209">
        <v>130</v>
      </c>
      <c r="G32" s="155">
        <v>124</v>
      </c>
      <c r="H32" s="155">
        <f t="shared" si="3"/>
        <v>6</v>
      </c>
      <c r="I32" s="161" t="s">
        <v>1774</v>
      </c>
      <c r="J32" s="213"/>
    </row>
    <row r="33" spans="1:10" s="301" customFormat="1" ht="26">
      <c r="A33" s="13" t="s">
        <v>742</v>
      </c>
      <c r="B33" s="12" t="s">
        <v>1175</v>
      </c>
      <c r="C33" s="13"/>
      <c r="D33" s="391"/>
      <c r="E33" s="20"/>
      <c r="F33" s="391">
        <f>SUM(F34:F37)</f>
        <v>189</v>
      </c>
      <c r="G33" s="391">
        <f t="shared" ref="G33:H33" si="9">SUM(G34:G37)</f>
        <v>180</v>
      </c>
      <c r="H33" s="391">
        <f t="shared" si="9"/>
        <v>9</v>
      </c>
      <c r="I33" s="96"/>
      <c r="J33" s="202"/>
    </row>
    <row r="34" spans="1:10" s="141" customFormat="1" ht="39" hidden="1">
      <c r="A34" s="112"/>
      <c r="B34" s="148" t="s">
        <v>1176</v>
      </c>
      <c r="C34" s="112" t="s">
        <v>1177</v>
      </c>
      <c r="D34" s="209">
        <v>1260</v>
      </c>
      <c r="E34" s="155">
        <v>0.15</v>
      </c>
      <c r="F34" s="209">
        <v>189</v>
      </c>
      <c r="G34" s="155">
        <v>180</v>
      </c>
      <c r="H34" s="155">
        <f t="shared" si="3"/>
        <v>9</v>
      </c>
      <c r="I34" s="161" t="s">
        <v>1774</v>
      </c>
      <c r="J34" s="213"/>
    </row>
    <row r="35" spans="1:10" s="140" customFormat="1" ht="39" hidden="1">
      <c r="A35" s="200"/>
      <c r="B35" s="210" t="s">
        <v>1178</v>
      </c>
      <c r="C35" s="200" t="s">
        <v>1179</v>
      </c>
      <c r="D35" s="211">
        <v>0</v>
      </c>
      <c r="E35" s="212">
        <v>5</v>
      </c>
      <c r="F35" s="211">
        <v>0</v>
      </c>
      <c r="G35" s="212">
        <v>0</v>
      </c>
      <c r="H35" s="212">
        <f t="shared" si="3"/>
        <v>0</v>
      </c>
      <c r="I35" s="161" t="s">
        <v>1774</v>
      </c>
      <c r="J35" s="213"/>
    </row>
    <row r="36" spans="1:10" s="140" customFormat="1" ht="39" hidden="1">
      <c r="A36" s="200"/>
      <c r="B36" s="210" t="s">
        <v>1180</v>
      </c>
      <c r="C36" s="200" t="s">
        <v>1181</v>
      </c>
      <c r="D36" s="211">
        <v>0</v>
      </c>
      <c r="E36" s="212"/>
      <c r="F36" s="211">
        <v>0</v>
      </c>
      <c r="G36" s="212">
        <v>0</v>
      </c>
      <c r="H36" s="212">
        <f t="shared" si="3"/>
        <v>0</v>
      </c>
      <c r="I36" s="161" t="s">
        <v>1774</v>
      </c>
      <c r="J36" s="213"/>
    </row>
    <row r="37" spans="1:10" s="140" customFormat="1" ht="26" hidden="1">
      <c r="A37" s="200"/>
      <c r="B37" s="210" t="s">
        <v>1145</v>
      </c>
      <c r="C37" s="200" t="s">
        <v>902</v>
      </c>
      <c r="D37" s="211">
        <v>0</v>
      </c>
      <c r="E37" s="212">
        <v>51.5</v>
      </c>
      <c r="F37" s="211">
        <v>0</v>
      </c>
      <c r="G37" s="212">
        <v>0</v>
      </c>
      <c r="H37" s="212">
        <f t="shared" si="3"/>
        <v>0</v>
      </c>
      <c r="I37" s="161" t="s">
        <v>1774</v>
      </c>
      <c r="J37" s="213"/>
    </row>
    <row r="38" spans="1:10" s="301" customFormat="1">
      <c r="A38" s="13" t="s">
        <v>742</v>
      </c>
      <c r="B38" s="12" t="s">
        <v>1144</v>
      </c>
      <c r="C38" s="13"/>
      <c r="D38" s="391"/>
      <c r="E38" s="20"/>
      <c r="F38" s="391">
        <f>SUM(F39:F40)</f>
        <v>221</v>
      </c>
      <c r="G38" s="391">
        <f t="shared" ref="G38:H38" si="10">SUM(G39:G40)</f>
        <v>210</v>
      </c>
      <c r="H38" s="391">
        <f t="shared" si="10"/>
        <v>11</v>
      </c>
      <c r="I38" s="96"/>
      <c r="J38" s="202"/>
    </row>
    <row r="39" spans="1:10" s="141" customFormat="1" ht="26" hidden="1">
      <c r="A39" s="112"/>
      <c r="B39" s="148" t="s">
        <v>1182</v>
      </c>
      <c r="C39" s="112" t="s">
        <v>903</v>
      </c>
      <c r="D39" s="209">
        <v>32</v>
      </c>
      <c r="E39" s="190">
        <v>6.9</v>
      </c>
      <c r="F39" s="209">
        <v>221</v>
      </c>
      <c r="G39" s="155">
        <v>210</v>
      </c>
      <c r="H39" s="155">
        <f t="shared" si="3"/>
        <v>11</v>
      </c>
      <c r="I39" s="161" t="s">
        <v>1774</v>
      </c>
      <c r="J39" s="213"/>
    </row>
    <row r="40" spans="1:10" s="140" customFormat="1" hidden="1">
      <c r="A40" s="200"/>
      <c r="B40" s="210" t="s">
        <v>1146</v>
      </c>
      <c r="C40" s="200" t="s">
        <v>1147</v>
      </c>
      <c r="D40" s="211">
        <v>0</v>
      </c>
      <c r="E40" s="212">
        <v>51.5</v>
      </c>
      <c r="F40" s="211">
        <v>0</v>
      </c>
      <c r="G40" s="212">
        <v>0</v>
      </c>
      <c r="H40" s="212">
        <f t="shared" si="3"/>
        <v>0</v>
      </c>
      <c r="I40" s="161" t="s">
        <v>1774</v>
      </c>
      <c r="J40" s="213"/>
    </row>
    <row r="41" spans="1:10" s="301" customFormat="1">
      <c r="A41" s="13" t="s">
        <v>742</v>
      </c>
      <c r="B41" s="12" t="s">
        <v>1183</v>
      </c>
      <c r="C41" s="13"/>
      <c r="D41" s="391">
        <v>0</v>
      </c>
      <c r="E41" s="20"/>
      <c r="F41" s="391">
        <f>SUM(F42:F45)</f>
        <v>606</v>
      </c>
      <c r="G41" s="391">
        <f t="shared" ref="G41:H41" si="11">SUM(G42:G45)</f>
        <v>575</v>
      </c>
      <c r="H41" s="391">
        <f t="shared" si="11"/>
        <v>31</v>
      </c>
      <c r="I41" s="96"/>
      <c r="J41" s="202"/>
    </row>
    <row r="42" spans="1:10" s="141" customFormat="1" ht="26" hidden="1">
      <c r="A42" s="112"/>
      <c r="B42" s="148" t="s">
        <v>1604</v>
      </c>
      <c r="C42" s="112" t="s">
        <v>877</v>
      </c>
      <c r="D42" s="209">
        <v>1160</v>
      </c>
      <c r="E42" s="190">
        <v>0.15</v>
      </c>
      <c r="F42" s="209">
        <v>174</v>
      </c>
      <c r="G42" s="155">
        <v>165</v>
      </c>
      <c r="H42" s="155">
        <f t="shared" si="3"/>
        <v>9</v>
      </c>
      <c r="I42" s="161" t="s">
        <v>1774</v>
      </c>
      <c r="J42" s="213"/>
    </row>
    <row r="43" spans="1:10" s="141" customFormat="1" ht="39" hidden="1">
      <c r="A43" s="112"/>
      <c r="B43" s="148" t="s">
        <v>1605</v>
      </c>
      <c r="C43" s="112" t="s">
        <v>903</v>
      </c>
      <c r="D43" s="209">
        <v>32</v>
      </c>
      <c r="E43" s="190">
        <v>3.5</v>
      </c>
      <c r="F43" s="209">
        <v>112</v>
      </c>
      <c r="G43" s="155">
        <v>106</v>
      </c>
      <c r="H43" s="155">
        <f t="shared" si="3"/>
        <v>6</v>
      </c>
      <c r="I43" s="161" t="s">
        <v>1774</v>
      </c>
      <c r="J43" s="213"/>
    </row>
    <row r="44" spans="1:10" s="141" customFormat="1" ht="26" hidden="1">
      <c r="A44" s="112"/>
      <c r="B44" s="148" t="s">
        <v>1184</v>
      </c>
      <c r="C44" s="112" t="s">
        <v>1034</v>
      </c>
      <c r="D44" s="209">
        <v>64</v>
      </c>
      <c r="E44" s="155">
        <v>5</v>
      </c>
      <c r="F44" s="209">
        <v>320</v>
      </c>
      <c r="G44" s="155">
        <v>304</v>
      </c>
      <c r="H44" s="155">
        <f t="shared" si="3"/>
        <v>16</v>
      </c>
      <c r="I44" s="161" t="s">
        <v>1774</v>
      </c>
      <c r="J44" s="213"/>
    </row>
    <row r="45" spans="1:10" s="140" customFormat="1" ht="26" hidden="1">
      <c r="A45" s="200"/>
      <c r="B45" s="210" t="s">
        <v>1185</v>
      </c>
      <c r="C45" s="200" t="s">
        <v>877</v>
      </c>
      <c r="D45" s="211">
        <v>0</v>
      </c>
      <c r="E45" s="212"/>
      <c r="F45" s="211">
        <v>0</v>
      </c>
      <c r="G45" s="212">
        <v>0</v>
      </c>
      <c r="H45" s="212">
        <f t="shared" si="3"/>
        <v>0</v>
      </c>
      <c r="I45" s="161" t="s">
        <v>1774</v>
      </c>
      <c r="J45" s="213"/>
    </row>
    <row r="46" spans="1:10" s="317" customFormat="1" ht="26">
      <c r="A46" s="26">
        <v>3</v>
      </c>
      <c r="B46" s="55" t="s">
        <v>1148</v>
      </c>
      <c r="C46" s="26"/>
      <c r="D46" s="21">
        <v>0</v>
      </c>
      <c r="E46" s="21"/>
      <c r="F46" s="21">
        <f>+F47+F59+F63</f>
        <v>18898</v>
      </c>
      <c r="G46" s="21">
        <f t="shared" ref="G46:H46" si="12">+G47+G59+G63</f>
        <v>17951</v>
      </c>
      <c r="H46" s="21">
        <f t="shared" si="12"/>
        <v>947</v>
      </c>
      <c r="I46" s="781"/>
      <c r="J46" s="220"/>
    </row>
    <row r="47" spans="1:10" s="301" customFormat="1" ht="26">
      <c r="A47" s="13" t="s">
        <v>742</v>
      </c>
      <c r="B47" s="12" t="s">
        <v>1149</v>
      </c>
      <c r="C47" s="13"/>
      <c r="D47" s="391">
        <v>0</v>
      </c>
      <c r="E47" s="20"/>
      <c r="F47" s="391">
        <f>SUM(F48:F58)</f>
        <v>18211</v>
      </c>
      <c r="G47" s="391">
        <f t="shared" ref="G47:H47" si="13">SUM(G48:G58)</f>
        <v>17300</v>
      </c>
      <c r="H47" s="391">
        <f t="shared" si="13"/>
        <v>911</v>
      </c>
      <c r="I47" s="96"/>
      <c r="J47" s="202"/>
    </row>
    <row r="48" spans="1:10" s="140" customFormat="1" ht="26" hidden="1">
      <c r="A48" s="200"/>
      <c r="B48" s="210" t="s">
        <v>1186</v>
      </c>
      <c r="C48" s="200" t="s">
        <v>876</v>
      </c>
      <c r="D48" s="211">
        <v>0</v>
      </c>
      <c r="E48" s="212"/>
      <c r="F48" s="211">
        <v>0</v>
      </c>
      <c r="G48" s="212">
        <v>0</v>
      </c>
      <c r="H48" s="212">
        <f t="shared" si="3"/>
        <v>0</v>
      </c>
      <c r="I48" s="161" t="s">
        <v>1774</v>
      </c>
      <c r="J48" s="213"/>
    </row>
    <row r="49" spans="1:10" s="141" customFormat="1" ht="26" hidden="1">
      <c r="A49" s="112"/>
      <c r="B49" s="148" t="s">
        <v>1150</v>
      </c>
      <c r="C49" s="112" t="s">
        <v>903</v>
      </c>
      <c r="D49" s="209">
        <v>8</v>
      </c>
      <c r="E49" s="155">
        <v>10</v>
      </c>
      <c r="F49" s="209">
        <v>80</v>
      </c>
      <c r="G49" s="155">
        <v>76</v>
      </c>
      <c r="H49" s="155">
        <f t="shared" si="3"/>
        <v>4</v>
      </c>
      <c r="I49" s="161" t="s">
        <v>1774</v>
      </c>
      <c r="J49" s="213"/>
    </row>
    <row r="50" spans="1:10" s="141" customFormat="1" ht="18" hidden="1" customHeight="1">
      <c r="A50" s="112"/>
      <c r="B50" s="148" t="s">
        <v>1187</v>
      </c>
      <c r="C50" s="112" t="s">
        <v>903</v>
      </c>
      <c r="D50" s="209">
        <v>8</v>
      </c>
      <c r="E50" s="155">
        <v>10</v>
      </c>
      <c r="F50" s="209">
        <v>80</v>
      </c>
      <c r="G50" s="155">
        <v>76</v>
      </c>
      <c r="H50" s="155">
        <f t="shared" si="3"/>
        <v>4</v>
      </c>
      <c r="I50" s="161" t="s">
        <v>1774</v>
      </c>
      <c r="J50" s="213"/>
    </row>
    <row r="51" spans="1:10" s="141" customFormat="1" ht="26" hidden="1">
      <c r="A51" s="112"/>
      <c r="B51" s="148" t="s">
        <v>1188</v>
      </c>
      <c r="C51" s="112" t="s">
        <v>903</v>
      </c>
      <c r="D51" s="209">
        <v>8</v>
      </c>
      <c r="E51" s="155">
        <v>10</v>
      </c>
      <c r="F51" s="209">
        <v>80</v>
      </c>
      <c r="G51" s="155">
        <v>76</v>
      </c>
      <c r="H51" s="155">
        <f t="shared" si="3"/>
        <v>4</v>
      </c>
      <c r="I51" s="161" t="s">
        <v>1774</v>
      </c>
      <c r="J51" s="213"/>
    </row>
    <row r="52" spans="1:10" s="141" customFormat="1" ht="26" hidden="1">
      <c r="A52" s="112"/>
      <c r="B52" s="148" t="s">
        <v>1189</v>
      </c>
      <c r="C52" s="112" t="s">
        <v>903</v>
      </c>
      <c r="D52" s="209">
        <v>8</v>
      </c>
      <c r="E52" s="155">
        <v>10</v>
      </c>
      <c r="F52" s="209">
        <v>80</v>
      </c>
      <c r="G52" s="155">
        <v>76</v>
      </c>
      <c r="H52" s="155">
        <f t="shared" si="3"/>
        <v>4</v>
      </c>
      <c r="I52" s="161" t="s">
        <v>1774</v>
      </c>
      <c r="J52" s="213"/>
    </row>
    <row r="53" spans="1:10" s="141" customFormat="1" ht="39" hidden="1">
      <c r="A53" s="112"/>
      <c r="B53" s="148" t="s">
        <v>1190</v>
      </c>
      <c r="C53" s="112" t="s">
        <v>903</v>
      </c>
      <c r="D53" s="209">
        <v>32</v>
      </c>
      <c r="E53" s="190">
        <v>5.0999999999999996</v>
      </c>
      <c r="F53" s="209">
        <v>163</v>
      </c>
      <c r="G53" s="155">
        <v>155</v>
      </c>
      <c r="H53" s="155">
        <f t="shared" si="3"/>
        <v>8</v>
      </c>
      <c r="I53" s="161" t="s">
        <v>1774</v>
      </c>
      <c r="J53" s="213"/>
    </row>
    <row r="54" spans="1:10" s="141" customFormat="1" ht="18" hidden="1" customHeight="1">
      <c r="A54" s="112"/>
      <c r="B54" s="148" t="s">
        <v>1191</v>
      </c>
      <c r="C54" s="112" t="s">
        <v>874</v>
      </c>
      <c r="D54" s="209">
        <v>13358</v>
      </c>
      <c r="E54" s="155">
        <v>0.7</v>
      </c>
      <c r="F54" s="209">
        <v>9351</v>
      </c>
      <c r="G54" s="155">
        <v>8883</v>
      </c>
      <c r="H54" s="155">
        <f t="shared" si="3"/>
        <v>468</v>
      </c>
      <c r="I54" s="161" t="s">
        <v>1774</v>
      </c>
      <c r="J54" s="213"/>
    </row>
    <row r="55" spans="1:10" s="141" customFormat="1" ht="26" hidden="1">
      <c r="A55" s="112"/>
      <c r="B55" s="148" t="s">
        <v>1192</v>
      </c>
      <c r="C55" s="112" t="s">
        <v>1193</v>
      </c>
      <c r="D55" s="209">
        <v>13961</v>
      </c>
      <c r="E55" s="155">
        <v>0.6</v>
      </c>
      <c r="F55" s="209">
        <v>8377</v>
      </c>
      <c r="G55" s="155">
        <v>7958</v>
      </c>
      <c r="H55" s="155">
        <f t="shared" si="3"/>
        <v>419</v>
      </c>
      <c r="I55" s="161" t="s">
        <v>1774</v>
      </c>
      <c r="J55" s="213"/>
    </row>
    <row r="56" spans="1:10" s="140" customFormat="1" ht="26" hidden="1">
      <c r="A56" s="200"/>
      <c r="B56" s="210" t="s">
        <v>1194</v>
      </c>
      <c r="C56" s="200" t="s">
        <v>1034</v>
      </c>
      <c r="D56" s="211">
        <v>0</v>
      </c>
      <c r="E56" s="212">
        <v>0.2</v>
      </c>
      <c r="F56" s="211">
        <v>0</v>
      </c>
      <c r="G56" s="212">
        <v>0</v>
      </c>
      <c r="H56" s="212">
        <f t="shared" si="3"/>
        <v>0</v>
      </c>
      <c r="I56" s="161" t="s">
        <v>1774</v>
      </c>
      <c r="J56" s="213"/>
    </row>
    <row r="57" spans="1:10" s="140" customFormat="1" hidden="1">
      <c r="A57" s="200"/>
      <c r="B57" s="210" t="s">
        <v>1195</v>
      </c>
      <c r="C57" s="200" t="s">
        <v>1193</v>
      </c>
      <c r="D57" s="211">
        <v>0</v>
      </c>
      <c r="E57" s="212"/>
      <c r="F57" s="211">
        <v>0</v>
      </c>
      <c r="G57" s="212">
        <v>0</v>
      </c>
      <c r="H57" s="212">
        <f t="shared" si="3"/>
        <v>0</v>
      </c>
      <c r="I57" s="161" t="s">
        <v>1774</v>
      </c>
      <c r="J57" s="213"/>
    </row>
    <row r="58" spans="1:10" s="140" customFormat="1" ht="26" hidden="1">
      <c r="A58" s="200"/>
      <c r="B58" s="210" t="s">
        <v>1151</v>
      </c>
      <c r="C58" s="200" t="s">
        <v>902</v>
      </c>
      <c r="D58" s="211">
        <v>0</v>
      </c>
      <c r="E58" s="212">
        <v>51.5</v>
      </c>
      <c r="F58" s="211">
        <v>0</v>
      </c>
      <c r="G58" s="212">
        <v>0</v>
      </c>
      <c r="H58" s="212">
        <f t="shared" si="3"/>
        <v>0</v>
      </c>
      <c r="I58" s="161" t="s">
        <v>1774</v>
      </c>
      <c r="J58" s="213"/>
    </row>
    <row r="59" spans="1:10" s="301" customFormat="1" ht="20.149999999999999" customHeight="1">
      <c r="A59" s="13" t="s">
        <v>742</v>
      </c>
      <c r="B59" s="12" t="s">
        <v>1196</v>
      </c>
      <c r="C59" s="13"/>
      <c r="D59" s="391">
        <v>0</v>
      </c>
      <c r="E59" s="20"/>
      <c r="F59" s="391">
        <f>SUM(F60:F62)</f>
        <v>479</v>
      </c>
      <c r="G59" s="391">
        <f t="shared" ref="G59:H59" si="14">SUM(G60:G62)</f>
        <v>454</v>
      </c>
      <c r="H59" s="391">
        <f t="shared" si="14"/>
        <v>25</v>
      </c>
      <c r="I59" s="96"/>
      <c r="J59" s="202"/>
    </row>
    <row r="60" spans="1:10" s="141" customFormat="1" ht="39" hidden="1">
      <c r="A60" s="112"/>
      <c r="B60" s="148" t="s">
        <v>1197</v>
      </c>
      <c r="C60" s="112" t="s">
        <v>903</v>
      </c>
      <c r="D60" s="209">
        <v>24</v>
      </c>
      <c r="E60" s="190">
        <v>3.8</v>
      </c>
      <c r="F60" s="209">
        <v>91</v>
      </c>
      <c r="G60" s="155">
        <v>86</v>
      </c>
      <c r="H60" s="155">
        <f t="shared" si="3"/>
        <v>5</v>
      </c>
      <c r="I60" s="161" t="s">
        <v>1774</v>
      </c>
      <c r="J60" s="213"/>
    </row>
    <row r="61" spans="1:10" s="141" customFormat="1" ht="26" hidden="1">
      <c r="A61" s="112"/>
      <c r="B61" s="148" t="s">
        <v>1198</v>
      </c>
      <c r="C61" s="112" t="s">
        <v>1199</v>
      </c>
      <c r="D61" s="209">
        <v>27</v>
      </c>
      <c r="E61" s="155">
        <v>9.3800000000000008</v>
      </c>
      <c r="F61" s="209">
        <v>253</v>
      </c>
      <c r="G61" s="155">
        <v>240</v>
      </c>
      <c r="H61" s="155">
        <f t="shared" si="3"/>
        <v>13</v>
      </c>
      <c r="I61" s="161" t="s">
        <v>1774</v>
      </c>
      <c r="J61" s="213"/>
    </row>
    <row r="62" spans="1:10" s="141" customFormat="1" ht="20.149999999999999" hidden="1" customHeight="1">
      <c r="A62" s="112"/>
      <c r="B62" s="148" t="s">
        <v>1606</v>
      </c>
      <c r="C62" s="112" t="s">
        <v>903</v>
      </c>
      <c r="D62" s="209">
        <v>27</v>
      </c>
      <c r="E62" s="155">
        <v>5</v>
      </c>
      <c r="F62" s="209">
        <v>135</v>
      </c>
      <c r="G62" s="155">
        <v>128</v>
      </c>
      <c r="H62" s="155">
        <f t="shared" si="3"/>
        <v>7</v>
      </c>
      <c r="I62" s="161" t="s">
        <v>1774</v>
      </c>
      <c r="J62" s="213"/>
    </row>
    <row r="63" spans="1:10" s="301" customFormat="1" ht="26">
      <c r="A63" s="13" t="s">
        <v>742</v>
      </c>
      <c r="B63" s="12" t="s">
        <v>1200</v>
      </c>
      <c r="C63" s="13"/>
      <c r="D63" s="391">
        <v>0</v>
      </c>
      <c r="E63" s="20"/>
      <c r="F63" s="391">
        <f>SUM(F64:F74)</f>
        <v>208</v>
      </c>
      <c r="G63" s="391">
        <f t="shared" ref="G63:H63" si="15">SUM(G64:G74)</f>
        <v>197</v>
      </c>
      <c r="H63" s="391">
        <f t="shared" si="15"/>
        <v>11</v>
      </c>
      <c r="I63" s="96"/>
      <c r="J63" s="202"/>
    </row>
    <row r="64" spans="1:10" s="140" customFormat="1" ht="26" hidden="1">
      <c r="A64" s="200"/>
      <c r="B64" s="210" t="s">
        <v>1201</v>
      </c>
      <c r="C64" s="200" t="s">
        <v>902</v>
      </c>
      <c r="D64" s="211">
        <v>0</v>
      </c>
      <c r="E64" s="212"/>
      <c r="F64" s="211">
        <v>0</v>
      </c>
      <c r="G64" s="212">
        <v>0</v>
      </c>
      <c r="H64" s="212">
        <f t="shared" si="3"/>
        <v>0</v>
      </c>
      <c r="I64" s="161" t="s">
        <v>1774</v>
      </c>
      <c r="J64" s="213"/>
    </row>
    <row r="65" spans="1:10" s="140" customFormat="1" ht="26" hidden="1">
      <c r="A65" s="200"/>
      <c r="B65" s="210" t="s">
        <v>1202</v>
      </c>
      <c r="C65" s="200" t="s">
        <v>1034</v>
      </c>
      <c r="D65" s="211">
        <v>0</v>
      </c>
      <c r="E65" s="212"/>
      <c r="F65" s="211">
        <v>0</v>
      </c>
      <c r="G65" s="212">
        <v>0</v>
      </c>
      <c r="H65" s="212">
        <f t="shared" si="3"/>
        <v>0</v>
      </c>
      <c r="I65" s="161" t="s">
        <v>1774</v>
      </c>
      <c r="J65" s="213"/>
    </row>
    <row r="66" spans="1:10" s="141" customFormat="1" ht="26" hidden="1">
      <c r="A66" s="112"/>
      <c r="B66" s="148" t="s">
        <v>1203</v>
      </c>
      <c r="C66" s="112" t="s">
        <v>1204</v>
      </c>
      <c r="D66" s="209">
        <v>32</v>
      </c>
      <c r="E66" s="155">
        <v>3</v>
      </c>
      <c r="F66" s="209">
        <v>96</v>
      </c>
      <c r="G66" s="155">
        <v>91</v>
      </c>
      <c r="H66" s="155">
        <f t="shared" si="3"/>
        <v>5</v>
      </c>
      <c r="I66" s="161" t="s">
        <v>1774</v>
      </c>
      <c r="J66" s="213"/>
    </row>
    <row r="67" spans="1:10" s="140" customFormat="1" hidden="1">
      <c r="A67" s="200"/>
      <c r="B67" s="210" t="s">
        <v>1205</v>
      </c>
      <c r="C67" s="200" t="s">
        <v>1147</v>
      </c>
      <c r="D67" s="211">
        <v>0</v>
      </c>
      <c r="E67" s="212">
        <v>0.7</v>
      </c>
      <c r="F67" s="211">
        <v>0</v>
      </c>
      <c r="G67" s="212">
        <v>0</v>
      </c>
      <c r="H67" s="212">
        <f t="shared" si="3"/>
        <v>0</v>
      </c>
      <c r="I67" s="161" t="s">
        <v>1774</v>
      </c>
      <c r="J67" s="213"/>
    </row>
    <row r="68" spans="1:10" s="140" customFormat="1" ht="26" hidden="1">
      <c r="A68" s="200"/>
      <c r="B68" s="210" t="s">
        <v>1206</v>
      </c>
      <c r="C68" s="200"/>
      <c r="D68" s="211">
        <v>0</v>
      </c>
      <c r="E68" s="212"/>
      <c r="F68" s="211">
        <v>0</v>
      </c>
      <c r="G68" s="212">
        <v>0</v>
      </c>
      <c r="H68" s="212">
        <f t="shared" si="3"/>
        <v>0</v>
      </c>
      <c r="I68" s="161" t="s">
        <v>1774</v>
      </c>
      <c r="J68" s="213"/>
    </row>
    <row r="69" spans="1:10" s="140" customFormat="1" hidden="1">
      <c r="A69" s="200"/>
      <c r="B69" s="210" t="s">
        <v>1207</v>
      </c>
      <c r="C69" s="200" t="s">
        <v>1208</v>
      </c>
      <c r="D69" s="211">
        <v>0</v>
      </c>
      <c r="E69" s="212">
        <v>0.1</v>
      </c>
      <c r="F69" s="211">
        <v>0</v>
      </c>
      <c r="G69" s="212">
        <v>0</v>
      </c>
      <c r="H69" s="212">
        <f t="shared" si="3"/>
        <v>0</v>
      </c>
      <c r="I69" s="161" t="s">
        <v>1774</v>
      </c>
      <c r="J69" s="213"/>
    </row>
    <row r="70" spans="1:10" s="140" customFormat="1" hidden="1">
      <c r="A70" s="200"/>
      <c r="B70" s="210" t="s">
        <v>1209</v>
      </c>
      <c r="C70" s="200" t="s">
        <v>1167</v>
      </c>
      <c r="D70" s="211">
        <v>0</v>
      </c>
      <c r="E70" s="212">
        <v>7</v>
      </c>
      <c r="F70" s="211">
        <v>0</v>
      </c>
      <c r="G70" s="212">
        <v>0</v>
      </c>
      <c r="H70" s="212">
        <f t="shared" si="3"/>
        <v>0</v>
      </c>
      <c r="I70" s="161" t="s">
        <v>1774</v>
      </c>
      <c r="J70" s="213"/>
    </row>
    <row r="71" spans="1:10" s="140" customFormat="1" hidden="1">
      <c r="A71" s="200"/>
      <c r="B71" s="210" t="s">
        <v>1210</v>
      </c>
      <c r="C71" s="200" t="s">
        <v>1208</v>
      </c>
      <c r="D71" s="211">
        <v>0</v>
      </c>
      <c r="E71" s="212">
        <v>3.0000000000000001E-3</v>
      </c>
      <c r="F71" s="211">
        <v>0</v>
      </c>
      <c r="G71" s="212">
        <v>0</v>
      </c>
      <c r="H71" s="212">
        <f t="shared" si="3"/>
        <v>0</v>
      </c>
      <c r="I71" s="161" t="s">
        <v>1774</v>
      </c>
      <c r="J71" s="213"/>
    </row>
    <row r="72" spans="1:10" s="140" customFormat="1" ht="52" hidden="1">
      <c r="A72" s="200"/>
      <c r="B72" s="210" t="s">
        <v>1211</v>
      </c>
      <c r="C72" s="200" t="s">
        <v>1212</v>
      </c>
      <c r="D72" s="211">
        <v>0</v>
      </c>
      <c r="E72" s="212"/>
      <c r="F72" s="211">
        <v>0</v>
      </c>
      <c r="G72" s="212">
        <v>0</v>
      </c>
      <c r="H72" s="212">
        <f t="shared" si="3"/>
        <v>0</v>
      </c>
      <c r="I72" s="161" t="s">
        <v>1774</v>
      </c>
      <c r="J72" s="213"/>
    </row>
    <row r="73" spans="1:10" s="141" customFormat="1" ht="30" hidden="1" customHeight="1">
      <c r="A73" s="112"/>
      <c r="B73" s="148" t="s">
        <v>1607</v>
      </c>
      <c r="C73" s="112" t="s">
        <v>903</v>
      </c>
      <c r="D73" s="209">
        <v>32</v>
      </c>
      <c r="E73" s="190">
        <v>3.5</v>
      </c>
      <c r="F73" s="209">
        <v>112</v>
      </c>
      <c r="G73" s="155">
        <v>106</v>
      </c>
      <c r="H73" s="155">
        <f t="shared" si="3"/>
        <v>6</v>
      </c>
      <c r="I73" s="161" t="s">
        <v>1774</v>
      </c>
      <c r="J73" s="213"/>
    </row>
    <row r="74" spans="1:10" s="140" customFormat="1" ht="26" hidden="1">
      <c r="A74" s="214"/>
      <c r="B74" s="215" t="s">
        <v>1213</v>
      </c>
      <c r="C74" s="214"/>
      <c r="D74" s="216">
        <v>0</v>
      </c>
      <c r="E74" s="217"/>
      <c r="F74" s="216">
        <v>0</v>
      </c>
      <c r="G74" s="217">
        <v>0</v>
      </c>
      <c r="H74" s="217">
        <f t="shared" si="3"/>
        <v>0</v>
      </c>
      <c r="I74" s="469" t="s">
        <v>1774</v>
      </c>
      <c r="J74" s="218" t="e">
        <f t="shared" ref="J74" si="16">H74-I74</f>
        <v>#VALUE!</v>
      </c>
    </row>
    <row r="75" spans="1:10">
      <c r="A75" s="105"/>
      <c r="B75" s="105"/>
      <c r="C75" s="864"/>
      <c r="D75" s="864"/>
      <c r="E75" s="105"/>
      <c r="F75" s="105"/>
      <c r="G75" s="105"/>
      <c r="H75" s="105"/>
      <c r="I75" s="105"/>
    </row>
    <row r="76" spans="1:10">
      <c r="A76" s="1887" t="s">
        <v>2515</v>
      </c>
      <c r="B76" s="1887"/>
      <c r="C76" s="1887"/>
      <c r="D76" s="1887"/>
      <c r="E76" s="1887"/>
      <c r="F76" s="1887"/>
      <c r="G76" s="1887"/>
      <c r="H76" s="1887"/>
      <c r="I76" s="1887"/>
    </row>
  </sheetData>
  <autoFilter ref="A6:M74">
    <filterColumn colId="8">
      <filters blank="1"/>
    </filterColumn>
  </autoFilter>
  <mergeCells count="14">
    <mergeCell ref="A76:I76"/>
    <mergeCell ref="A1:B1"/>
    <mergeCell ref="A2:I2"/>
    <mergeCell ref="A3:I3"/>
    <mergeCell ref="A4:A5"/>
    <mergeCell ref="B4:B5"/>
    <mergeCell ref="C4:C5"/>
    <mergeCell ref="D4:D5"/>
    <mergeCell ref="E4:E5"/>
    <mergeCell ref="G1:I1"/>
    <mergeCell ref="G4:G5"/>
    <mergeCell ref="H4:H5"/>
    <mergeCell ref="F4:F5"/>
    <mergeCell ref="I4:I5"/>
  </mergeCells>
  <pageMargins left="0.45" right="0.2" top="0.5" bottom="0.5" header="0.3" footer="0.3"/>
  <pageSetup paperSize="9" scale="85" orientation="portrait" r:id="rId1"/>
  <headerFooter>
    <oddFooter>&amp;C&amp;8&amp;P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workbookViewId="0">
      <selection activeCell="A3" sqref="A3:F3"/>
    </sheetView>
  </sheetViews>
  <sheetFormatPr defaultColWidth="9.08203125" defaultRowHeight="13"/>
  <cols>
    <col min="1" max="1" width="4.9140625" style="2" customWidth="1"/>
    <col min="2" max="2" width="32.33203125" style="2" customWidth="1"/>
    <col min="3" max="3" width="13" style="2" customWidth="1"/>
    <col min="4" max="4" width="12.6640625" style="2" customWidth="1"/>
    <col min="5" max="5" width="11.33203125" style="2" customWidth="1"/>
    <col min="6" max="6" width="8" style="2" customWidth="1"/>
    <col min="7" max="7" width="10" style="2" bestFit="1" customWidth="1"/>
    <col min="8" max="16384" width="9.08203125" style="2"/>
  </cols>
  <sheetData>
    <row r="1" spans="1:6" ht="21" customHeight="1">
      <c r="A1" s="1794" t="s">
        <v>45</v>
      </c>
      <c r="B1" s="1794"/>
      <c r="C1" s="7"/>
      <c r="D1" s="7"/>
      <c r="E1" s="7"/>
      <c r="F1" s="8"/>
    </row>
    <row r="2" spans="1:6" ht="36" customHeight="1">
      <c r="A2" s="1777" t="s">
        <v>46</v>
      </c>
      <c r="B2" s="1777"/>
      <c r="C2" s="1777"/>
      <c r="D2" s="1777"/>
      <c r="E2" s="1777"/>
      <c r="F2" s="1777"/>
    </row>
    <row r="3" spans="1:6" ht="18" customHeight="1">
      <c r="A3" s="1892" t="s">
        <v>86</v>
      </c>
      <c r="B3" s="1892"/>
      <c r="C3" s="1892"/>
      <c r="D3" s="1892"/>
      <c r="E3" s="1892"/>
      <c r="F3" s="1892"/>
    </row>
  </sheetData>
  <mergeCells count="3">
    <mergeCell ref="A1:B1"/>
    <mergeCell ref="A2:F2"/>
    <mergeCell ref="A3:F3"/>
  </mergeCells>
  <phoneticPr fontId="19" type="noConversion"/>
  <pageMargins left="0.7" right="0.2" top="0.75" bottom="0.75" header="0.3" footer="0.3"/>
  <pageSetup paperSize="9" scale="11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0070C0"/>
  </sheetPr>
  <dimension ref="A1:K700"/>
  <sheetViews>
    <sheetView topLeftCell="A374" workbookViewId="0">
      <selection activeCell="F407" sqref="F407"/>
    </sheetView>
  </sheetViews>
  <sheetFormatPr defaultColWidth="9.08203125" defaultRowHeight="13"/>
  <cols>
    <col min="1" max="1" width="4.9140625" style="331" customWidth="1"/>
    <col min="2" max="2" width="60.33203125" style="331" customWidth="1"/>
    <col min="3" max="3" width="8.6640625" style="395" customWidth="1"/>
    <col min="4" max="4" width="6.9140625" style="480" customWidth="1"/>
    <col min="5" max="5" width="6.9140625" style="331" customWidth="1"/>
    <col min="6" max="6" width="9.08203125" style="331" customWidth="1"/>
    <col min="7" max="7" width="10.33203125" style="331" customWidth="1"/>
    <col min="8" max="8" width="7.4140625" style="140" hidden="1" customWidth="1"/>
    <col min="9" max="9" width="6.33203125" style="331" customWidth="1"/>
    <col min="10" max="16384" width="9.08203125" style="331"/>
  </cols>
  <sheetData>
    <row r="1" spans="1:9" ht="18" customHeight="1">
      <c r="A1" s="1830"/>
      <c r="B1" s="1830"/>
      <c r="C1" s="886"/>
      <c r="D1" s="700"/>
      <c r="E1" s="776"/>
      <c r="F1" s="433"/>
      <c r="G1" s="1823" t="s">
        <v>45</v>
      </c>
      <c r="H1" s="1897"/>
      <c r="I1" s="1823"/>
    </row>
    <row r="2" spans="1:9" ht="18" customHeight="1">
      <c r="A2" s="1831" t="s">
        <v>46</v>
      </c>
      <c r="B2" s="1831"/>
      <c r="C2" s="1831"/>
      <c r="D2" s="1831"/>
      <c r="E2" s="1831"/>
      <c r="F2" s="1831"/>
      <c r="G2" s="1831"/>
      <c r="H2" s="1893"/>
      <c r="I2" s="1831"/>
    </row>
    <row r="3" spans="1:9" ht="18" customHeight="1">
      <c r="A3" s="1835" t="s">
        <v>3</v>
      </c>
      <c r="B3" s="1835"/>
      <c r="C3" s="1835"/>
      <c r="D3" s="1835"/>
      <c r="E3" s="1835"/>
      <c r="F3" s="1835"/>
      <c r="G3" s="1835"/>
      <c r="H3" s="1894"/>
      <c r="I3" s="1835"/>
    </row>
    <row r="4" spans="1:9" ht="21" customHeight="1">
      <c r="A4" s="1832" t="s">
        <v>4</v>
      </c>
      <c r="B4" s="1832" t="s">
        <v>5</v>
      </c>
      <c r="C4" s="1832" t="s">
        <v>737</v>
      </c>
      <c r="D4" s="1832" t="s">
        <v>897</v>
      </c>
      <c r="E4" s="1832" t="s">
        <v>739</v>
      </c>
      <c r="F4" s="1832" t="s">
        <v>727</v>
      </c>
      <c r="G4" s="1832" t="s">
        <v>1600</v>
      </c>
      <c r="H4" s="1895" t="s">
        <v>898</v>
      </c>
      <c r="I4" s="1832" t="s">
        <v>33</v>
      </c>
    </row>
    <row r="5" spans="1:9" ht="21" customHeight="1">
      <c r="A5" s="1832"/>
      <c r="B5" s="1832"/>
      <c r="C5" s="1832"/>
      <c r="D5" s="1832"/>
      <c r="E5" s="1832"/>
      <c r="F5" s="1832"/>
      <c r="G5" s="1832"/>
      <c r="H5" s="1896"/>
      <c r="I5" s="1832"/>
    </row>
    <row r="6" spans="1:9" ht="17.25" customHeight="1">
      <c r="A6" s="462">
        <v>1</v>
      </c>
      <c r="B6" s="462">
        <v>2</v>
      </c>
      <c r="C6" s="462">
        <v>3</v>
      </c>
      <c r="D6" s="462">
        <v>4</v>
      </c>
      <c r="E6" s="462">
        <v>5</v>
      </c>
      <c r="F6" s="462">
        <v>6</v>
      </c>
      <c r="G6" s="462">
        <v>7</v>
      </c>
      <c r="H6" s="475"/>
      <c r="I6" s="462">
        <v>8</v>
      </c>
    </row>
    <row r="7" spans="1:9" ht="18" customHeight="1">
      <c r="A7" s="1006"/>
      <c r="B7" s="1007" t="s">
        <v>7</v>
      </c>
      <c r="C7" s="1007"/>
      <c r="D7" s="994"/>
      <c r="E7" s="994"/>
      <c r="F7" s="1019">
        <f>+F8+F137</f>
        <v>84419</v>
      </c>
      <c r="G7" s="1019">
        <f>+G8+G137</f>
        <v>80223</v>
      </c>
      <c r="H7" s="1031">
        <f>+H8+H137</f>
        <v>4196</v>
      </c>
      <c r="I7" s="721"/>
    </row>
    <row r="8" spans="1:9" ht="18" customHeight="1">
      <c r="A8" s="124" t="s">
        <v>37</v>
      </c>
      <c r="B8" s="124" t="s">
        <v>1982</v>
      </c>
      <c r="C8" s="124"/>
      <c r="D8" s="995"/>
      <c r="E8" s="995"/>
      <c r="F8" s="652">
        <f>+F9+F65</f>
        <v>18993</v>
      </c>
      <c r="G8" s="652">
        <f>+G9+G65</f>
        <v>18035</v>
      </c>
      <c r="H8" s="1032">
        <f>+H9+H65</f>
        <v>958</v>
      </c>
      <c r="I8" s="721"/>
    </row>
    <row r="9" spans="1:9" ht="18" customHeight="1">
      <c r="A9" s="124" t="s">
        <v>8</v>
      </c>
      <c r="B9" s="158" t="s">
        <v>2532</v>
      </c>
      <c r="C9" s="124"/>
      <c r="D9" s="995"/>
      <c r="E9" s="995"/>
      <c r="F9" s="652">
        <f>+F10+F30+F46+F62</f>
        <v>15732</v>
      </c>
      <c r="G9" s="652">
        <f>+G10+G30+G46+G62</f>
        <v>14938</v>
      </c>
      <c r="H9" s="1032">
        <f>+H10+H30+H46+H62</f>
        <v>794</v>
      </c>
      <c r="I9" s="721"/>
    </row>
    <row r="10" spans="1:9" s="333" customFormat="1" ht="39">
      <c r="A10" s="119">
        <v>1</v>
      </c>
      <c r="B10" s="222" t="s">
        <v>1214</v>
      </c>
      <c r="C10" s="119"/>
      <c r="D10" s="649"/>
      <c r="E10" s="996"/>
      <c r="F10" s="209">
        <f>+F11+F14+F25+F28</f>
        <v>7475</v>
      </c>
      <c r="G10" s="209">
        <f>+G11+G14+G25+G28</f>
        <v>7096</v>
      </c>
      <c r="H10" s="211">
        <f>+H11+H14+H25+H28</f>
        <v>379</v>
      </c>
      <c r="I10" s="898"/>
    </row>
    <row r="11" spans="1:9" ht="18" customHeight="1">
      <c r="A11" s="112" t="s">
        <v>911</v>
      </c>
      <c r="B11" s="148" t="s">
        <v>1215</v>
      </c>
      <c r="C11" s="112"/>
      <c r="D11" s="650"/>
      <c r="E11" s="651"/>
      <c r="F11" s="155">
        <f>SUM(F12:F13)</f>
        <v>681</v>
      </c>
      <c r="G11" s="155">
        <f>SUM(G12:G13)</f>
        <v>642</v>
      </c>
      <c r="H11" s="212">
        <f>SUM(H12:H13)</f>
        <v>39</v>
      </c>
      <c r="I11" s="899"/>
    </row>
    <row r="12" spans="1:9" s="111" customFormat="1" ht="26" hidden="1">
      <c r="A12" s="112" t="s">
        <v>742</v>
      </c>
      <c r="B12" s="148" t="s">
        <v>1216</v>
      </c>
      <c r="C12" s="112" t="s">
        <v>838</v>
      </c>
      <c r="D12" s="999">
        <v>3000</v>
      </c>
      <c r="E12" s="997">
        <v>7.0000000000000007E-2</v>
      </c>
      <c r="F12" s="155">
        <f>ROUND(D12*E12,0)</f>
        <v>210</v>
      </c>
      <c r="G12" s="155">
        <f>F12-H12</f>
        <v>195</v>
      </c>
      <c r="H12" s="155">
        <f>ROUND(F12*5/100,0)+4</f>
        <v>15</v>
      </c>
      <c r="I12" s="328" t="s">
        <v>1774</v>
      </c>
    </row>
    <row r="13" spans="1:9" s="111" customFormat="1" ht="30" hidden="1" customHeight="1">
      <c r="A13" s="112" t="s">
        <v>742</v>
      </c>
      <c r="B13" s="148" t="s">
        <v>1731</v>
      </c>
      <c r="C13" s="112" t="s">
        <v>903</v>
      </c>
      <c r="D13" s="999">
        <v>8</v>
      </c>
      <c r="E13" s="998">
        <v>58.9</v>
      </c>
      <c r="F13" s="155">
        <f>ROUND(D13*E13,0)</f>
        <v>471</v>
      </c>
      <c r="G13" s="155">
        <f>F13-H13</f>
        <v>447</v>
      </c>
      <c r="H13" s="155">
        <f>ROUND(F13*5/100,0)</f>
        <v>24</v>
      </c>
      <c r="I13" s="328" t="s">
        <v>1774</v>
      </c>
    </row>
    <row r="14" spans="1:9" ht="26">
      <c r="A14" s="112" t="s">
        <v>915</v>
      </c>
      <c r="B14" s="148" t="s">
        <v>1222</v>
      </c>
      <c r="C14" s="112"/>
      <c r="D14" s="650"/>
      <c r="E14" s="651"/>
      <c r="F14" s="155">
        <f>+F15+F16+F20</f>
        <v>6657</v>
      </c>
      <c r="G14" s="155">
        <f t="shared" ref="G14:H14" si="0">+G15+G16+G20</f>
        <v>6324</v>
      </c>
      <c r="H14" s="212">
        <f t="shared" si="0"/>
        <v>333</v>
      </c>
      <c r="I14" s="899"/>
    </row>
    <row r="15" spans="1:9" s="111" customFormat="1" hidden="1">
      <c r="A15" s="122" t="s">
        <v>1984</v>
      </c>
      <c r="B15" s="148" t="s">
        <v>1986</v>
      </c>
      <c r="C15" s="112" t="s">
        <v>877</v>
      </c>
      <c r="D15" s="650">
        <v>4</v>
      </c>
      <c r="E15" s="115">
        <v>33.6</v>
      </c>
      <c r="F15" s="155">
        <f t="shared" ref="F15" si="1">ROUND(D15*E15,0)</f>
        <v>134</v>
      </c>
      <c r="G15" s="155">
        <f t="shared" ref="G15" si="2">F15-H15</f>
        <v>127</v>
      </c>
      <c r="H15" s="155">
        <f t="shared" ref="H15" si="3">ROUND(F15*5/100,0)</f>
        <v>7</v>
      </c>
      <c r="I15" s="328" t="s">
        <v>1774</v>
      </c>
    </row>
    <row r="16" spans="1:9" s="111" customFormat="1" hidden="1">
      <c r="A16" s="122" t="s">
        <v>742</v>
      </c>
      <c r="B16" s="148" t="s">
        <v>1223</v>
      </c>
      <c r="C16" s="112"/>
      <c r="D16" s="999"/>
      <c r="E16" s="115"/>
      <c r="F16" s="155">
        <f>SUM(F17:F19)</f>
        <v>5464</v>
      </c>
      <c r="G16" s="155">
        <f t="shared" ref="G16:H16" si="4">SUM(G17:G19)</f>
        <v>5191</v>
      </c>
      <c r="H16" s="155">
        <f t="shared" si="4"/>
        <v>273</v>
      </c>
      <c r="I16" s="328" t="s">
        <v>1774</v>
      </c>
    </row>
    <row r="17" spans="1:9" s="111" customFormat="1" ht="18" hidden="1" customHeight="1">
      <c r="A17" s="122"/>
      <c r="B17" s="148" t="s">
        <v>1987</v>
      </c>
      <c r="C17" s="112" t="s">
        <v>1018</v>
      </c>
      <c r="D17" s="650">
        <v>10</v>
      </c>
      <c r="E17" s="163">
        <v>28</v>
      </c>
      <c r="F17" s="155">
        <f>ROUND(D17*E17,0)</f>
        <v>280</v>
      </c>
      <c r="G17" s="155">
        <f t="shared" ref="G17:G18" si="5">F17-H17</f>
        <v>266</v>
      </c>
      <c r="H17" s="155">
        <f t="shared" ref="H17:H18" si="6">ROUND(F17*5/100,0)</f>
        <v>14</v>
      </c>
      <c r="I17" s="328" t="s">
        <v>1774</v>
      </c>
    </row>
    <row r="18" spans="1:9" s="111" customFormat="1" ht="18" hidden="1" customHeight="1">
      <c r="A18" s="122"/>
      <c r="B18" s="148" t="s">
        <v>1988</v>
      </c>
      <c r="C18" s="112" t="s">
        <v>1018</v>
      </c>
      <c r="D18" s="650">
        <v>144</v>
      </c>
      <c r="E18" s="163">
        <v>36</v>
      </c>
      <c r="F18" s="155">
        <f>ROUND(D18*E18,0)</f>
        <v>5184</v>
      </c>
      <c r="G18" s="155">
        <f t="shared" si="5"/>
        <v>4925</v>
      </c>
      <c r="H18" s="155">
        <f t="shared" si="6"/>
        <v>259</v>
      </c>
      <c r="I18" s="328" t="s">
        <v>1774</v>
      </c>
    </row>
    <row r="19" spans="1:9" s="141" customFormat="1" ht="26" hidden="1">
      <c r="A19" s="122"/>
      <c r="B19" s="148" t="s">
        <v>1989</v>
      </c>
      <c r="C19" s="112" t="s">
        <v>1018</v>
      </c>
      <c r="D19" s="999"/>
      <c r="E19" s="998"/>
      <c r="F19" s="155">
        <f>D19*E19</f>
        <v>0</v>
      </c>
      <c r="G19" s="155">
        <f>F19-H19</f>
        <v>0</v>
      </c>
      <c r="H19" s="155">
        <f>ROUND(F19*5/100,0)</f>
        <v>0</v>
      </c>
      <c r="I19" s="328" t="s">
        <v>1774</v>
      </c>
    </row>
    <row r="20" spans="1:9" s="141" customFormat="1" ht="39" hidden="1">
      <c r="A20" s="122" t="s">
        <v>742</v>
      </c>
      <c r="B20" s="148" t="s">
        <v>1225</v>
      </c>
      <c r="C20" s="112"/>
      <c r="D20" s="999"/>
      <c r="E20" s="115"/>
      <c r="F20" s="291">
        <f>SUM(F21:F24)</f>
        <v>1059</v>
      </c>
      <c r="G20" s="291">
        <f t="shared" ref="G20:H20" si="7">SUM(G21:G24)</f>
        <v>1006</v>
      </c>
      <c r="H20" s="291">
        <f t="shared" si="7"/>
        <v>53</v>
      </c>
      <c r="I20" s="328" t="s">
        <v>1774</v>
      </c>
    </row>
    <row r="21" spans="1:9" s="141" customFormat="1" ht="26.25" hidden="1" customHeight="1">
      <c r="A21" s="122"/>
      <c r="B21" s="148" t="s">
        <v>1990</v>
      </c>
      <c r="C21" s="112" t="s">
        <v>879</v>
      </c>
      <c r="D21" s="999">
        <v>3</v>
      </c>
      <c r="E21" s="115">
        <v>20</v>
      </c>
      <c r="F21" s="155">
        <f t="shared" ref="F21:F22" si="8">ROUND(D21*E21,0)</f>
        <v>60</v>
      </c>
      <c r="G21" s="155">
        <f>F21-H21</f>
        <v>57</v>
      </c>
      <c r="H21" s="155">
        <f t="shared" ref="H21:H22" si="9">ROUND(F21*5/100,0)</f>
        <v>3</v>
      </c>
      <c r="I21" s="328" t="s">
        <v>1774</v>
      </c>
    </row>
    <row r="22" spans="1:9" s="141" customFormat="1" hidden="1">
      <c r="A22" s="122"/>
      <c r="B22" s="148" t="s">
        <v>1732</v>
      </c>
      <c r="C22" s="112" t="s">
        <v>1226</v>
      </c>
      <c r="D22" s="163">
        <v>645</v>
      </c>
      <c r="E22" s="998">
        <f>200000/1000000</f>
        <v>0.2</v>
      </c>
      <c r="F22" s="155">
        <f t="shared" si="8"/>
        <v>129</v>
      </c>
      <c r="G22" s="155">
        <f t="shared" ref="G22" si="10">F22-H22</f>
        <v>123</v>
      </c>
      <c r="H22" s="155">
        <f t="shared" si="9"/>
        <v>6</v>
      </c>
      <c r="I22" s="328" t="s">
        <v>1774</v>
      </c>
    </row>
    <row r="23" spans="1:9" s="111" customFormat="1" ht="18" hidden="1" customHeight="1">
      <c r="A23" s="122"/>
      <c r="B23" s="148" t="s">
        <v>1983</v>
      </c>
      <c r="C23" s="112" t="s">
        <v>1229</v>
      </c>
      <c r="D23" s="650">
        <v>4</v>
      </c>
      <c r="E23" s="998">
        <v>123.6</v>
      </c>
      <c r="F23" s="155">
        <f>ROUND(D23*E23,0)</f>
        <v>494</v>
      </c>
      <c r="G23" s="155">
        <f>F23-H23</f>
        <v>469</v>
      </c>
      <c r="H23" s="155">
        <f>ROUND(F23*5/100,0)</f>
        <v>25</v>
      </c>
      <c r="I23" s="328" t="s">
        <v>1774</v>
      </c>
    </row>
    <row r="24" spans="1:9" s="143" customFormat="1" hidden="1">
      <c r="A24" s="122"/>
      <c r="B24" s="148" t="s">
        <v>1985</v>
      </c>
      <c r="C24" s="112" t="s">
        <v>1229</v>
      </c>
      <c r="D24" s="650">
        <v>4</v>
      </c>
      <c r="E24" s="998">
        <v>94.1</v>
      </c>
      <c r="F24" s="155">
        <f>ROUND(D24*E24,0)</f>
        <v>376</v>
      </c>
      <c r="G24" s="155">
        <f>F24-H24</f>
        <v>357</v>
      </c>
      <c r="H24" s="155">
        <f>ROUND(F24*5/100,0)</f>
        <v>19</v>
      </c>
      <c r="I24" s="328" t="s">
        <v>1774</v>
      </c>
    </row>
    <row r="25" spans="1:9" ht="26">
      <c r="A25" s="112" t="s">
        <v>1227</v>
      </c>
      <c r="B25" s="148" t="s">
        <v>1228</v>
      </c>
      <c r="C25" s="112"/>
      <c r="D25" s="650"/>
      <c r="E25" s="651"/>
      <c r="F25" s="291">
        <f>+F26+F27</f>
        <v>137</v>
      </c>
      <c r="G25" s="291">
        <f>+G26+G27</f>
        <v>130</v>
      </c>
      <c r="H25" s="1033">
        <f t="shared" ref="H25" si="11">+H26+H27</f>
        <v>7</v>
      </c>
      <c r="I25" s="723"/>
    </row>
    <row r="26" spans="1:9" s="111" customFormat="1" ht="18" hidden="1" customHeight="1">
      <c r="A26" s="112"/>
      <c r="B26" s="148" t="s">
        <v>1733</v>
      </c>
      <c r="C26" s="112" t="s">
        <v>1229</v>
      </c>
      <c r="D26" s="650">
        <v>1</v>
      </c>
      <c r="E26" s="163">
        <v>107.4</v>
      </c>
      <c r="F26" s="155">
        <f t="shared" ref="F26" si="12">ROUND(D26*E26,0)</f>
        <v>107</v>
      </c>
      <c r="G26" s="155">
        <f t="shared" ref="G26:G27" si="13">F26-H26</f>
        <v>102</v>
      </c>
      <c r="H26" s="155">
        <f t="shared" ref="H26:H27" si="14">ROUND(F26*5/100,0)</f>
        <v>5</v>
      </c>
      <c r="I26" s="328" t="s">
        <v>1774</v>
      </c>
    </row>
    <row r="27" spans="1:9" s="111" customFormat="1" ht="41.25" hidden="1" customHeight="1">
      <c r="A27" s="112"/>
      <c r="B27" s="148" t="s">
        <v>1734</v>
      </c>
      <c r="C27" s="112" t="s">
        <v>1735</v>
      </c>
      <c r="D27" s="650">
        <v>1</v>
      </c>
      <c r="E27" s="163">
        <v>30</v>
      </c>
      <c r="F27" s="155">
        <f>ROUND(D27*E27,0)</f>
        <v>30</v>
      </c>
      <c r="G27" s="155">
        <f t="shared" si="13"/>
        <v>28</v>
      </c>
      <c r="H27" s="155">
        <f t="shared" si="14"/>
        <v>2</v>
      </c>
      <c r="I27" s="328" t="s">
        <v>1774</v>
      </c>
    </row>
    <row r="28" spans="1:9" s="111" customFormat="1" ht="26" hidden="1">
      <c r="A28" s="112" t="s">
        <v>1230</v>
      </c>
      <c r="B28" s="148" t="s">
        <v>1231</v>
      </c>
      <c r="C28" s="112"/>
      <c r="D28" s="650"/>
      <c r="E28" s="651"/>
      <c r="F28" s="291">
        <f>+F29</f>
        <v>0</v>
      </c>
      <c r="G28" s="291">
        <f>+G29</f>
        <v>0</v>
      </c>
      <c r="H28" s="291">
        <f t="shared" ref="H28" si="15">+H29</f>
        <v>0</v>
      </c>
      <c r="I28" s="328" t="s">
        <v>1774</v>
      </c>
    </row>
    <row r="29" spans="1:9" s="141" customFormat="1" ht="26" hidden="1">
      <c r="A29" s="122" t="s">
        <v>701</v>
      </c>
      <c r="B29" s="148" t="s">
        <v>1991</v>
      </c>
      <c r="C29" s="112" t="s">
        <v>903</v>
      </c>
      <c r="D29" s="999"/>
      <c r="E29" s="115"/>
      <c r="F29" s="155">
        <f>ROUND(D29*E29,0)</f>
        <v>0</v>
      </c>
      <c r="G29" s="155">
        <f t="shared" ref="G29" si="16">F29-H29</f>
        <v>0</v>
      </c>
      <c r="H29" s="155">
        <f t="shared" ref="H29" si="17">ROUND(F29*5/100,0)</f>
        <v>0</v>
      </c>
      <c r="I29" s="328" t="s">
        <v>1774</v>
      </c>
    </row>
    <row r="30" spans="1:9" ht="39">
      <c r="A30" s="119">
        <v>2</v>
      </c>
      <c r="B30" s="222" t="s">
        <v>1241</v>
      </c>
      <c r="C30" s="119"/>
      <c r="D30" s="649"/>
      <c r="E30" s="996"/>
      <c r="F30" s="155">
        <f>+F31+F35+F39+F42</f>
        <v>4852</v>
      </c>
      <c r="G30" s="155">
        <f t="shared" ref="G30:H30" si="18">+G31+G35+G39+G42</f>
        <v>4608</v>
      </c>
      <c r="H30" s="212">
        <f t="shared" si="18"/>
        <v>244</v>
      </c>
      <c r="I30" s="553"/>
    </row>
    <row r="31" spans="1:9" s="102" customFormat="1" ht="26">
      <c r="A31" s="112" t="s">
        <v>911</v>
      </c>
      <c r="B31" s="148" t="s">
        <v>1242</v>
      </c>
      <c r="C31" s="112"/>
      <c r="D31" s="650"/>
      <c r="E31" s="651"/>
      <c r="F31" s="155">
        <f>SUM(F32:F34)</f>
        <v>2698</v>
      </c>
      <c r="G31" s="155">
        <f t="shared" ref="G31:H31" si="19">SUM(G32:G34)</f>
        <v>2563</v>
      </c>
      <c r="H31" s="212">
        <f t="shared" si="19"/>
        <v>135</v>
      </c>
      <c r="I31" s="553"/>
    </row>
    <row r="32" spans="1:9" s="141" customFormat="1" hidden="1">
      <c r="A32" s="122"/>
      <c r="B32" s="221" t="s">
        <v>1736</v>
      </c>
      <c r="C32" s="112" t="s">
        <v>838</v>
      </c>
      <c r="D32" s="999">
        <v>2000</v>
      </c>
      <c r="E32" s="997">
        <f>70/1000</f>
        <v>7.0000000000000007E-2</v>
      </c>
      <c r="F32" s="155">
        <f t="shared" ref="F32:F33" si="20">ROUND(D32*E32,0)</f>
        <v>140</v>
      </c>
      <c r="G32" s="155">
        <f t="shared" ref="G32:G34" si="21">F32-H32</f>
        <v>133</v>
      </c>
      <c r="H32" s="155">
        <f t="shared" ref="H32:H34" si="22">ROUND(F32*5/100,0)</f>
        <v>7</v>
      </c>
      <c r="I32" s="328" t="s">
        <v>1774</v>
      </c>
    </row>
    <row r="33" spans="1:9" s="111" customFormat="1" ht="39" hidden="1">
      <c r="A33" s="122"/>
      <c r="B33" s="221" t="s">
        <v>1737</v>
      </c>
      <c r="C33" s="112" t="s">
        <v>903</v>
      </c>
      <c r="D33" s="999">
        <v>38</v>
      </c>
      <c r="E33" s="998">
        <v>64.599999999999994</v>
      </c>
      <c r="F33" s="155">
        <f t="shared" si="20"/>
        <v>2455</v>
      </c>
      <c r="G33" s="155">
        <f t="shared" si="21"/>
        <v>2332</v>
      </c>
      <c r="H33" s="155">
        <f t="shared" si="22"/>
        <v>123</v>
      </c>
      <c r="I33" s="328" t="s">
        <v>1774</v>
      </c>
    </row>
    <row r="34" spans="1:9" s="111" customFormat="1" ht="18" hidden="1" customHeight="1">
      <c r="A34" s="122"/>
      <c r="B34" s="148" t="s">
        <v>1992</v>
      </c>
      <c r="C34" s="112" t="s">
        <v>877</v>
      </c>
      <c r="D34" s="999">
        <v>3</v>
      </c>
      <c r="E34" s="998">
        <v>34.200000000000003</v>
      </c>
      <c r="F34" s="291">
        <f>ROUND(E34*D34,0)</f>
        <v>103</v>
      </c>
      <c r="G34" s="291">
        <f t="shared" si="21"/>
        <v>98</v>
      </c>
      <c r="H34" s="291">
        <f t="shared" si="22"/>
        <v>5</v>
      </c>
      <c r="I34" s="328" t="s">
        <v>1774</v>
      </c>
    </row>
    <row r="35" spans="1:9" ht="26">
      <c r="A35" s="112" t="s">
        <v>915</v>
      </c>
      <c r="B35" s="148" t="s">
        <v>1246</v>
      </c>
      <c r="C35" s="112"/>
      <c r="D35" s="650"/>
      <c r="E35" s="651"/>
      <c r="F35" s="291">
        <f>SUM(F36:F38)</f>
        <v>1744</v>
      </c>
      <c r="G35" s="291">
        <f t="shared" ref="G35:H35" si="23">SUM(G36:G38)</f>
        <v>1656</v>
      </c>
      <c r="H35" s="1033">
        <f t="shared" si="23"/>
        <v>88</v>
      </c>
      <c r="I35" s="899"/>
    </row>
    <row r="36" spans="1:9" s="164" customFormat="1" ht="39" hidden="1">
      <c r="A36" s="112"/>
      <c r="B36" s="148" t="s">
        <v>1738</v>
      </c>
      <c r="C36" s="112" t="s">
        <v>903</v>
      </c>
      <c r="D36" s="650">
        <v>3</v>
      </c>
      <c r="E36" s="163">
        <v>64.599999999999994</v>
      </c>
      <c r="F36" s="291">
        <f t="shared" ref="F36:F38" si="24">ROUND(E36*D36,0)</f>
        <v>194</v>
      </c>
      <c r="G36" s="291">
        <f t="shared" ref="G36:G38" si="25">F36-H36</f>
        <v>184</v>
      </c>
      <c r="H36" s="291">
        <f t="shared" ref="H36:H38" si="26">ROUND(F36*5/100,0)</f>
        <v>10</v>
      </c>
      <c r="I36" s="328" t="s">
        <v>1774</v>
      </c>
    </row>
    <row r="37" spans="1:9" s="164" customFormat="1" ht="18" hidden="1" customHeight="1">
      <c r="A37" s="122"/>
      <c r="B37" s="148" t="s">
        <v>1993</v>
      </c>
      <c r="C37" s="112" t="s">
        <v>903</v>
      </c>
      <c r="D37" s="999">
        <v>24</v>
      </c>
      <c r="E37" s="115">
        <v>64.599999999999994</v>
      </c>
      <c r="F37" s="291">
        <f>ROUND(D37*E37,0)</f>
        <v>1550</v>
      </c>
      <c r="G37" s="291">
        <f>F37-H37</f>
        <v>1472</v>
      </c>
      <c r="H37" s="291">
        <f t="shared" si="26"/>
        <v>78</v>
      </c>
      <c r="I37" s="328" t="s">
        <v>1774</v>
      </c>
    </row>
    <row r="38" spans="1:9" s="111" customFormat="1" ht="39" hidden="1">
      <c r="A38" s="122"/>
      <c r="B38" s="148" t="s">
        <v>1247</v>
      </c>
      <c r="C38" s="112" t="s">
        <v>1034</v>
      </c>
      <c r="D38" s="999"/>
      <c r="E38" s="115">
        <v>100</v>
      </c>
      <c r="F38" s="291">
        <f t="shared" si="24"/>
        <v>0</v>
      </c>
      <c r="G38" s="291">
        <f t="shared" si="25"/>
        <v>0</v>
      </c>
      <c r="H38" s="291">
        <f t="shared" si="26"/>
        <v>0</v>
      </c>
      <c r="I38" s="328" t="s">
        <v>1774</v>
      </c>
    </row>
    <row r="39" spans="1:9" s="333" customFormat="1" ht="26">
      <c r="A39" s="112" t="s">
        <v>1227</v>
      </c>
      <c r="B39" s="148" t="s">
        <v>1248</v>
      </c>
      <c r="C39" s="112"/>
      <c r="D39" s="650"/>
      <c r="E39" s="651"/>
      <c r="F39" s="155">
        <f>+F40+F41</f>
        <v>410</v>
      </c>
      <c r="G39" s="155">
        <f t="shared" ref="G39:H39" si="27">+G40+G41</f>
        <v>389</v>
      </c>
      <c r="H39" s="212">
        <f t="shared" si="27"/>
        <v>21</v>
      </c>
      <c r="I39" s="723"/>
    </row>
    <row r="40" spans="1:9" s="141" customFormat="1" ht="26" hidden="1">
      <c r="A40" s="122" t="s">
        <v>742</v>
      </c>
      <c r="B40" s="148" t="s">
        <v>1216</v>
      </c>
      <c r="C40" s="112" t="s">
        <v>838</v>
      </c>
      <c r="D40" s="999">
        <v>4000</v>
      </c>
      <c r="E40" s="997">
        <v>7.0000000000000007E-2</v>
      </c>
      <c r="F40" s="291">
        <f t="shared" ref="F40:F41" si="28">ROUND(E40*D40,0)</f>
        <v>280</v>
      </c>
      <c r="G40" s="291">
        <f t="shared" ref="G40:G45" si="29">F40-H40</f>
        <v>266</v>
      </c>
      <c r="H40" s="291">
        <f t="shared" ref="H40:H45" si="30">ROUND(F40*5/100,0)</f>
        <v>14</v>
      </c>
      <c r="I40" s="328" t="s">
        <v>1774</v>
      </c>
    </row>
    <row r="41" spans="1:9" s="111" customFormat="1" hidden="1">
      <c r="A41" s="122" t="s">
        <v>742</v>
      </c>
      <c r="B41" s="148" t="s">
        <v>1994</v>
      </c>
      <c r="C41" s="112" t="s">
        <v>903</v>
      </c>
      <c r="D41" s="999">
        <v>4</v>
      </c>
      <c r="E41" s="998">
        <v>32.5</v>
      </c>
      <c r="F41" s="291">
        <f t="shared" si="28"/>
        <v>130</v>
      </c>
      <c r="G41" s="291">
        <f t="shared" si="29"/>
        <v>123</v>
      </c>
      <c r="H41" s="291">
        <f t="shared" si="30"/>
        <v>7</v>
      </c>
      <c r="I41" s="328" t="s">
        <v>1774</v>
      </c>
    </row>
    <row r="42" spans="1:9" s="111" customFormat="1" ht="26" hidden="1">
      <c r="A42" s="112" t="s">
        <v>1230</v>
      </c>
      <c r="B42" s="148" t="s">
        <v>1254</v>
      </c>
      <c r="C42" s="112"/>
      <c r="D42" s="650"/>
      <c r="E42" s="651"/>
      <c r="F42" s="155">
        <f>SUM(F43:F45)</f>
        <v>0</v>
      </c>
      <c r="G42" s="155">
        <f t="shared" si="29"/>
        <v>0</v>
      </c>
      <c r="H42" s="155">
        <f t="shared" si="30"/>
        <v>0</v>
      </c>
      <c r="I42" s="328" t="s">
        <v>1774</v>
      </c>
    </row>
    <row r="43" spans="1:9" s="111" customFormat="1" ht="39" hidden="1">
      <c r="A43" s="122"/>
      <c r="B43" s="1008" t="s">
        <v>1255</v>
      </c>
      <c r="C43" s="1009"/>
      <c r="D43" s="999"/>
      <c r="E43" s="115"/>
      <c r="F43" s="155">
        <f>D43*E43</f>
        <v>0</v>
      </c>
      <c r="G43" s="155">
        <f t="shared" si="29"/>
        <v>0</v>
      </c>
      <c r="H43" s="155">
        <f t="shared" si="30"/>
        <v>0</v>
      </c>
      <c r="I43" s="328" t="s">
        <v>1774</v>
      </c>
    </row>
    <row r="44" spans="1:9" s="111" customFormat="1" hidden="1">
      <c r="A44" s="122"/>
      <c r="B44" s="1008" t="s">
        <v>1256</v>
      </c>
      <c r="C44" s="1009"/>
      <c r="D44" s="999"/>
      <c r="E44" s="115"/>
      <c r="F44" s="155">
        <f>D44*E44</f>
        <v>0</v>
      </c>
      <c r="G44" s="155">
        <f t="shared" si="29"/>
        <v>0</v>
      </c>
      <c r="H44" s="155">
        <f t="shared" si="30"/>
        <v>0</v>
      </c>
      <c r="I44" s="328" t="s">
        <v>1774</v>
      </c>
    </row>
    <row r="45" spans="1:9" s="141" customFormat="1" ht="26" hidden="1">
      <c r="A45" s="122"/>
      <c r="B45" s="1008" t="s">
        <v>1257</v>
      </c>
      <c r="C45" s="1009" t="s">
        <v>1034</v>
      </c>
      <c r="D45" s="999"/>
      <c r="E45" s="115">
        <v>30</v>
      </c>
      <c r="F45" s="291">
        <f>ROUND(E45*D45,0)</f>
        <v>0</v>
      </c>
      <c r="G45" s="291">
        <f t="shared" si="29"/>
        <v>0</v>
      </c>
      <c r="H45" s="291">
        <f t="shared" si="30"/>
        <v>0</v>
      </c>
      <c r="I45" s="328" t="s">
        <v>1774</v>
      </c>
    </row>
    <row r="46" spans="1:9" ht="39">
      <c r="A46" s="119">
        <v>3</v>
      </c>
      <c r="B46" s="222" t="s">
        <v>1258</v>
      </c>
      <c r="C46" s="119"/>
      <c r="D46" s="649"/>
      <c r="E46" s="996"/>
      <c r="F46" s="155">
        <f>+F47+F53+F56+F59</f>
        <v>3124</v>
      </c>
      <c r="G46" s="155">
        <f>+G47+G53+G56+G59</f>
        <v>2967</v>
      </c>
      <c r="H46" s="212">
        <f>+H47+H53+H56+H59</f>
        <v>157</v>
      </c>
      <c r="I46" s="553"/>
    </row>
    <row r="47" spans="1:9">
      <c r="A47" s="112" t="s">
        <v>742</v>
      </c>
      <c r="B47" s="148" t="s">
        <v>1259</v>
      </c>
      <c r="C47" s="112"/>
      <c r="D47" s="650"/>
      <c r="E47" s="651"/>
      <c r="F47" s="155">
        <f>SUM(F48:F52)</f>
        <v>2122</v>
      </c>
      <c r="G47" s="155">
        <f t="shared" ref="G47:H47" si="31">SUM(G48:G52)</f>
        <v>2016</v>
      </c>
      <c r="H47" s="212">
        <f t="shared" si="31"/>
        <v>106</v>
      </c>
      <c r="I47" s="553"/>
    </row>
    <row r="48" spans="1:9" s="141" customFormat="1" ht="26" hidden="1">
      <c r="A48" s="124"/>
      <c r="B48" s="148" t="s">
        <v>1739</v>
      </c>
      <c r="C48" s="112" t="s">
        <v>838</v>
      </c>
      <c r="D48" s="999">
        <v>4000</v>
      </c>
      <c r="E48" s="997">
        <v>7.0000000000000007E-2</v>
      </c>
      <c r="F48" s="190">
        <f>ROUND(D48*E48,0)</f>
        <v>280</v>
      </c>
      <c r="G48" s="190">
        <f t="shared" ref="G48:G52" si="32">F48-H48</f>
        <v>266</v>
      </c>
      <c r="H48" s="190">
        <f>ROUND(F48*5/100,0)</f>
        <v>14</v>
      </c>
      <c r="I48" s="328" t="s">
        <v>1774</v>
      </c>
    </row>
    <row r="49" spans="1:9" s="141" customFormat="1" ht="18" hidden="1" customHeight="1">
      <c r="A49" s="124"/>
      <c r="B49" s="148" t="s">
        <v>1740</v>
      </c>
      <c r="C49" s="112" t="s">
        <v>1261</v>
      </c>
      <c r="D49" s="999">
        <v>8</v>
      </c>
      <c r="E49" s="115">
        <v>39</v>
      </c>
      <c r="F49" s="190">
        <f t="shared" ref="F49:F52" si="33">ROUND(D49*E49,0)</f>
        <v>312</v>
      </c>
      <c r="G49" s="190">
        <f t="shared" si="32"/>
        <v>296</v>
      </c>
      <c r="H49" s="190">
        <f t="shared" ref="H49:H52" si="34">ROUND(F49*5/100,0)</f>
        <v>16</v>
      </c>
      <c r="I49" s="328" t="s">
        <v>1774</v>
      </c>
    </row>
    <row r="50" spans="1:9" s="141" customFormat="1" ht="26" hidden="1">
      <c r="A50" s="124"/>
      <c r="B50" s="148" t="s">
        <v>1741</v>
      </c>
      <c r="C50" s="112" t="s">
        <v>903</v>
      </c>
      <c r="D50" s="650">
        <v>3</v>
      </c>
      <c r="E50" s="997">
        <v>13.75</v>
      </c>
      <c r="F50" s="190">
        <f t="shared" si="33"/>
        <v>41</v>
      </c>
      <c r="G50" s="190">
        <f t="shared" si="32"/>
        <v>39</v>
      </c>
      <c r="H50" s="190">
        <f t="shared" si="34"/>
        <v>2</v>
      </c>
      <c r="I50" s="328" t="s">
        <v>1774</v>
      </c>
    </row>
    <row r="51" spans="1:9" s="141" customFormat="1" ht="26" hidden="1">
      <c r="A51" s="124"/>
      <c r="B51" s="148" t="s">
        <v>1995</v>
      </c>
      <c r="C51" s="112" t="s">
        <v>902</v>
      </c>
      <c r="D51" s="650">
        <v>32</v>
      </c>
      <c r="E51" s="998">
        <v>44.4</v>
      </c>
      <c r="F51" s="190">
        <f t="shared" si="33"/>
        <v>1421</v>
      </c>
      <c r="G51" s="190">
        <f t="shared" si="32"/>
        <v>1350</v>
      </c>
      <c r="H51" s="190">
        <f t="shared" si="34"/>
        <v>71</v>
      </c>
      <c r="I51" s="328" t="s">
        <v>1774</v>
      </c>
    </row>
    <row r="52" spans="1:9" s="141" customFormat="1" ht="26" hidden="1">
      <c r="A52" s="124"/>
      <c r="B52" s="148" t="s">
        <v>1996</v>
      </c>
      <c r="C52" s="112" t="s">
        <v>902</v>
      </c>
      <c r="D52" s="650">
        <v>2</v>
      </c>
      <c r="E52" s="998">
        <v>34.200000000000003</v>
      </c>
      <c r="F52" s="190">
        <f t="shared" si="33"/>
        <v>68</v>
      </c>
      <c r="G52" s="190">
        <f t="shared" si="32"/>
        <v>65</v>
      </c>
      <c r="H52" s="190">
        <f t="shared" si="34"/>
        <v>3</v>
      </c>
      <c r="I52" s="328" t="s">
        <v>1774</v>
      </c>
    </row>
    <row r="53" spans="1:9" ht="26">
      <c r="A53" s="112" t="s">
        <v>742</v>
      </c>
      <c r="B53" s="148" t="s">
        <v>1263</v>
      </c>
      <c r="C53" s="112"/>
      <c r="D53" s="650"/>
      <c r="E53" s="651"/>
      <c r="F53" s="155">
        <f>SUM(F54:F55)</f>
        <v>344</v>
      </c>
      <c r="G53" s="155">
        <f>SUM(G54:G55)</f>
        <v>327</v>
      </c>
      <c r="H53" s="212">
        <f>SUM(H54:H55)</f>
        <v>17</v>
      </c>
      <c r="I53" s="553"/>
    </row>
    <row r="54" spans="1:9" s="143" customFormat="1" ht="26" hidden="1">
      <c r="A54" s="122"/>
      <c r="B54" s="148" t="s">
        <v>1264</v>
      </c>
      <c r="C54" s="112" t="s">
        <v>838</v>
      </c>
      <c r="D54" s="999">
        <v>2000</v>
      </c>
      <c r="E54" s="997">
        <v>7.0000000000000007E-2</v>
      </c>
      <c r="F54" s="190">
        <f>ROUND(D54*E54,0)</f>
        <v>140</v>
      </c>
      <c r="G54" s="190">
        <f t="shared" ref="G54:G55" si="35">F54-H54</f>
        <v>133</v>
      </c>
      <c r="H54" s="190">
        <f t="shared" ref="H54:H55" si="36">ROUND(F54*5/100,0)</f>
        <v>7</v>
      </c>
      <c r="I54" s="328" t="s">
        <v>1774</v>
      </c>
    </row>
    <row r="55" spans="1:9" s="143" customFormat="1" ht="18" hidden="1" customHeight="1">
      <c r="A55" s="122"/>
      <c r="B55" s="618" t="s">
        <v>1997</v>
      </c>
      <c r="C55" s="112" t="s">
        <v>878</v>
      </c>
      <c r="D55" s="999">
        <v>3</v>
      </c>
      <c r="E55" s="115">
        <v>68</v>
      </c>
      <c r="F55" s="190">
        <f t="shared" ref="F55" si="37">ROUND(D55*E55,0)</f>
        <v>204</v>
      </c>
      <c r="G55" s="190">
        <f t="shared" si="35"/>
        <v>194</v>
      </c>
      <c r="H55" s="190">
        <f t="shared" si="36"/>
        <v>10</v>
      </c>
      <c r="I55" s="328" t="s">
        <v>1774</v>
      </c>
    </row>
    <row r="56" spans="1:9">
      <c r="A56" s="112" t="s">
        <v>742</v>
      </c>
      <c r="B56" s="148" t="s">
        <v>1268</v>
      </c>
      <c r="C56" s="112"/>
      <c r="D56" s="650"/>
      <c r="E56" s="651"/>
      <c r="F56" s="155">
        <f>SUM(F57:F58)</f>
        <v>246</v>
      </c>
      <c r="G56" s="155">
        <f>SUM(G57:G58)</f>
        <v>233</v>
      </c>
      <c r="H56" s="212">
        <f>SUM(H57:H58)</f>
        <v>13</v>
      </c>
      <c r="I56" s="553"/>
    </row>
    <row r="57" spans="1:9" s="142" customFormat="1" ht="18" hidden="1" customHeight="1">
      <c r="A57" s="122"/>
      <c r="B57" s="148" t="s">
        <v>1269</v>
      </c>
      <c r="C57" s="112" t="s">
        <v>838</v>
      </c>
      <c r="D57" s="999">
        <v>3000</v>
      </c>
      <c r="E57" s="997">
        <v>7.0000000000000007E-2</v>
      </c>
      <c r="F57" s="190">
        <f>ROUND(D57*E57,0)</f>
        <v>210</v>
      </c>
      <c r="G57" s="190">
        <f t="shared" ref="G57:G58" si="38">F57-H57</f>
        <v>199</v>
      </c>
      <c r="H57" s="190">
        <f t="shared" ref="H57:H58" si="39">ROUND(F57*5/100,0)</f>
        <v>11</v>
      </c>
      <c r="I57" s="328" t="s">
        <v>1774</v>
      </c>
    </row>
    <row r="58" spans="1:9" s="111" customFormat="1" ht="18" hidden="1" customHeight="1">
      <c r="A58" s="122"/>
      <c r="B58" s="148" t="s">
        <v>1998</v>
      </c>
      <c r="C58" s="112" t="s">
        <v>1265</v>
      </c>
      <c r="D58" s="999">
        <v>1</v>
      </c>
      <c r="E58" s="998">
        <v>36.299999999999997</v>
      </c>
      <c r="F58" s="190">
        <f>ROUND(D58*E58,0)</f>
        <v>36</v>
      </c>
      <c r="G58" s="190">
        <f t="shared" si="38"/>
        <v>34</v>
      </c>
      <c r="H58" s="190">
        <f t="shared" si="39"/>
        <v>2</v>
      </c>
      <c r="I58" s="328" t="s">
        <v>1774</v>
      </c>
    </row>
    <row r="59" spans="1:9" s="102" customFormat="1" ht="26">
      <c r="A59" s="112" t="s">
        <v>742</v>
      </c>
      <c r="B59" s="148" t="s">
        <v>1270</v>
      </c>
      <c r="C59" s="112"/>
      <c r="D59" s="650"/>
      <c r="E59" s="651"/>
      <c r="F59" s="155">
        <f>SUM(F60:F61)</f>
        <v>412</v>
      </c>
      <c r="G59" s="155">
        <f t="shared" ref="G59:H59" si="40">SUM(G60:G61)</f>
        <v>391</v>
      </c>
      <c r="H59" s="212">
        <f t="shared" si="40"/>
        <v>21</v>
      </c>
      <c r="I59" s="553"/>
    </row>
    <row r="60" spans="1:9" s="111" customFormat="1" ht="26" hidden="1">
      <c r="A60" s="122"/>
      <c r="B60" s="148" t="s">
        <v>1999</v>
      </c>
      <c r="C60" s="112" t="s">
        <v>903</v>
      </c>
      <c r="D60" s="999">
        <v>6</v>
      </c>
      <c r="E60" s="998">
        <v>36.299999999999997</v>
      </c>
      <c r="F60" s="190">
        <f>ROUND(D60*E60,0)</f>
        <v>218</v>
      </c>
      <c r="G60" s="190">
        <f t="shared" ref="G60:G61" si="41">F60-H60</f>
        <v>207</v>
      </c>
      <c r="H60" s="190">
        <f t="shared" ref="H60:H61" si="42">ROUND(F60*5/100,0)</f>
        <v>11</v>
      </c>
      <c r="I60" s="328" t="s">
        <v>1774</v>
      </c>
    </row>
    <row r="61" spans="1:9" s="111" customFormat="1" ht="18" hidden="1" customHeight="1">
      <c r="A61" s="122"/>
      <c r="B61" s="148" t="s">
        <v>2000</v>
      </c>
      <c r="C61" s="112" t="s">
        <v>1014</v>
      </c>
      <c r="D61" s="999">
        <v>2</v>
      </c>
      <c r="E61" s="115">
        <v>97</v>
      </c>
      <c r="F61" s="190">
        <f>ROUND(D61*E61,0)</f>
        <v>194</v>
      </c>
      <c r="G61" s="190">
        <f t="shared" si="41"/>
        <v>184</v>
      </c>
      <c r="H61" s="190">
        <f t="shared" si="42"/>
        <v>10</v>
      </c>
      <c r="I61" s="328" t="s">
        <v>1774</v>
      </c>
    </row>
    <row r="62" spans="1:9" s="102" customFormat="1" ht="39">
      <c r="A62" s="119">
        <v>4</v>
      </c>
      <c r="B62" s="222" t="s">
        <v>1273</v>
      </c>
      <c r="C62" s="119"/>
      <c r="D62" s="649"/>
      <c r="E62" s="996"/>
      <c r="F62" s="190">
        <f>+F63+F64</f>
        <v>281</v>
      </c>
      <c r="G62" s="190">
        <f>+G63+G64</f>
        <v>267</v>
      </c>
      <c r="H62" s="960">
        <f>+H63+H64</f>
        <v>14</v>
      </c>
      <c r="I62" s="553"/>
    </row>
    <row r="63" spans="1:9" s="111" customFormat="1" ht="18" hidden="1" customHeight="1">
      <c r="A63" s="119"/>
      <c r="B63" s="148" t="s">
        <v>2001</v>
      </c>
      <c r="C63" s="112" t="s">
        <v>1265</v>
      </c>
      <c r="D63" s="649"/>
      <c r="E63" s="163"/>
      <c r="F63" s="190"/>
      <c r="G63" s="190"/>
      <c r="H63" s="190"/>
      <c r="I63" s="328" t="s">
        <v>1774</v>
      </c>
    </row>
    <row r="64" spans="1:9" s="111" customFormat="1" ht="18" hidden="1" customHeight="1">
      <c r="A64" s="122"/>
      <c r="B64" s="148" t="s">
        <v>1742</v>
      </c>
      <c r="C64" s="112" t="s">
        <v>878</v>
      </c>
      <c r="D64" s="999">
        <v>5</v>
      </c>
      <c r="E64" s="998">
        <v>56.1</v>
      </c>
      <c r="F64" s="190">
        <f t="shared" ref="F64" si="43">ROUND(D64*E64,0)</f>
        <v>281</v>
      </c>
      <c r="G64" s="190">
        <f t="shared" ref="G64" si="44">F64-H64</f>
        <v>267</v>
      </c>
      <c r="H64" s="190">
        <f t="shared" ref="H64" si="45">ROUND(F64*5/100,0)</f>
        <v>14</v>
      </c>
      <c r="I64" s="328" t="s">
        <v>1774</v>
      </c>
    </row>
    <row r="65" spans="1:9" s="102" customFormat="1" ht="18" customHeight="1">
      <c r="A65" s="124" t="s">
        <v>26</v>
      </c>
      <c r="B65" s="992" t="s">
        <v>2375</v>
      </c>
      <c r="C65" s="108"/>
      <c r="D65" s="1023"/>
      <c r="E65" s="1024"/>
      <c r="F65" s="652">
        <f>+F66+F123</f>
        <v>3261</v>
      </c>
      <c r="G65" s="652">
        <f>+G66+G123</f>
        <v>3097</v>
      </c>
      <c r="H65" s="1032">
        <f>+H66+H123</f>
        <v>164</v>
      </c>
      <c r="I65" s="553"/>
    </row>
    <row r="66" spans="1:9" s="102" customFormat="1" ht="39">
      <c r="A66" s="112">
        <v>1</v>
      </c>
      <c r="B66" s="148" t="s">
        <v>1258</v>
      </c>
      <c r="C66" s="112"/>
      <c r="D66" s="999"/>
      <c r="E66" s="115"/>
      <c r="F66" s="155">
        <f>+F67+F112+F85</f>
        <v>2505</v>
      </c>
      <c r="G66" s="155">
        <f>+G67+G112+G85</f>
        <v>2379</v>
      </c>
      <c r="H66" s="212">
        <f>+H67+H112+H85</f>
        <v>126</v>
      </c>
      <c r="I66" s="553"/>
    </row>
    <row r="67" spans="1:9" s="102" customFormat="1">
      <c r="A67" s="112" t="s">
        <v>742</v>
      </c>
      <c r="B67" s="148" t="s">
        <v>1259</v>
      </c>
      <c r="C67" s="112"/>
      <c r="D67" s="650"/>
      <c r="E67" s="651"/>
      <c r="F67" s="155">
        <f>+F68</f>
        <v>508</v>
      </c>
      <c r="G67" s="155">
        <f t="shared" ref="G67:H67" si="46">+G68</f>
        <v>482</v>
      </c>
      <c r="H67" s="212">
        <f t="shared" si="46"/>
        <v>26</v>
      </c>
      <c r="I67" s="553"/>
    </row>
    <row r="68" spans="1:9" s="111" customFormat="1" ht="18" hidden="1" customHeight="1">
      <c r="A68" s="112"/>
      <c r="B68" s="148" t="s">
        <v>1743</v>
      </c>
      <c r="C68" s="112" t="s">
        <v>1028</v>
      </c>
      <c r="D68" s="999">
        <v>2</v>
      </c>
      <c r="E68" s="115">
        <f>+F69</f>
        <v>254</v>
      </c>
      <c r="F68" s="155">
        <f>ROUND(D68*E68,0)</f>
        <v>508</v>
      </c>
      <c r="G68" s="155">
        <f>ROUND(F68*95%,0)-1</f>
        <v>482</v>
      </c>
      <c r="H68" s="155">
        <f>F68-G68</f>
        <v>26</v>
      </c>
      <c r="I68" s="328" t="s">
        <v>1774</v>
      </c>
    </row>
    <row r="69" spans="1:9" s="111" customFormat="1" ht="18" hidden="1" customHeight="1">
      <c r="A69" s="112"/>
      <c r="B69" s="148" t="s">
        <v>1744</v>
      </c>
      <c r="C69" s="112"/>
      <c r="D69" s="999"/>
      <c r="E69" s="115"/>
      <c r="F69" s="155">
        <f>+F70+F77+F81</f>
        <v>254</v>
      </c>
      <c r="G69" s="155"/>
      <c r="H69" s="155"/>
      <c r="I69" s="328" t="s">
        <v>1774</v>
      </c>
    </row>
    <row r="70" spans="1:9" s="111" customFormat="1" hidden="1">
      <c r="A70" s="112"/>
      <c r="B70" s="148" t="s">
        <v>1745</v>
      </c>
      <c r="C70" s="112"/>
      <c r="D70" s="999"/>
      <c r="E70" s="115"/>
      <c r="F70" s="155">
        <f>SUM(F71:F76)</f>
        <v>113</v>
      </c>
      <c r="G70" s="155"/>
      <c r="H70" s="155"/>
      <c r="I70" s="328" t="s">
        <v>1774</v>
      </c>
    </row>
    <row r="71" spans="1:9" s="111" customFormat="1" ht="18" hidden="1" customHeight="1">
      <c r="A71" s="112"/>
      <c r="B71" s="148" t="s">
        <v>1746</v>
      </c>
      <c r="C71" s="112" t="s">
        <v>845</v>
      </c>
      <c r="D71" s="999">
        <v>16</v>
      </c>
      <c r="E71" s="1025">
        <f>2000000/1000000</f>
        <v>2</v>
      </c>
      <c r="F71" s="155">
        <f>ROUND(D71*E71,0)</f>
        <v>32</v>
      </c>
      <c r="G71" s="155"/>
      <c r="H71" s="155"/>
      <c r="I71" s="328" t="s">
        <v>1774</v>
      </c>
    </row>
    <row r="72" spans="1:9" s="111" customFormat="1" ht="18" hidden="1" customHeight="1">
      <c r="A72" s="112"/>
      <c r="B72" s="148" t="s">
        <v>1747</v>
      </c>
      <c r="C72" s="112" t="s">
        <v>876</v>
      </c>
      <c r="D72" s="999">
        <f>106*5+8*3</f>
        <v>554</v>
      </c>
      <c r="E72" s="1025">
        <f>50000/1000000</f>
        <v>0.05</v>
      </c>
      <c r="F72" s="155">
        <f t="shared" ref="F72:F84" si="47">ROUND(D72*E72,0)</f>
        <v>28</v>
      </c>
      <c r="G72" s="155"/>
      <c r="H72" s="155"/>
      <c r="I72" s="328" t="s">
        <v>1774</v>
      </c>
    </row>
    <row r="73" spans="1:9" s="111" customFormat="1" hidden="1">
      <c r="A73" s="112"/>
      <c r="B73" s="148" t="s">
        <v>1748</v>
      </c>
      <c r="C73" s="112" t="s">
        <v>845</v>
      </c>
      <c r="D73" s="999">
        <f>D72*2</f>
        <v>1108</v>
      </c>
      <c r="E73" s="1025">
        <f>10000/1000000</f>
        <v>0.01</v>
      </c>
      <c r="F73" s="155">
        <f t="shared" si="47"/>
        <v>11</v>
      </c>
      <c r="G73" s="155"/>
      <c r="H73" s="155"/>
      <c r="I73" s="328" t="s">
        <v>1774</v>
      </c>
    </row>
    <row r="74" spans="1:9" s="111" customFormat="1" ht="18" hidden="1" customHeight="1">
      <c r="A74" s="112"/>
      <c r="B74" s="148" t="s">
        <v>1749</v>
      </c>
      <c r="C74" s="112" t="s">
        <v>876</v>
      </c>
      <c r="D74" s="999">
        <f>D72</f>
        <v>554</v>
      </c>
      <c r="E74" s="1025">
        <f>15000/1000000</f>
        <v>1.4999999999999999E-2</v>
      </c>
      <c r="F74" s="155">
        <f t="shared" si="47"/>
        <v>8</v>
      </c>
      <c r="G74" s="155"/>
      <c r="H74" s="155"/>
      <c r="I74" s="328" t="s">
        <v>1774</v>
      </c>
    </row>
    <row r="75" spans="1:9" s="111" customFormat="1" ht="18" hidden="1" customHeight="1">
      <c r="A75" s="112"/>
      <c r="B75" s="148" t="s">
        <v>1750</v>
      </c>
      <c r="C75" s="112" t="s">
        <v>877</v>
      </c>
      <c r="D75" s="999">
        <f>2*8*2</f>
        <v>32</v>
      </c>
      <c r="E75" s="1025">
        <f>800000/1000000</f>
        <v>0.8</v>
      </c>
      <c r="F75" s="155">
        <f t="shared" si="47"/>
        <v>26</v>
      </c>
      <c r="G75" s="155"/>
      <c r="H75" s="155"/>
      <c r="I75" s="328" t="s">
        <v>1774</v>
      </c>
    </row>
    <row r="76" spans="1:9" s="111" customFormat="1" ht="18" hidden="1" customHeight="1">
      <c r="A76" s="112"/>
      <c r="B76" s="148" t="s">
        <v>1751</v>
      </c>
      <c r="C76" s="112" t="s">
        <v>877</v>
      </c>
      <c r="D76" s="999">
        <f>2*8*2</f>
        <v>32</v>
      </c>
      <c r="E76" s="1025">
        <f>250000/1000000</f>
        <v>0.25</v>
      </c>
      <c r="F76" s="155">
        <f t="shared" si="47"/>
        <v>8</v>
      </c>
      <c r="G76" s="155"/>
      <c r="H76" s="155"/>
      <c r="I76" s="328" t="s">
        <v>1774</v>
      </c>
    </row>
    <row r="77" spans="1:9" s="111" customFormat="1" hidden="1">
      <c r="A77" s="112"/>
      <c r="B77" s="148" t="s">
        <v>1752</v>
      </c>
      <c r="C77" s="112"/>
      <c r="D77" s="999"/>
      <c r="E77" s="1025"/>
      <c r="F77" s="155">
        <f>SUM(F78:F80)</f>
        <v>37</v>
      </c>
      <c r="G77" s="155"/>
      <c r="H77" s="155"/>
      <c r="I77" s="328" t="s">
        <v>1774</v>
      </c>
    </row>
    <row r="78" spans="1:9" s="111" customFormat="1" hidden="1">
      <c r="A78" s="112"/>
      <c r="B78" s="148" t="s">
        <v>1753</v>
      </c>
      <c r="C78" s="112" t="s">
        <v>848</v>
      </c>
      <c r="D78" s="999">
        <v>2320</v>
      </c>
      <c r="E78" s="1025">
        <f>2000/1000000</f>
        <v>2E-3</v>
      </c>
      <c r="F78" s="155">
        <f t="shared" si="47"/>
        <v>5</v>
      </c>
      <c r="G78" s="155"/>
      <c r="H78" s="155"/>
      <c r="I78" s="328" t="s">
        <v>1774</v>
      </c>
    </row>
    <row r="79" spans="1:9" s="111" customFormat="1" ht="18" hidden="1" customHeight="1">
      <c r="A79" s="112"/>
      <c r="B79" s="148" t="s">
        <v>1754</v>
      </c>
      <c r="C79" s="112" t="s">
        <v>845</v>
      </c>
      <c r="D79" s="999">
        <v>56</v>
      </c>
      <c r="E79" s="1025">
        <f>200000/1000000</f>
        <v>0.2</v>
      </c>
      <c r="F79" s="155">
        <f t="shared" si="47"/>
        <v>11</v>
      </c>
      <c r="G79" s="155"/>
      <c r="H79" s="155"/>
      <c r="I79" s="328" t="s">
        <v>1774</v>
      </c>
    </row>
    <row r="80" spans="1:9" s="111" customFormat="1" ht="18" hidden="1" customHeight="1">
      <c r="A80" s="112"/>
      <c r="B80" s="148" t="s">
        <v>1755</v>
      </c>
      <c r="C80" s="112" t="s">
        <v>843</v>
      </c>
      <c r="D80" s="999">
        <v>42</v>
      </c>
      <c r="E80" s="1025">
        <f>500000/1000000</f>
        <v>0.5</v>
      </c>
      <c r="F80" s="155">
        <f t="shared" si="47"/>
        <v>21</v>
      </c>
      <c r="G80" s="155"/>
      <c r="H80" s="155"/>
      <c r="I80" s="328" t="s">
        <v>1774</v>
      </c>
    </row>
    <row r="81" spans="1:9" s="111" customFormat="1" ht="18" hidden="1" customHeight="1">
      <c r="A81" s="112"/>
      <c r="B81" s="148" t="s">
        <v>1756</v>
      </c>
      <c r="C81" s="112"/>
      <c r="D81" s="999"/>
      <c r="E81" s="1025"/>
      <c r="F81" s="155">
        <f>SUM(F82:F84)</f>
        <v>104</v>
      </c>
      <c r="G81" s="155"/>
      <c r="H81" s="155"/>
      <c r="I81" s="328" t="s">
        <v>1774</v>
      </c>
    </row>
    <row r="82" spans="1:9" s="111" customFormat="1" ht="18" hidden="1" customHeight="1">
      <c r="A82" s="112"/>
      <c r="B82" s="148" t="s">
        <v>1757</v>
      </c>
      <c r="C82" s="112" t="s">
        <v>848</v>
      </c>
      <c r="D82" s="999">
        <v>13050</v>
      </c>
      <c r="E82" s="1025">
        <f>2000/1000000</f>
        <v>2E-3</v>
      </c>
      <c r="F82" s="155">
        <f t="shared" si="47"/>
        <v>26</v>
      </c>
      <c r="G82" s="155"/>
      <c r="H82" s="155"/>
      <c r="I82" s="328" t="s">
        <v>1774</v>
      </c>
    </row>
    <row r="83" spans="1:9" s="111" customFormat="1" ht="18" hidden="1" customHeight="1">
      <c r="A83" s="112"/>
      <c r="B83" s="148" t="s">
        <v>1758</v>
      </c>
      <c r="C83" s="112" t="s">
        <v>843</v>
      </c>
      <c r="D83" s="999">
        <v>783</v>
      </c>
      <c r="E83" s="1025">
        <f>50000/1000000</f>
        <v>0.05</v>
      </c>
      <c r="F83" s="155">
        <f t="shared" si="47"/>
        <v>39</v>
      </c>
      <c r="G83" s="155"/>
      <c r="H83" s="155"/>
      <c r="I83" s="328" t="s">
        <v>1774</v>
      </c>
    </row>
    <row r="84" spans="1:9" s="111" customFormat="1" ht="18" hidden="1" customHeight="1">
      <c r="A84" s="112"/>
      <c r="B84" s="148" t="s">
        <v>1759</v>
      </c>
      <c r="C84" s="112" t="s">
        <v>845</v>
      </c>
      <c r="D84" s="999">
        <v>783</v>
      </c>
      <c r="E84" s="1025">
        <f>50000/1000000</f>
        <v>0.05</v>
      </c>
      <c r="F84" s="155">
        <f t="shared" si="47"/>
        <v>39</v>
      </c>
      <c r="G84" s="155"/>
      <c r="H84" s="155"/>
      <c r="I84" s="328" t="s">
        <v>1774</v>
      </c>
    </row>
    <row r="85" spans="1:9" s="102" customFormat="1" ht="26">
      <c r="A85" s="112" t="s">
        <v>742</v>
      </c>
      <c r="B85" s="148" t="s">
        <v>1263</v>
      </c>
      <c r="C85" s="112"/>
      <c r="D85" s="650"/>
      <c r="E85" s="651"/>
      <c r="F85" s="155">
        <f>+F86+F93+F111</f>
        <v>1997</v>
      </c>
      <c r="G85" s="155">
        <f>+G86+G93+G111</f>
        <v>1897</v>
      </c>
      <c r="H85" s="212">
        <f>+H86+H93+H111</f>
        <v>100</v>
      </c>
      <c r="I85" s="553"/>
    </row>
    <row r="86" spans="1:9" s="111" customFormat="1" ht="18" hidden="1" customHeight="1">
      <c r="A86" s="112" t="s">
        <v>1585</v>
      </c>
      <c r="B86" s="148" t="s">
        <v>2002</v>
      </c>
      <c r="C86" s="112"/>
      <c r="D86" s="650"/>
      <c r="E86" s="651"/>
      <c r="F86" s="155">
        <f>SUM(F87:F92)</f>
        <v>56</v>
      </c>
      <c r="G86" s="1021">
        <f>ROUND(F86*95%,0)</f>
        <v>53</v>
      </c>
      <c r="H86" s="1021">
        <f>F86-G86</f>
        <v>3</v>
      </c>
      <c r="I86" s="328" t="s">
        <v>1774</v>
      </c>
    </row>
    <row r="87" spans="1:9" s="111" customFormat="1" ht="18" hidden="1" customHeight="1">
      <c r="A87" s="1010"/>
      <c r="B87" s="1011" t="s">
        <v>2003</v>
      </c>
      <c r="C87" s="1012" t="s">
        <v>876</v>
      </c>
      <c r="D87" s="1026">
        <v>69</v>
      </c>
      <c r="E87" s="1000">
        <v>0.08</v>
      </c>
      <c r="F87" s="1021">
        <f>ROUND(D87*E87,0)</f>
        <v>6</v>
      </c>
      <c r="G87" s="1021"/>
      <c r="H87" s="1021"/>
      <c r="I87" s="328" t="s">
        <v>1774</v>
      </c>
    </row>
    <row r="88" spans="1:9" s="111" customFormat="1" ht="18" hidden="1" customHeight="1">
      <c r="A88" s="1010"/>
      <c r="B88" s="1011" t="s">
        <v>2004</v>
      </c>
      <c r="C88" s="1012"/>
      <c r="D88" s="1026"/>
      <c r="E88" s="1000"/>
      <c r="F88" s="1021"/>
      <c r="G88" s="1021"/>
      <c r="H88" s="1021"/>
      <c r="I88" s="328" t="s">
        <v>1774</v>
      </c>
    </row>
    <row r="89" spans="1:9" s="111" customFormat="1" ht="18" hidden="1" customHeight="1">
      <c r="A89" s="1010"/>
      <c r="B89" s="1011" t="s">
        <v>2005</v>
      </c>
      <c r="C89" s="1012" t="s">
        <v>972</v>
      </c>
      <c r="D89" s="1026">
        <f>2*3*17</f>
        <v>102</v>
      </c>
      <c r="E89" s="1000">
        <v>0.2</v>
      </c>
      <c r="F89" s="1021">
        <f t="shared" ref="F89:F92" si="48">ROUND(D89*E89,0)</f>
        <v>20</v>
      </c>
      <c r="G89" s="1021"/>
      <c r="H89" s="1021"/>
      <c r="I89" s="328" t="s">
        <v>1774</v>
      </c>
    </row>
    <row r="90" spans="1:9" s="111" customFormat="1" ht="18" hidden="1" customHeight="1">
      <c r="A90" s="1010"/>
      <c r="B90" s="1011" t="s">
        <v>2006</v>
      </c>
      <c r="C90" s="1012" t="s">
        <v>2007</v>
      </c>
      <c r="D90" s="1026">
        <f>2*2*17</f>
        <v>68</v>
      </c>
      <c r="E90" s="1000">
        <v>0.25</v>
      </c>
      <c r="F90" s="1021">
        <f t="shared" si="48"/>
        <v>17</v>
      </c>
      <c r="G90" s="1021"/>
      <c r="H90" s="1021"/>
      <c r="I90" s="328" t="s">
        <v>1774</v>
      </c>
    </row>
    <row r="91" spans="1:9" s="111" customFormat="1" ht="18" hidden="1" customHeight="1">
      <c r="A91" s="1010"/>
      <c r="B91" s="1011" t="s">
        <v>2008</v>
      </c>
      <c r="C91" s="1012" t="s">
        <v>848</v>
      </c>
      <c r="D91" s="1026">
        <v>4000</v>
      </c>
      <c r="E91" s="1000">
        <v>2E-3</v>
      </c>
      <c r="F91" s="1021">
        <f t="shared" si="48"/>
        <v>8</v>
      </c>
      <c r="G91" s="1021"/>
      <c r="H91" s="1021"/>
      <c r="I91" s="328" t="s">
        <v>1774</v>
      </c>
    </row>
    <row r="92" spans="1:9" s="111" customFormat="1" hidden="1">
      <c r="A92" s="1010"/>
      <c r="B92" s="1011" t="s">
        <v>2009</v>
      </c>
      <c r="C92" s="1012" t="s">
        <v>2010</v>
      </c>
      <c r="D92" s="1026">
        <v>2000</v>
      </c>
      <c r="E92" s="1000">
        <v>2.5000000000000001E-3</v>
      </c>
      <c r="F92" s="1021">
        <f t="shared" si="48"/>
        <v>5</v>
      </c>
      <c r="G92" s="1021"/>
      <c r="H92" s="1021"/>
      <c r="I92" s="328" t="s">
        <v>1774</v>
      </c>
    </row>
    <row r="93" spans="1:9" s="111" customFormat="1" ht="18" hidden="1" customHeight="1">
      <c r="A93" s="1013" t="s">
        <v>1585</v>
      </c>
      <c r="B93" s="1014" t="s">
        <v>2011</v>
      </c>
      <c r="C93" s="1012" t="s">
        <v>903</v>
      </c>
      <c r="D93" s="1026">
        <v>16</v>
      </c>
      <c r="E93" s="1000"/>
      <c r="F93" s="1021">
        <f>+F94+F101+F105+F109</f>
        <v>1451</v>
      </c>
      <c r="G93" s="1021">
        <f>ROUND(F93*95%,0)</f>
        <v>1378</v>
      </c>
      <c r="H93" s="1021">
        <f>F93-G93</f>
        <v>73</v>
      </c>
      <c r="I93" s="328" t="s">
        <v>1774</v>
      </c>
    </row>
    <row r="94" spans="1:9" s="111" customFormat="1" ht="18" hidden="1" customHeight="1">
      <c r="A94" s="1012"/>
      <c r="B94" s="1014" t="s">
        <v>1745</v>
      </c>
      <c r="C94" s="1012"/>
      <c r="D94" s="1026"/>
      <c r="E94" s="1001"/>
      <c r="F94" s="1021">
        <f>SUM(F95:F100)</f>
        <v>464</v>
      </c>
      <c r="G94" s="1021"/>
      <c r="H94" s="1021"/>
      <c r="I94" s="328" t="s">
        <v>1774</v>
      </c>
    </row>
    <row r="95" spans="1:9" s="111" customFormat="1" ht="18" hidden="1" customHeight="1">
      <c r="A95" s="1012"/>
      <c r="B95" s="1014" t="s">
        <v>1746</v>
      </c>
      <c r="C95" s="1012" t="s">
        <v>845</v>
      </c>
      <c r="D95" s="1026">
        <v>34</v>
      </c>
      <c r="E95" s="1027">
        <v>2</v>
      </c>
      <c r="F95" s="1021">
        <f>ROUND(D95*E95,0)</f>
        <v>68</v>
      </c>
      <c r="G95" s="1021"/>
      <c r="H95" s="1021"/>
      <c r="I95" s="328" t="s">
        <v>1774</v>
      </c>
    </row>
    <row r="96" spans="1:9" s="142" customFormat="1" ht="18" hidden="1" customHeight="1">
      <c r="A96" s="1012"/>
      <c r="B96" s="1014" t="s">
        <v>1747</v>
      </c>
      <c r="C96" s="1012" t="s">
        <v>876</v>
      </c>
      <c r="D96" s="1026">
        <v>1697</v>
      </c>
      <c r="E96" s="1027">
        <v>0.06</v>
      </c>
      <c r="F96" s="1021">
        <f t="shared" ref="F96:F110" si="49">ROUND(D96*E96,0)</f>
        <v>102</v>
      </c>
      <c r="G96" s="1021"/>
      <c r="H96" s="1021"/>
      <c r="I96" s="328" t="s">
        <v>1774</v>
      </c>
    </row>
    <row r="97" spans="1:9" s="142" customFormat="1" ht="18" hidden="1" customHeight="1">
      <c r="A97" s="1012"/>
      <c r="B97" s="1014" t="s">
        <v>1748</v>
      </c>
      <c r="C97" s="1012" t="s">
        <v>845</v>
      </c>
      <c r="D97" s="1026">
        <f>D96*2</f>
        <v>3394</v>
      </c>
      <c r="E97" s="1027">
        <v>0.03</v>
      </c>
      <c r="F97" s="1021">
        <f t="shared" si="49"/>
        <v>102</v>
      </c>
      <c r="G97" s="1021"/>
      <c r="H97" s="1021"/>
      <c r="I97" s="328" t="s">
        <v>1774</v>
      </c>
    </row>
    <row r="98" spans="1:9" s="143" customFormat="1" hidden="1">
      <c r="A98" s="1012"/>
      <c r="B98" s="1014" t="s">
        <v>1749</v>
      </c>
      <c r="C98" s="1012" t="s">
        <v>876</v>
      </c>
      <c r="D98" s="1026">
        <v>1697</v>
      </c>
      <c r="E98" s="1027">
        <v>2.5000000000000001E-2</v>
      </c>
      <c r="F98" s="1021">
        <f t="shared" si="49"/>
        <v>42</v>
      </c>
      <c r="G98" s="1021"/>
      <c r="H98" s="1021"/>
      <c r="I98" s="328" t="s">
        <v>1774</v>
      </c>
    </row>
    <row r="99" spans="1:9" s="141" customFormat="1" ht="18" hidden="1" customHeight="1">
      <c r="A99" s="1012"/>
      <c r="B99" s="1014" t="s">
        <v>1750</v>
      </c>
      <c r="C99" s="1012" t="s">
        <v>877</v>
      </c>
      <c r="D99" s="1026">
        <v>136</v>
      </c>
      <c r="E99" s="1027">
        <v>0.8</v>
      </c>
      <c r="F99" s="1021">
        <f t="shared" si="49"/>
        <v>109</v>
      </c>
      <c r="G99" s="1021"/>
      <c r="H99" s="1021"/>
      <c r="I99" s="328" t="s">
        <v>1774</v>
      </c>
    </row>
    <row r="100" spans="1:9" s="164" customFormat="1" hidden="1">
      <c r="A100" s="1012"/>
      <c r="B100" s="1014" t="s">
        <v>1751</v>
      </c>
      <c r="C100" s="1012" t="s">
        <v>877</v>
      </c>
      <c r="D100" s="1026">
        <v>136</v>
      </c>
      <c r="E100" s="1027">
        <v>0.3</v>
      </c>
      <c r="F100" s="1021">
        <f t="shared" si="49"/>
        <v>41</v>
      </c>
      <c r="G100" s="1021"/>
      <c r="H100" s="1021"/>
      <c r="I100" s="328" t="s">
        <v>1774</v>
      </c>
    </row>
    <row r="101" spans="1:9" s="164" customFormat="1" ht="18" hidden="1" customHeight="1">
      <c r="A101" s="1012"/>
      <c r="B101" s="1014" t="s">
        <v>2012</v>
      </c>
      <c r="C101" s="1012"/>
      <c r="D101" s="1026"/>
      <c r="E101" s="1027"/>
      <c r="F101" s="1021">
        <f>SUM(F102:F104)</f>
        <v>115</v>
      </c>
      <c r="G101" s="1021"/>
      <c r="H101" s="1021"/>
      <c r="I101" s="328" t="s">
        <v>1774</v>
      </c>
    </row>
    <row r="102" spans="1:9" s="111" customFormat="1" ht="18" hidden="1" customHeight="1">
      <c r="A102" s="1012"/>
      <c r="B102" s="1014" t="s">
        <v>2013</v>
      </c>
      <c r="C102" s="1012" t="s">
        <v>848</v>
      </c>
      <c r="D102" s="1026">
        <v>4000</v>
      </c>
      <c r="E102" s="1027">
        <v>2E-3</v>
      </c>
      <c r="F102" s="1021">
        <f t="shared" si="49"/>
        <v>8</v>
      </c>
      <c r="G102" s="1021"/>
      <c r="H102" s="1021"/>
      <c r="I102" s="328" t="s">
        <v>1774</v>
      </c>
    </row>
    <row r="103" spans="1:9" s="141" customFormat="1" hidden="1">
      <c r="A103" s="1012"/>
      <c r="B103" s="1014" t="s">
        <v>2014</v>
      </c>
      <c r="C103" s="1012" t="s">
        <v>845</v>
      </c>
      <c r="D103" s="1026">
        <v>208</v>
      </c>
      <c r="E103" s="1027">
        <v>0.2</v>
      </c>
      <c r="F103" s="1021">
        <f t="shared" si="49"/>
        <v>42</v>
      </c>
      <c r="G103" s="1021"/>
      <c r="H103" s="1021"/>
      <c r="I103" s="328" t="s">
        <v>1774</v>
      </c>
    </row>
    <row r="104" spans="1:9" s="111" customFormat="1" hidden="1">
      <c r="A104" s="1012"/>
      <c r="B104" s="1014" t="s">
        <v>2015</v>
      </c>
      <c r="C104" s="1012" t="s">
        <v>843</v>
      </c>
      <c r="D104" s="1026">
        <v>130</v>
      </c>
      <c r="E104" s="1027">
        <v>0.5</v>
      </c>
      <c r="F104" s="1021">
        <f t="shared" si="49"/>
        <v>65</v>
      </c>
      <c r="G104" s="1021"/>
      <c r="H104" s="1021"/>
      <c r="I104" s="328" t="s">
        <v>1774</v>
      </c>
    </row>
    <row r="105" spans="1:9" s="141" customFormat="1" ht="26" hidden="1">
      <c r="A105" s="1012"/>
      <c r="B105" s="1014" t="s">
        <v>1756</v>
      </c>
      <c r="C105" s="1012"/>
      <c r="D105" s="1026"/>
      <c r="E105" s="1027"/>
      <c r="F105" s="1021">
        <f>SUM(F106:F108)</f>
        <v>732</v>
      </c>
      <c r="G105" s="1021"/>
      <c r="H105" s="1021"/>
      <c r="I105" s="328" t="s">
        <v>1774</v>
      </c>
    </row>
    <row r="106" spans="1:9" s="111" customFormat="1" ht="18" hidden="1" customHeight="1">
      <c r="A106" s="1012"/>
      <c r="B106" s="1014" t="s">
        <v>2016</v>
      </c>
      <c r="C106" s="1012" t="s">
        <v>848</v>
      </c>
      <c r="D106" s="1026">
        <v>43680</v>
      </c>
      <c r="E106" s="1027">
        <v>2E-3</v>
      </c>
      <c r="F106" s="1021">
        <f t="shared" si="49"/>
        <v>87</v>
      </c>
      <c r="G106" s="1021"/>
      <c r="H106" s="1021"/>
      <c r="I106" s="328" t="s">
        <v>1774</v>
      </c>
    </row>
    <row r="107" spans="1:9" s="111" customFormat="1" hidden="1">
      <c r="A107" s="1012"/>
      <c r="B107" s="1014" t="s">
        <v>2017</v>
      </c>
      <c r="C107" s="1012" t="s">
        <v>843</v>
      </c>
      <c r="D107" s="1026">
        <v>2080</v>
      </c>
      <c r="E107" s="1027">
        <v>0.25</v>
      </c>
      <c r="F107" s="1021">
        <f t="shared" si="49"/>
        <v>520</v>
      </c>
      <c r="G107" s="1021"/>
      <c r="H107" s="1021"/>
      <c r="I107" s="328" t="s">
        <v>1774</v>
      </c>
    </row>
    <row r="108" spans="1:9" s="111" customFormat="1" hidden="1">
      <c r="A108" s="1012"/>
      <c r="B108" s="1014" t="s">
        <v>2018</v>
      </c>
      <c r="C108" s="1012" t="s">
        <v>845</v>
      </c>
      <c r="D108" s="1026">
        <v>1040</v>
      </c>
      <c r="E108" s="1027">
        <v>0.12</v>
      </c>
      <c r="F108" s="1021">
        <f t="shared" si="49"/>
        <v>125</v>
      </c>
      <c r="G108" s="1021"/>
      <c r="H108" s="1021"/>
      <c r="I108" s="328" t="s">
        <v>1774</v>
      </c>
    </row>
    <row r="109" spans="1:9" s="141" customFormat="1" hidden="1">
      <c r="A109" s="1012"/>
      <c r="B109" s="1014" t="s">
        <v>2019</v>
      </c>
      <c r="C109" s="1012"/>
      <c r="D109" s="1026"/>
      <c r="E109" s="1027"/>
      <c r="F109" s="1021">
        <f>+F110</f>
        <v>140</v>
      </c>
      <c r="G109" s="1021"/>
      <c r="H109" s="1021"/>
      <c r="I109" s="328" t="s">
        <v>1774</v>
      </c>
    </row>
    <row r="110" spans="1:9" s="141" customFormat="1" hidden="1">
      <c r="A110" s="1012"/>
      <c r="B110" s="1014" t="s">
        <v>2020</v>
      </c>
      <c r="C110" s="1012" t="s">
        <v>972</v>
      </c>
      <c r="D110" s="1026">
        <v>1170</v>
      </c>
      <c r="E110" s="1027">
        <v>0.12</v>
      </c>
      <c r="F110" s="1021">
        <f t="shared" si="49"/>
        <v>140</v>
      </c>
      <c r="G110" s="1021"/>
      <c r="H110" s="1021"/>
      <c r="I110" s="328" t="s">
        <v>1774</v>
      </c>
    </row>
    <row r="111" spans="1:9" s="111" customFormat="1" ht="26" hidden="1">
      <c r="A111" s="1012" t="s">
        <v>1585</v>
      </c>
      <c r="B111" s="1014" t="s">
        <v>2021</v>
      </c>
      <c r="C111" s="1012" t="s">
        <v>1298</v>
      </c>
      <c r="D111" s="1026">
        <v>69</v>
      </c>
      <c r="E111" s="1027">
        <v>7.1</v>
      </c>
      <c r="F111" s="1021">
        <f>ROUND(D111*E111,0)</f>
        <v>490</v>
      </c>
      <c r="G111" s="155">
        <f>ROUND(F111*95%,0)</f>
        <v>466</v>
      </c>
      <c r="H111" s="155">
        <f>F111-G111</f>
        <v>24</v>
      </c>
      <c r="I111" s="328" t="s">
        <v>1774</v>
      </c>
    </row>
    <row r="112" spans="1:9" s="111" customFormat="1" hidden="1">
      <c r="A112" s="112" t="s">
        <v>742</v>
      </c>
      <c r="B112" s="148" t="s">
        <v>2022</v>
      </c>
      <c r="C112" s="112"/>
      <c r="D112" s="650"/>
      <c r="E112" s="651"/>
      <c r="F112" s="155">
        <f>+F113+F118</f>
        <v>0</v>
      </c>
      <c r="G112" s="155">
        <f t="shared" ref="G112:H112" si="50">+G113+G118</f>
        <v>0</v>
      </c>
      <c r="H112" s="155">
        <f t="shared" si="50"/>
        <v>0</v>
      </c>
      <c r="I112" s="328" t="s">
        <v>1774</v>
      </c>
    </row>
    <row r="113" spans="1:9" s="111" customFormat="1" hidden="1">
      <c r="A113" s="112" t="s">
        <v>2023</v>
      </c>
      <c r="B113" s="148" t="s">
        <v>2024</v>
      </c>
      <c r="C113" s="112"/>
      <c r="D113" s="650"/>
      <c r="E113" s="651"/>
      <c r="F113" s="155">
        <f>SUM(F115:F117)</f>
        <v>0</v>
      </c>
      <c r="G113" s="155">
        <f>ROUND(F113*95%,0)</f>
        <v>0</v>
      </c>
      <c r="H113" s="155">
        <f>F113-G113</f>
        <v>0</v>
      </c>
      <c r="I113" s="328" t="s">
        <v>1774</v>
      </c>
    </row>
    <row r="114" spans="1:9" s="111" customFormat="1" ht="26" hidden="1">
      <c r="A114" s="112"/>
      <c r="B114" s="148" t="s">
        <v>1766</v>
      </c>
      <c r="C114" s="112"/>
      <c r="D114" s="999"/>
      <c r="E114" s="115"/>
      <c r="F114" s="155">
        <f>SUM(F115:F117)</f>
        <v>0</v>
      </c>
      <c r="G114" s="155"/>
      <c r="H114" s="155"/>
      <c r="I114" s="328" t="s">
        <v>1774</v>
      </c>
    </row>
    <row r="115" spans="1:9" s="111" customFormat="1" hidden="1">
      <c r="A115" s="112"/>
      <c r="B115" s="148" t="s">
        <v>1767</v>
      </c>
      <c r="C115" s="112" t="s">
        <v>1768</v>
      </c>
      <c r="D115" s="1028">
        <v>533.6</v>
      </c>
      <c r="E115" s="1002">
        <f>28000/1000000</f>
        <v>2.8000000000000001E-2</v>
      </c>
      <c r="F115" s="155"/>
      <c r="G115" s="155"/>
      <c r="H115" s="155"/>
      <c r="I115" s="328" t="s">
        <v>1774</v>
      </c>
    </row>
    <row r="116" spans="1:9" s="164" customFormat="1" hidden="1">
      <c r="A116" s="112"/>
      <c r="B116" s="148" t="s">
        <v>1769</v>
      </c>
      <c r="C116" s="112" t="s">
        <v>845</v>
      </c>
      <c r="D116" s="999">
        <v>448</v>
      </c>
      <c r="E116" s="1002">
        <f>200000/1000000</f>
        <v>0.2</v>
      </c>
      <c r="F116" s="155"/>
      <c r="G116" s="155"/>
      <c r="H116" s="155"/>
      <c r="I116" s="328" t="s">
        <v>1774</v>
      </c>
    </row>
    <row r="117" spans="1:9" s="164" customFormat="1" hidden="1">
      <c r="A117" s="112"/>
      <c r="B117" s="148" t="s">
        <v>1770</v>
      </c>
      <c r="C117" s="112" t="s">
        <v>843</v>
      </c>
      <c r="D117" s="999">
        <v>336</v>
      </c>
      <c r="E117" s="1002">
        <f>500000/1000000</f>
        <v>0.5</v>
      </c>
      <c r="F117" s="155"/>
      <c r="G117" s="155"/>
      <c r="H117" s="155"/>
      <c r="I117" s="328" t="s">
        <v>1774</v>
      </c>
    </row>
    <row r="118" spans="1:9" s="164" customFormat="1" hidden="1">
      <c r="A118" s="112" t="s">
        <v>2023</v>
      </c>
      <c r="B118" s="148" t="s">
        <v>2025</v>
      </c>
      <c r="C118" s="1015"/>
      <c r="D118" s="1029"/>
      <c r="E118" s="1003"/>
      <c r="F118" s="1021">
        <f>F120+F121:F121+F122</f>
        <v>0</v>
      </c>
      <c r="G118" s="155">
        <f>ROUND(F118*95%,0)</f>
        <v>0</v>
      </c>
      <c r="H118" s="155">
        <f>F118-G118</f>
        <v>0</v>
      </c>
      <c r="I118" s="328" t="s">
        <v>1774</v>
      </c>
    </row>
    <row r="119" spans="1:9" s="141" customFormat="1" ht="26" hidden="1">
      <c r="A119" s="1012"/>
      <c r="B119" s="1014" t="s">
        <v>2026</v>
      </c>
      <c r="C119" s="1012"/>
      <c r="D119" s="1026"/>
      <c r="E119" s="1001"/>
      <c r="F119" s="1021"/>
      <c r="G119" s="1022"/>
      <c r="H119" s="1021"/>
      <c r="I119" s="328" t="s">
        <v>1774</v>
      </c>
    </row>
    <row r="120" spans="1:9" s="140" customFormat="1" ht="14" hidden="1">
      <c r="A120" s="1012"/>
      <c r="B120" s="1014" t="s">
        <v>2027</v>
      </c>
      <c r="C120" s="1012" t="s">
        <v>1768</v>
      </c>
      <c r="D120" s="1030">
        <v>210</v>
      </c>
      <c r="E120" s="1000">
        <v>2.8000000000000001E-2</v>
      </c>
      <c r="F120" s="155"/>
      <c r="G120" s="1022"/>
      <c r="H120" s="1021"/>
      <c r="I120" s="328" t="s">
        <v>1774</v>
      </c>
    </row>
    <row r="121" spans="1:9" s="143" customFormat="1" ht="14" hidden="1">
      <c r="A121" s="1012"/>
      <c r="B121" s="1014" t="s">
        <v>2028</v>
      </c>
      <c r="C121" s="1012" t="s">
        <v>845</v>
      </c>
      <c r="D121" s="1026">
        <v>64</v>
      </c>
      <c r="E121" s="1000">
        <v>0.2</v>
      </c>
      <c r="F121" s="155"/>
      <c r="G121" s="1022"/>
      <c r="H121" s="1021"/>
      <c r="I121" s="328" t="s">
        <v>1774</v>
      </c>
    </row>
    <row r="122" spans="1:9" s="141" customFormat="1" ht="14" hidden="1">
      <c r="A122" s="1012"/>
      <c r="B122" s="1014" t="s">
        <v>2029</v>
      </c>
      <c r="C122" s="1012" t="s">
        <v>843</v>
      </c>
      <c r="D122" s="1026">
        <v>48</v>
      </c>
      <c r="E122" s="1000">
        <v>0.5</v>
      </c>
      <c r="F122" s="155"/>
      <c r="G122" s="1022"/>
      <c r="H122" s="1021"/>
      <c r="I122" s="328" t="s">
        <v>1774</v>
      </c>
    </row>
    <row r="123" spans="1:9" s="102" customFormat="1" ht="39">
      <c r="A123" s="112">
        <v>2</v>
      </c>
      <c r="B123" s="148" t="s">
        <v>1273</v>
      </c>
      <c r="C123" s="112"/>
      <c r="D123" s="999"/>
      <c r="E123" s="115"/>
      <c r="F123" s="155">
        <f>+F124</f>
        <v>756</v>
      </c>
      <c r="G123" s="155">
        <f>+G124</f>
        <v>718</v>
      </c>
      <c r="H123" s="212">
        <f t="shared" ref="H123" si="51">+H124</f>
        <v>38</v>
      </c>
      <c r="I123" s="553"/>
    </row>
    <row r="124" spans="1:9" s="102" customFormat="1" ht="52" hidden="1">
      <c r="A124" s="112"/>
      <c r="B124" s="148" t="s">
        <v>1760</v>
      </c>
      <c r="C124" s="112" t="s">
        <v>1181</v>
      </c>
      <c r="D124" s="999">
        <v>4</v>
      </c>
      <c r="E124" s="115">
        <f>+F125</f>
        <v>189</v>
      </c>
      <c r="F124" s="155">
        <f>ROUND(D124*E124,0)</f>
        <v>756</v>
      </c>
      <c r="G124" s="155">
        <f>ROUND(F124*95%,0)</f>
        <v>718</v>
      </c>
      <c r="H124" s="155">
        <f>F124-G124</f>
        <v>38</v>
      </c>
      <c r="I124" s="479" t="s">
        <v>1774</v>
      </c>
    </row>
    <row r="125" spans="1:9" s="111" customFormat="1" hidden="1">
      <c r="A125" s="112"/>
      <c r="B125" s="148" t="s">
        <v>1761</v>
      </c>
      <c r="C125" s="112"/>
      <c r="D125" s="999"/>
      <c r="E125" s="115"/>
      <c r="F125" s="155">
        <f>+F126+F133</f>
        <v>189</v>
      </c>
      <c r="G125" s="155">
        <f>+G126+G133</f>
        <v>5674.2</v>
      </c>
      <c r="H125" s="155"/>
      <c r="I125" s="328" t="s">
        <v>1774</v>
      </c>
    </row>
    <row r="126" spans="1:9" s="141" customFormat="1" hidden="1">
      <c r="A126" s="112"/>
      <c r="B126" s="148" t="s">
        <v>1762</v>
      </c>
      <c r="C126" s="112"/>
      <c r="D126" s="999"/>
      <c r="E126" s="115"/>
      <c r="F126" s="155">
        <f>F127+F128+F129+F130+F131+F132</f>
        <v>142</v>
      </c>
      <c r="G126" s="155">
        <f>G127+G128+G129+G130+G131+G132</f>
        <v>4671</v>
      </c>
      <c r="H126" s="155"/>
      <c r="I126" s="328" t="s">
        <v>1774</v>
      </c>
    </row>
    <row r="127" spans="1:9" s="111" customFormat="1" hidden="1">
      <c r="A127" s="112"/>
      <c r="B127" s="148" t="s">
        <v>1746</v>
      </c>
      <c r="C127" s="112" t="s">
        <v>845</v>
      </c>
      <c r="D127" s="1030">
        <v>24</v>
      </c>
      <c r="E127" s="1025">
        <f>2000000/1000000</f>
        <v>2</v>
      </c>
      <c r="F127" s="155">
        <f t="shared" ref="F127:F136" si="52">ROUND(D127*E127,0)</f>
        <v>48</v>
      </c>
      <c r="G127" s="155">
        <f>D127*E127*F127</f>
        <v>2304</v>
      </c>
      <c r="H127" s="155"/>
      <c r="I127" s="328" t="s">
        <v>1774</v>
      </c>
    </row>
    <row r="128" spans="1:9" s="141" customFormat="1" hidden="1">
      <c r="A128" s="112"/>
      <c r="B128" s="148" t="s">
        <v>1747</v>
      </c>
      <c r="C128" s="112" t="s">
        <v>876</v>
      </c>
      <c r="D128" s="1030">
        <v>456</v>
      </c>
      <c r="E128" s="1025">
        <f>50000/1000000</f>
        <v>0.05</v>
      </c>
      <c r="F128" s="155">
        <f t="shared" si="52"/>
        <v>23</v>
      </c>
      <c r="G128" s="155">
        <f>D128*E128*F128</f>
        <v>524.4</v>
      </c>
      <c r="H128" s="155"/>
      <c r="I128" s="328" t="s">
        <v>1774</v>
      </c>
    </row>
    <row r="129" spans="1:9" s="164" customFormat="1" hidden="1">
      <c r="A129" s="112"/>
      <c r="B129" s="148" t="s">
        <v>1748</v>
      </c>
      <c r="C129" s="112" t="s">
        <v>845</v>
      </c>
      <c r="D129" s="1030">
        <f>456*3</f>
        <v>1368</v>
      </c>
      <c r="E129" s="1025">
        <f>10000/1000000</f>
        <v>0.01</v>
      </c>
      <c r="F129" s="155">
        <f t="shared" si="52"/>
        <v>14</v>
      </c>
      <c r="G129" s="155">
        <f t="shared" ref="G129:G130" si="53">D129*E129*F129</f>
        <v>191.51999999999998</v>
      </c>
      <c r="H129" s="155"/>
      <c r="I129" s="328" t="s">
        <v>1774</v>
      </c>
    </row>
    <row r="130" spans="1:9" s="111" customFormat="1" hidden="1">
      <c r="A130" s="112"/>
      <c r="B130" s="148" t="s">
        <v>1749</v>
      </c>
      <c r="C130" s="112" t="s">
        <v>876</v>
      </c>
      <c r="D130" s="1030">
        <v>456</v>
      </c>
      <c r="E130" s="1025">
        <f>15000/1000000</f>
        <v>1.4999999999999999E-2</v>
      </c>
      <c r="F130" s="155">
        <f t="shared" si="52"/>
        <v>7</v>
      </c>
      <c r="G130" s="155">
        <f t="shared" si="53"/>
        <v>47.879999999999995</v>
      </c>
      <c r="H130" s="155"/>
      <c r="I130" s="328" t="s">
        <v>1774</v>
      </c>
    </row>
    <row r="131" spans="1:9" s="111" customFormat="1" hidden="1">
      <c r="A131" s="112"/>
      <c r="B131" s="148" t="s">
        <v>1750</v>
      </c>
      <c r="C131" s="112" t="s">
        <v>877</v>
      </c>
      <c r="D131" s="1030">
        <f>3*8*2</f>
        <v>48</v>
      </c>
      <c r="E131" s="1025">
        <f>800000/1000000</f>
        <v>0.8</v>
      </c>
      <c r="F131" s="155">
        <f t="shared" si="52"/>
        <v>38</v>
      </c>
      <c r="G131" s="155">
        <f>D131*E131*F131</f>
        <v>1459.2000000000003</v>
      </c>
      <c r="H131" s="155"/>
      <c r="I131" s="328" t="s">
        <v>1774</v>
      </c>
    </row>
    <row r="132" spans="1:9" s="111" customFormat="1" hidden="1">
      <c r="A132" s="112"/>
      <c r="B132" s="148" t="s">
        <v>1751</v>
      </c>
      <c r="C132" s="112" t="s">
        <v>877</v>
      </c>
      <c r="D132" s="1030">
        <f>3*8*2</f>
        <v>48</v>
      </c>
      <c r="E132" s="1025">
        <f>250000/1000000</f>
        <v>0.25</v>
      </c>
      <c r="F132" s="155">
        <f t="shared" si="52"/>
        <v>12</v>
      </c>
      <c r="G132" s="155">
        <f>D132*E132*F132</f>
        <v>144</v>
      </c>
      <c r="H132" s="155"/>
      <c r="I132" s="328" t="s">
        <v>1774</v>
      </c>
    </row>
    <row r="133" spans="1:9" s="111" customFormat="1" hidden="1">
      <c r="A133" s="112"/>
      <c r="B133" s="148" t="s">
        <v>1752</v>
      </c>
      <c r="C133" s="112"/>
      <c r="D133" s="1030"/>
      <c r="E133" s="1025"/>
      <c r="F133" s="155">
        <f>F134+F135+F136</f>
        <v>47</v>
      </c>
      <c r="G133" s="155">
        <f>G134+G135+G136</f>
        <v>1003.2</v>
      </c>
      <c r="H133" s="155"/>
      <c r="I133" s="328" t="s">
        <v>1774</v>
      </c>
    </row>
    <row r="134" spans="1:9" s="140" customFormat="1" hidden="1">
      <c r="A134" s="112"/>
      <c r="B134" s="148" t="s">
        <v>1763</v>
      </c>
      <c r="C134" s="112" t="s">
        <v>848</v>
      </c>
      <c r="D134" s="1030">
        <v>2320</v>
      </c>
      <c r="E134" s="1025">
        <f>2000/1000000</f>
        <v>2E-3</v>
      </c>
      <c r="F134" s="155">
        <f t="shared" si="52"/>
        <v>5</v>
      </c>
      <c r="G134" s="155">
        <f>D134*E134*F134</f>
        <v>23.2</v>
      </c>
      <c r="H134" s="155"/>
      <c r="I134" s="328" t="s">
        <v>1774</v>
      </c>
    </row>
    <row r="135" spans="1:9" s="164" customFormat="1" hidden="1">
      <c r="A135" s="112"/>
      <c r="B135" s="148" t="s">
        <v>1764</v>
      </c>
      <c r="C135" s="112" t="s">
        <v>845</v>
      </c>
      <c r="D135" s="1030">
        <v>70</v>
      </c>
      <c r="E135" s="1025">
        <f>200000/1000000</f>
        <v>0.2</v>
      </c>
      <c r="F135" s="155">
        <f t="shared" si="52"/>
        <v>14</v>
      </c>
      <c r="G135" s="155">
        <f>D135*E135*F135</f>
        <v>196</v>
      </c>
      <c r="H135" s="155"/>
      <c r="I135" s="328" t="s">
        <v>1774</v>
      </c>
    </row>
    <row r="136" spans="1:9" s="164" customFormat="1" ht="18" hidden="1" customHeight="1">
      <c r="A136" s="112"/>
      <c r="B136" s="148" t="s">
        <v>1765</v>
      </c>
      <c r="C136" s="112" t="s">
        <v>843</v>
      </c>
      <c r="D136" s="1030">
        <v>56</v>
      </c>
      <c r="E136" s="1025">
        <f>500000/1000000</f>
        <v>0.5</v>
      </c>
      <c r="F136" s="155">
        <f t="shared" si="52"/>
        <v>28</v>
      </c>
      <c r="G136" s="155">
        <f>D136*E136*F136</f>
        <v>784</v>
      </c>
      <c r="H136" s="155"/>
      <c r="I136" s="328" t="s">
        <v>1774</v>
      </c>
    </row>
    <row r="137" spans="1:9" s="102" customFormat="1" ht="18" customHeight="1">
      <c r="A137" s="124" t="s">
        <v>38</v>
      </c>
      <c r="B137" s="992" t="s">
        <v>901</v>
      </c>
      <c r="C137" s="108"/>
      <c r="D137" s="1023"/>
      <c r="E137" s="1024"/>
      <c r="F137" s="652">
        <f>+F138+F205+F273+F339+F406+F473+F540+F607</f>
        <v>65426</v>
      </c>
      <c r="G137" s="652">
        <f>+G138+G205+G273+G339+G406+G473+G540+G607</f>
        <v>62188</v>
      </c>
      <c r="H137" s="1032">
        <f>+H138+H205+H273+H339+H406+H473+H540+H607</f>
        <v>3238</v>
      </c>
      <c r="I137" s="553"/>
    </row>
    <row r="138" spans="1:9" s="333" customFormat="1" ht="18" customHeight="1">
      <c r="A138" s="108" t="s">
        <v>8</v>
      </c>
      <c r="B138" s="992" t="s">
        <v>25</v>
      </c>
      <c r="C138" s="108"/>
      <c r="D138" s="1004"/>
      <c r="E138" s="1004"/>
      <c r="F138" s="139">
        <f>+F139+F168+F185+F200</f>
        <v>695</v>
      </c>
      <c r="G138" s="139">
        <f>+G139+G168+G185+G200</f>
        <v>661</v>
      </c>
      <c r="H138" s="411">
        <f>+H139+H168+H185+H200</f>
        <v>34</v>
      </c>
      <c r="I138" s="723"/>
    </row>
    <row r="139" spans="1:9" ht="39">
      <c r="A139" s="119">
        <v>1</v>
      </c>
      <c r="B139" s="222" t="s">
        <v>1214</v>
      </c>
      <c r="C139" s="119"/>
      <c r="D139" s="649"/>
      <c r="E139" s="996"/>
      <c r="F139" s="209">
        <f>+F140+F146+F156+F157</f>
        <v>471</v>
      </c>
      <c r="G139" s="209">
        <f t="shared" ref="G139:H139" si="54">+G140+G146+G156+G157</f>
        <v>446</v>
      </c>
      <c r="H139" s="211">
        <f t="shared" si="54"/>
        <v>25</v>
      </c>
      <c r="I139" s="553"/>
    </row>
    <row r="140" spans="1:9" s="102" customFormat="1" ht="18" customHeight="1">
      <c r="A140" s="112" t="s">
        <v>911</v>
      </c>
      <c r="B140" s="148" t="s">
        <v>1215</v>
      </c>
      <c r="C140" s="112"/>
      <c r="D140" s="650"/>
      <c r="E140" s="651"/>
      <c r="F140" s="155">
        <f>SUM(F141:F145)</f>
        <v>25</v>
      </c>
      <c r="G140" s="155">
        <f t="shared" ref="G140:H140" si="55">SUM(G141:G145)</f>
        <v>21</v>
      </c>
      <c r="H140" s="212">
        <f t="shared" si="55"/>
        <v>4</v>
      </c>
      <c r="I140" s="553"/>
    </row>
    <row r="141" spans="1:9" s="111" customFormat="1" ht="26" hidden="1">
      <c r="A141" s="112" t="s">
        <v>742</v>
      </c>
      <c r="B141" s="148" t="s">
        <v>1216</v>
      </c>
      <c r="C141" s="112" t="s">
        <v>838</v>
      </c>
      <c r="D141" s="999"/>
      <c r="E141" s="997">
        <v>7.0000000000000007E-2</v>
      </c>
      <c r="F141" s="155">
        <f>ROUND(D141*E141,0)</f>
        <v>0</v>
      </c>
      <c r="G141" s="155">
        <f>F141-H141</f>
        <v>0</v>
      </c>
      <c r="H141" s="155">
        <f>ROUND(F141*5/100,0)</f>
        <v>0</v>
      </c>
      <c r="I141" s="328" t="s">
        <v>1774</v>
      </c>
    </row>
    <row r="142" spans="1:9" s="111" customFormat="1" hidden="1">
      <c r="A142" s="112" t="s">
        <v>742</v>
      </c>
      <c r="B142" s="148" t="s">
        <v>1217</v>
      </c>
      <c r="C142" s="112" t="s">
        <v>1218</v>
      </c>
      <c r="D142" s="999"/>
      <c r="E142" s="115"/>
      <c r="F142" s="155">
        <f>D142*E142</f>
        <v>0</v>
      </c>
      <c r="G142" s="155">
        <f t="shared" ref="G142:G211" si="56">F142-H142</f>
        <v>0</v>
      </c>
      <c r="H142" s="155">
        <f t="shared" ref="H142:H204" si="57">ROUND(F142*5/100,0)</f>
        <v>0</v>
      </c>
      <c r="I142" s="328" t="s">
        <v>1774</v>
      </c>
    </row>
    <row r="143" spans="1:9" s="141" customFormat="1" hidden="1">
      <c r="A143" s="112" t="s">
        <v>742</v>
      </c>
      <c r="B143" s="148" t="s">
        <v>1219</v>
      </c>
      <c r="C143" s="112" t="s">
        <v>903</v>
      </c>
      <c r="D143" s="999">
        <v>1</v>
      </c>
      <c r="E143" s="998">
        <v>12.5</v>
      </c>
      <c r="F143" s="155">
        <f>ROUND(D143*E143,0)</f>
        <v>13</v>
      </c>
      <c r="G143" s="155">
        <f>F143-H143</f>
        <v>11</v>
      </c>
      <c r="H143" s="155">
        <f>ROUND(F143*5/100,0)+1</f>
        <v>2</v>
      </c>
      <c r="I143" s="328" t="s">
        <v>1774</v>
      </c>
    </row>
    <row r="144" spans="1:9" s="140" customFormat="1" ht="26" hidden="1">
      <c r="A144" s="112" t="s">
        <v>742</v>
      </c>
      <c r="B144" s="148" t="s">
        <v>1220</v>
      </c>
      <c r="C144" s="112" t="s">
        <v>1034</v>
      </c>
      <c r="D144" s="999">
        <f>2+2</f>
        <v>4</v>
      </c>
      <c r="E144" s="115">
        <v>3</v>
      </c>
      <c r="F144" s="190">
        <f>D144*E144</f>
        <v>12</v>
      </c>
      <c r="G144" s="190">
        <f>F144-H144</f>
        <v>10</v>
      </c>
      <c r="H144" s="190">
        <v>2</v>
      </c>
      <c r="I144" s="328" t="s">
        <v>1774</v>
      </c>
    </row>
    <row r="145" spans="1:9" s="141" customFormat="1" ht="26" hidden="1">
      <c r="A145" s="112" t="s">
        <v>742</v>
      </c>
      <c r="B145" s="148" t="s">
        <v>2030</v>
      </c>
      <c r="C145" s="112" t="s">
        <v>876</v>
      </c>
      <c r="D145" s="999"/>
      <c r="E145" s="115">
        <v>10</v>
      </c>
      <c r="F145" s="155">
        <f>D145*E145</f>
        <v>0</v>
      </c>
      <c r="G145" s="155">
        <f t="shared" si="56"/>
        <v>0</v>
      </c>
      <c r="H145" s="155"/>
      <c r="I145" s="328" t="s">
        <v>1774</v>
      </c>
    </row>
    <row r="146" spans="1:9" ht="26">
      <c r="A146" s="112" t="s">
        <v>915</v>
      </c>
      <c r="B146" s="148" t="s">
        <v>1222</v>
      </c>
      <c r="C146" s="112"/>
      <c r="D146" s="650"/>
      <c r="E146" s="651"/>
      <c r="F146" s="155">
        <f>SUM(F147:F149)</f>
        <v>394</v>
      </c>
      <c r="G146" s="155">
        <f t="shared" ref="G146:H146" si="58">SUM(G147:G149)</f>
        <v>375</v>
      </c>
      <c r="H146" s="212">
        <f t="shared" si="58"/>
        <v>19</v>
      </c>
      <c r="I146" s="553"/>
    </row>
    <row r="147" spans="1:9" s="141" customFormat="1" hidden="1">
      <c r="A147" s="122" t="s">
        <v>742</v>
      </c>
      <c r="B147" s="148" t="s">
        <v>1223</v>
      </c>
      <c r="C147" s="112" t="s">
        <v>1226</v>
      </c>
      <c r="D147" s="999">
        <v>5</v>
      </c>
      <c r="E147" s="997">
        <v>0.2</v>
      </c>
      <c r="F147" s="155">
        <f>ROUND(D147*E147,0)</f>
        <v>1</v>
      </c>
      <c r="G147" s="155">
        <f t="shared" si="56"/>
        <v>1</v>
      </c>
      <c r="H147" s="155">
        <f t="shared" si="57"/>
        <v>0</v>
      </c>
      <c r="I147" s="328" t="s">
        <v>1774</v>
      </c>
    </row>
    <row r="148" spans="1:9" s="141" customFormat="1" ht="18" hidden="1" customHeight="1">
      <c r="A148" s="122" t="s">
        <v>742</v>
      </c>
      <c r="B148" s="148" t="s">
        <v>1224</v>
      </c>
      <c r="C148" s="112" t="s">
        <v>1034</v>
      </c>
      <c r="D148" s="999">
        <v>3</v>
      </c>
      <c r="E148" s="115">
        <v>3</v>
      </c>
      <c r="F148" s="155">
        <f>ROUND(D148*E148,0)</f>
        <v>9</v>
      </c>
      <c r="G148" s="155">
        <f>F148-H148</f>
        <v>9</v>
      </c>
      <c r="H148" s="155">
        <f>ROUND(F148*5/100,0)</f>
        <v>0</v>
      </c>
      <c r="I148" s="328" t="s">
        <v>1774</v>
      </c>
    </row>
    <row r="149" spans="1:9" s="141" customFormat="1" ht="39" hidden="1">
      <c r="A149" s="122" t="s">
        <v>742</v>
      </c>
      <c r="B149" s="148" t="s">
        <v>1225</v>
      </c>
      <c r="C149" s="112"/>
      <c r="D149" s="999"/>
      <c r="E149" s="115"/>
      <c r="F149" s="155">
        <f>+F150+F151+F152</f>
        <v>384</v>
      </c>
      <c r="G149" s="155">
        <f t="shared" ref="G149:H149" si="59">+G150+G151+G152</f>
        <v>365</v>
      </c>
      <c r="H149" s="155">
        <f t="shared" si="59"/>
        <v>19</v>
      </c>
      <c r="I149" s="328" t="s">
        <v>1774</v>
      </c>
    </row>
    <row r="150" spans="1:9" s="141" customFormat="1" hidden="1">
      <c r="A150" s="122"/>
      <c r="B150" s="148" t="s">
        <v>1983</v>
      </c>
      <c r="C150" s="112" t="s">
        <v>1229</v>
      </c>
      <c r="D150" s="999">
        <v>4</v>
      </c>
      <c r="E150" s="115">
        <v>54</v>
      </c>
      <c r="F150" s="155">
        <f t="shared" ref="F150:F154" si="60">ROUND(D150*E150,0)</f>
        <v>216</v>
      </c>
      <c r="G150" s="155">
        <f t="shared" ref="G150:G154" si="61">F150-H150</f>
        <v>205</v>
      </c>
      <c r="H150" s="155">
        <f t="shared" ref="H150:H154" si="62">ROUND(F150*5/100,0)</f>
        <v>11</v>
      </c>
      <c r="I150" s="328" t="s">
        <v>1774</v>
      </c>
    </row>
    <row r="151" spans="1:9" s="141" customFormat="1" hidden="1">
      <c r="A151" s="122"/>
      <c r="B151" s="148" t="s">
        <v>1985</v>
      </c>
      <c r="C151" s="112" t="s">
        <v>1229</v>
      </c>
      <c r="D151" s="999">
        <v>4</v>
      </c>
      <c r="E151" s="115">
        <v>42</v>
      </c>
      <c r="F151" s="155">
        <f t="shared" si="60"/>
        <v>168</v>
      </c>
      <c r="G151" s="155">
        <f t="shared" si="61"/>
        <v>160</v>
      </c>
      <c r="H151" s="155">
        <f t="shared" si="62"/>
        <v>8</v>
      </c>
      <c r="I151" s="328" t="s">
        <v>1774</v>
      </c>
    </row>
    <row r="152" spans="1:9" s="141" customFormat="1" hidden="1">
      <c r="A152" s="122"/>
      <c r="B152" s="148" t="s">
        <v>1223</v>
      </c>
      <c r="C152" s="112"/>
      <c r="D152" s="999"/>
      <c r="E152" s="115"/>
      <c r="F152" s="155">
        <f>SUM(F153:F155)</f>
        <v>0</v>
      </c>
      <c r="G152" s="155">
        <f t="shared" ref="G152:H152" si="63">SUM(G153:G155)</f>
        <v>0</v>
      </c>
      <c r="H152" s="155">
        <f t="shared" si="63"/>
        <v>0</v>
      </c>
      <c r="I152" s="328" t="s">
        <v>1774</v>
      </c>
    </row>
    <row r="153" spans="1:9" s="143" customFormat="1" ht="26" hidden="1">
      <c r="A153" s="122"/>
      <c r="B153" s="148" t="s">
        <v>2031</v>
      </c>
      <c r="C153" s="112" t="s">
        <v>1018</v>
      </c>
      <c r="D153" s="999"/>
      <c r="E153" s="115"/>
      <c r="F153" s="155">
        <f>ROUND(D153*E153,0)</f>
        <v>0</v>
      </c>
      <c r="G153" s="155">
        <f>F153-H153</f>
        <v>0</v>
      </c>
      <c r="H153" s="155">
        <f t="shared" si="62"/>
        <v>0</v>
      </c>
      <c r="I153" s="328" t="s">
        <v>1774</v>
      </c>
    </row>
    <row r="154" spans="1:9" s="141" customFormat="1" ht="26" hidden="1">
      <c r="A154" s="122"/>
      <c r="B154" s="148" t="s">
        <v>2032</v>
      </c>
      <c r="C154" s="112" t="s">
        <v>1018</v>
      </c>
      <c r="D154" s="999"/>
      <c r="E154" s="115"/>
      <c r="F154" s="155">
        <f t="shared" si="60"/>
        <v>0</v>
      </c>
      <c r="G154" s="155">
        <f t="shared" si="61"/>
        <v>0</v>
      </c>
      <c r="H154" s="155">
        <f t="shared" si="62"/>
        <v>0</v>
      </c>
      <c r="I154" s="328" t="s">
        <v>1774</v>
      </c>
    </row>
    <row r="155" spans="1:9" s="140" customFormat="1" ht="18" hidden="1" customHeight="1">
      <c r="A155" s="122"/>
      <c r="B155" s="148" t="s">
        <v>2033</v>
      </c>
      <c r="C155" s="112" t="s">
        <v>2034</v>
      </c>
      <c r="D155" s="999"/>
      <c r="E155" s="115"/>
      <c r="F155" s="155"/>
      <c r="G155" s="155"/>
      <c r="H155" s="155"/>
      <c r="I155" s="328" t="s">
        <v>1774</v>
      </c>
    </row>
    <row r="156" spans="1:9" ht="26">
      <c r="A156" s="112" t="s">
        <v>1227</v>
      </c>
      <c r="B156" s="148" t="s">
        <v>1228</v>
      </c>
      <c r="C156" s="112" t="s">
        <v>1229</v>
      </c>
      <c r="D156" s="650">
        <v>1</v>
      </c>
      <c r="E156" s="163">
        <f>-2+42.3</f>
        <v>40.299999999999997</v>
      </c>
      <c r="F156" s="291">
        <f>ROUND(D156*E156,0)</f>
        <v>40</v>
      </c>
      <c r="G156" s="291">
        <f>F156-H156</f>
        <v>39</v>
      </c>
      <c r="H156" s="1033">
        <v>1</v>
      </c>
      <c r="I156" s="553"/>
    </row>
    <row r="157" spans="1:9" ht="26">
      <c r="A157" s="112" t="s">
        <v>1230</v>
      </c>
      <c r="B157" s="148" t="s">
        <v>1231</v>
      </c>
      <c r="C157" s="112"/>
      <c r="D157" s="650"/>
      <c r="E157" s="651"/>
      <c r="F157" s="155">
        <f>+F158+F163+F166+F167</f>
        <v>12</v>
      </c>
      <c r="G157" s="155">
        <f>+G158+G163+G166+G167</f>
        <v>11</v>
      </c>
      <c r="H157" s="212">
        <f>+H158+H163+H166+H167</f>
        <v>1</v>
      </c>
      <c r="I157" s="553"/>
    </row>
    <row r="158" spans="1:9" s="142" customFormat="1" ht="18" hidden="1" customHeight="1">
      <c r="A158" s="122" t="s">
        <v>701</v>
      </c>
      <c r="B158" s="148" t="s">
        <v>1232</v>
      </c>
      <c r="C158" s="112"/>
      <c r="D158" s="999"/>
      <c r="E158" s="115"/>
      <c r="F158" s="291">
        <f>SUM(F159:F162)</f>
        <v>0</v>
      </c>
      <c r="G158" s="291">
        <f t="shared" ref="G158:H158" si="64">SUM(G159:G162)</f>
        <v>0</v>
      </c>
      <c r="H158" s="291">
        <f t="shared" si="64"/>
        <v>0</v>
      </c>
      <c r="I158" s="328" t="s">
        <v>1774</v>
      </c>
    </row>
    <row r="159" spans="1:9" s="143" customFormat="1" ht="26" hidden="1">
      <c r="A159" s="122"/>
      <c r="B159" s="154" t="s">
        <v>1233</v>
      </c>
      <c r="C159" s="112" t="s">
        <v>1234</v>
      </c>
      <c r="D159" s="999"/>
      <c r="E159" s="998"/>
      <c r="F159" s="155">
        <f>ROUND(D159*E159,0)</f>
        <v>0</v>
      </c>
      <c r="G159" s="155">
        <f t="shared" si="56"/>
        <v>0</v>
      </c>
      <c r="H159" s="155">
        <f t="shared" si="57"/>
        <v>0</v>
      </c>
      <c r="I159" s="328" t="s">
        <v>1774</v>
      </c>
    </row>
    <row r="160" spans="1:9" s="141" customFormat="1" ht="18" hidden="1" customHeight="1">
      <c r="A160" s="122"/>
      <c r="B160" s="154" t="s">
        <v>1235</v>
      </c>
      <c r="C160" s="112" t="s">
        <v>1236</v>
      </c>
      <c r="D160" s="999"/>
      <c r="E160" s="998"/>
      <c r="F160" s="155">
        <f>ROUND(D160*E160,0)</f>
        <v>0</v>
      </c>
      <c r="G160" s="155">
        <f t="shared" si="56"/>
        <v>0</v>
      </c>
      <c r="H160" s="155">
        <f t="shared" si="57"/>
        <v>0</v>
      </c>
      <c r="I160" s="328" t="s">
        <v>1774</v>
      </c>
    </row>
    <row r="161" spans="1:9" s="164" customFormat="1" ht="26" hidden="1">
      <c r="A161" s="122"/>
      <c r="B161" s="154" t="s">
        <v>1237</v>
      </c>
      <c r="C161" s="112" t="s">
        <v>1234</v>
      </c>
      <c r="D161" s="999"/>
      <c r="E161" s="998"/>
      <c r="F161" s="155">
        <f>ROUND(D161*E161,0)</f>
        <v>0</v>
      </c>
      <c r="G161" s="155">
        <f t="shared" si="56"/>
        <v>0</v>
      </c>
      <c r="H161" s="155">
        <f t="shared" si="57"/>
        <v>0</v>
      </c>
      <c r="I161" s="328" t="s">
        <v>1774</v>
      </c>
    </row>
    <row r="162" spans="1:9" s="164" customFormat="1" ht="26" hidden="1">
      <c r="A162" s="122"/>
      <c r="B162" s="154" t="s">
        <v>1238</v>
      </c>
      <c r="C162" s="112" t="s">
        <v>1234</v>
      </c>
      <c r="D162" s="999"/>
      <c r="E162" s="998"/>
      <c r="F162" s="155">
        <f>ROUND(D162*E162,0)</f>
        <v>0</v>
      </c>
      <c r="G162" s="155">
        <f t="shared" si="56"/>
        <v>0</v>
      </c>
      <c r="H162" s="155">
        <f t="shared" si="57"/>
        <v>0</v>
      </c>
      <c r="I162" s="328" t="s">
        <v>1774</v>
      </c>
    </row>
    <row r="163" spans="1:9" s="111" customFormat="1" ht="18" hidden="1" customHeight="1">
      <c r="A163" s="122" t="s">
        <v>701</v>
      </c>
      <c r="B163" s="148" t="s">
        <v>1274</v>
      </c>
      <c r="C163" s="112" t="s">
        <v>903</v>
      </c>
      <c r="D163" s="999"/>
      <c r="E163" s="998">
        <v>23.9</v>
      </c>
      <c r="F163" s="291">
        <f>F164+F165</f>
        <v>0</v>
      </c>
      <c r="G163" s="291">
        <f t="shared" si="56"/>
        <v>0</v>
      </c>
      <c r="H163" s="291">
        <f t="shared" si="57"/>
        <v>0</v>
      </c>
      <c r="I163" s="328" t="s">
        <v>1774</v>
      </c>
    </row>
    <row r="164" spans="1:9" s="111" customFormat="1" ht="18" hidden="1" customHeight="1">
      <c r="A164" s="122"/>
      <c r="B164" s="154" t="s">
        <v>1275</v>
      </c>
      <c r="C164" s="112"/>
      <c r="D164" s="999"/>
      <c r="E164" s="115"/>
      <c r="F164" s="155">
        <f>D164*E164</f>
        <v>0</v>
      </c>
      <c r="G164" s="155">
        <f t="shared" si="56"/>
        <v>0</v>
      </c>
      <c r="H164" s="155">
        <f t="shared" si="57"/>
        <v>0</v>
      </c>
      <c r="I164" s="328" t="s">
        <v>1774</v>
      </c>
    </row>
    <row r="165" spans="1:9" s="141" customFormat="1" ht="26" hidden="1">
      <c r="A165" s="122"/>
      <c r="B165" s="154" t="s">
        <v>1276</v>
      </c>
      <c r="C165" s="112" t="s">
        <v>903</v>
      </c>
      <c r="D165" s="999"/>
      <c r="E165" s="115"/>
      <c r="F165" s="155">
        <f>D165*E165</f>
        <v>0</v>
      </c>
      <c r="G165" s="155">
        <f t="shared" si="56"/>
        <v>0</v>
      </c>
      <c r="H165" s="155">
        <f t="shared" si="57"/>
        <v>0</v>
      </c>
      <c r="I165" s="328" t="s">
        <v>1774</v>
      </c>
    </row>
    <row r="166" spans="1:9" s="111" customFormat="1" ht="39" hidden="1">
      <c r="A166" s="112" t="s">
        <v>742</v>
      </c>
      <c r="B166" s="148" t="s">
        <v>1239</v>
      </c>
      <c r="C166" s="112" t="s">
        <v>902</v>
      </c>
      <c r="D166" s="999">
        <v>1</v>
      </c>
      <c r="E166" s="115">
        <v>12</v>
      </c>
      <c r="F166" s="190">
        <f>ROUND(D166*E166,0)</f>
        <v>12</v>
      </c>
      <c r="G166" s="190">
        <f t="shared" si="56"/>
        <v>11</v>
      </c>
      <c r="H166" s="190">
        <f t="shared" si="57"/>
        <v>1</v>
      </c>
      <c r="I166" s="328" t="s">
        <v>1774</v>
      </c>
    </row>
    <row r="167" spans="1:9" s="141" customFormat="1" ht="26" hidden="1">
      <c r="A167" s="112" t="s">
        <v>742</v>
      </c>
      <c r="B167" s="148" t="s">
        <v>1240</v>
      </c>
      <c r="C167" s="112" t="s">
        <v>1147</v>
      </c>
      <c r="D167" s="999"/>
      <c r="E167" s="998">
        <v>7.6</v>
      </c>
      <c r="F167" s="190">
        <f>ROUND(D167*E167,0)</f>
        <v>0</v>
      </c>
      <c r="G167" s="190">
        <f t="shared" si="56"/>
        <v>0</v>
      </c>
      <c r="H167" s="190">
        <f t="shared" si="57"/>
        <v>0</v>
      </c>
      <c r="I167" s="328" t="s">
        <v>1774</v>
      </c>
    </row>
    <row r="168" spans="1:9" s="102" customFormat="1" ht="39">
      <c r="A168" s="119">
        <v>2</v>
      </c>
      <c r="B168" s="222" t="s">
        <v>1241</v>
      </c>
      <c r="C168" s="119"/>
      <c r="D168" s="649"/>
      <c r="E168" s="996"/>
      <c r="F168" s="155">
        <f>+F169+F173+F175+F181</f>
        <v>73</v>
      </c>
      <c r="G168" s="155">
        <f t="shared" ref="G168:H168" si="65">+G169+G173+G175+G181</f>
        <v>70</v>
      </c>
      <c r="H168" s="212">
        <f t="shared" si="65"/>
        <v>3</v>
      </c>
      <c r="I168" s="553"/>
    </row>
    <row r="169" spans="1:9" s="102" customFormat="1" ht="26">
      <c r="A169" s="112" t="s">
        <v>911</v>
      </c>
      <c r="B169" s="148" t="s">
        <v>1242</v>
      </c>
      <c r="C169" s="112"/>
      <c r="D169" s="650"/>
      <c r="E169" s="651"/>
      <c r="F169" s="155">
        <f>SUM(F170:F172)</f>
        <v>31</v>
      </c>
      <c r="G169" s="155">
        <f t="shared" ref="G169:H169" si="66">SUM(G170:G172)</f>
        <v>30</v>
      </c>
      <c r="H169" s="212">
        <f t="shared" si="66"/>
        <v>1</v>
      </c>
      <c r="I169" s="553"/>
    </row>
    <row r="170" spans="1:9" s="111" customFormat="1" hidden="1">
      <c r="A170" s="122"/>
      <c r="B170" s="221" t="s">
        <v>1243</v>
      </c>
      <c r="C170" s="112" t="s">
        <v>838</v>
      </c>
      <c r="D170" s="999"/>
      <c r="E170" s="997"/>
      <c r="F170" s="291">
        <f>ROUND(E170*D170,0)</f>
        <v>0</v>
      </c>
      <c r="G170" s="291">
        <f t="shared" si="56"/>
        <v>0</v>
      </c>
      <c r="H170" s="291">
        <f t="shared" si="57"/>
        <v>0</v>
      </c>
      <c r="I170" s="328" t="s">
        <v>1774</v>
      </c>
    </row>
    <row r="171" spans="1:9" s="141" customFormat="1" hidden="1">
      <c r="A171" s="122"/>
      <c r="B171" s="148" t="s">
        <v>2376</v>
      </c>
      <c r="C171" s="112" t="s">
        <v>903</v>
      </c>
      <c r="D171" s="999">
        <v>2</v>
      </c>
      <c r="E171" s="998">
        <v>12.5</v>
      </c>
      <c r="F171" s="291">
        <f>ROUND(E171*D171,0)</f>
        <v>25</v>
      </c>
      <c r="G171" s="291">
        <f t="shared" si="56"/>
        <v>24</v>
      </c>
      <c r="H171" s="291">
        <f t="shared" si="57"/>
        <v>1</v>
      </c>
      <c r="I171" s="328" t="s">
        <v>1774</v>
      </c>
    </row>
    <row r="172" spans="1:9" s="141" customFormat="1" ht="26" hidden="1">
      <c r="A172" s="122"/>
      <c r="B172" s="148" t="s">
        <v>1244</v>
      </c>
      <c r="C172" s="112" t="s">
        <v>1245</v>
      </c>
      <c r="D172" s="999">
        <v>4</v>
      </c>
      <c r="E172" s="998">
        <v>1.5</v>
      </c>
      <c r="F172" s="291">
        <f>ROUND(E172*D172,0)</f>
        <v>6</v>
      </c>
      <c r="G172" s="291">
        <f t="shared" si="56"/>
        <v>6</v>
      </c>
      <c r="H172" s="291">
        <f t="shared" si="57"/>
        <v>0</v>
      </c>
      <c r="I172" s="328" t="s">
        <v>1774</v>
      </c>
    </row>
    <row r="173" spans="1:9" s="102" customFormat="1" ht="26" hidden="1">
      <c r="A173" s="112" t="s">
        <v>915</v>
      </c>
      <c r="B173" s="148" t="s">
        <v>1246</v>
      </c>
      <c r="C173" s="112"/>
      <c r="D173" s="650"/>
      <c r="E173" s="651"/>
      <c r="F173" s="155">
        <f>+F174</f>
        <v>0</v>
      </c>
      <c r="G173" s="155">
        <f t="shared" si="56"/>
        <v>0</v>
      </c>
      <c r="H173" s="155">
        <f t="shared" si="57"/>
        <v>0</v>
      </c>
      <c r="I173" s="423" t="s">
        <v>1774</v>
      </c>
    </row>
    <row r="174" spans="1:9" s="111" customFormat="1" ht="39" hidden="1">
      <c r="A174" s="122"/>
      <c r="B174" s="148" t="s">
        <v>1247</v>
      </c>
      <c r="C174" s="112" t="s">
        <v>1034</v>
      </c>
      <c r="D174" s="999">
        <v>1</v>
      </c>
      <c r="E174" s="115"/>
      <c r="F174" s="155">
        <f>D174*E174</f>
        <v>0</v>
      </c>
      <c r="G174" s="155">
        <f t="shared" si="56"/>
        <v>0</v>
      </c>
      <c r="H174" s="155">
        <f t="shared" si="57"/>
        <v>0</v>
      </c>
      <c r="I174" s="328" t="s">
        <v>1774</v>
      </c>
    </row>
    <row r="175" spans="1:9" s="102" customFormat="1" ht="26">
      <c r="A175" s="112" t="s">
        <v>1227</v>
      </c>
      <c r="B175" s="148" t="s">
        <v>1248</v>
      </c>
      <c r="C175" s="112"/>
      <c r="D175" s="650"/>
      <c r="E175" s="651"/>
      <c r="F175" s="155">
        <f t="shared" ref="F175:H175" si="67">+F176+F177+F180</f>
        <v>42</v>
      </c>
      <c r="G175" s="155">
        <f t="shared" si="67"/>
        <v>40</v>
      </c>
      <c r="H175" s="212">
        <f t="shared" si="67"/>
        <v>2</v>
      </c>
      <c r="I175" s="553"/>
    </row>
    <row r="176" spans="1:9" s="111" customFormat="1" ht="26" hidden="1">
      <c r="A176" s="122" t="s">
        <v>742</v>
      </c>
      <c r="B176" s="148" t="s">
        <v>1216</v>
      </c>
      <c r="C176" s="112" t="s">
        <v>838</v>
      </c>
      <c r="D176" s="999"/>
      <c r="E176" s="997">
        <v>0.05</v>
      </c>
      <c r="F176" s="155">
        <f>ROUND(E176*D176,0)</f>
        <v>0</v>
      </c>
      <c r="G176" s="155">
        <f t="shared" si="56"/>
        <v>0</v>
      </c>
      <c r="H176" s="155">
        <f t="shared" si="57"/>
        <v>0</v>
      </c>
      <c r="I176" s="328" t="s">
        <v>1774</v>
      </c>
    </row>
    <row r="177" spans="1:9" s="111" customFormat="1" ht="26" hidden="1">
      <c r="A177" s="122" t="s">
        <v>742</v>
      </c>
      <c r="B177" s="148" t="s">
        <v>1249</v>
      </c>
      <c r="C177" s="112"/>
      <c r="D177" s="999"/>
      <c r="E177" s="115"/>
      <c r="F177" s="291">
        <f t="shared" ref="F177:H177" si="68">+F178+F179</f>
        <v>12</v>
      </c>
      <c r="G177" s="291">
        <f t="shared" si="68"/>
        <v>12</v>
      </c>
      <c r="H177" s="291">
        <f t="shared" si="68"/>
        <v>0</v>
      </c>
      <c r="I177" s="328" t="s">
        <v>1774</v>
      </c>
    </row>
    <row r="178" spans="1:9" s="111" customFormat="1" ht="26" hidden="1">
      <c r="A178" s="122"/>
      <c r="B178" s="222" t="s">
        <v>1250</v>
      </c>
      <c r="C178" s="112" t="s">
        <v>1251</v>
      </c>
      <c r="D178" s="999">
        <v>2</v>
      </c>
      <c r="E178" s="115">
        <v>3</v>
      </c>
      <c r="F178" s="155">
        <f>ROUND(E178*D178,0)</f>
        <v>6</v>
      </c>
      <c r="G178" s="155">
        <f t="shared" si="56"/>
        <v>6</v>
      </c>
      <c r="H178" s="155">
        <f t="shared" si="57"/>
        <v>0</v>
      </c>
      <c r="I178" s="328" t="s">
        <v>1774</v>
      </c>
    </row>
    <row r="179" spans="1:9" s="164" customFormat="1" ht="39" hidden="1">
      <c r="A179" s="122"/>
      <c r="B179" s="222" t="s">
        <v>1252</v>
      </c>
      <c r="C179" s="112" t="s">
        <v>1251</v>
      </c>
      <c r="D179" s="999">
        <v>2</v>
      </c>
      <c r="E179" s="115">
        <v>3</v>
      </c>
      <c r="F179" s="155">
        <f>ROUND(E179*D179,0)</f>
        <v>6</v>
      </c>
      <c r="G179" s="155">
        <f t="shared" si="56"/>
        <v>6</v>
      </c>
      <c r="H179" s="155">
        <f t="shared" si="57"/>
        <v>0</v>
      </c>
      <c r="I179" s="328" t="s">
        <v>1774</v>
      </c>
    </row>
    <row r="180" spans="1:9" s="164" customFormat="1" ht="26" hidden="1">
      <c r="A180" s="122" t="s">
        <v>742</v>
      </c>
      <c r="B180" s="148" t="s">
        <v>1253</v>
      </c>
      <c r="C180" s="112" t="s">
        <v>1251</v>
      </c>
      <c r="D180" s="999">
        <v>2</v>
      </c>
      <c r="E180" s="115">
        <v>15</v>
      </c>
      <c r="F180" s="155">
        <f>ROUND(E180*D180,0)</f>
        <v>30</v>
      </c>
      <c r="G180" s="155">
        <f t="shared" si="56"/>
        <v>28</v>
      </c>
      <c r="H180" s="155">
        <f t="shared" si="57"/>
        <v>2</v>
      </c>
      <c r="I180" s="328" t="s">
        <v>1774</v>
      </c>
    </row>
    <row r="181" spans="1:9" ht="26" hidden="1">
      <c r="A181" s="112" t="s">
        <v>1230</v>
      </c>
      <c r="B181" s="148" t="s">
        <v>1254</v>
      </c>
      <c r="C181" s="112"/>
      <c r="D181" s="650"/>
      <c r="E181" s="651"/>
      <c r="F181" s="155">
        <f>SUM(F182:F184)</f>
        <v>0</v>
      </c>
      <c r="G181" s="155">
        <f t="shared" si="56"/>
        <v>0</v>
      </c>
      <c r="H181" s="155">
        <f t="shared" si="57"/>
        <v>0</v>
      </c>
      <c r="I181" s="423" t="s">
        <v>1774</v>
      </c>
    </row>
    <row r="182" spans="1:9" s="140" customFormat="1" ht="39" hidden="1">
      <c r="A182" s="122"/>
      <c r="B182" s="1008" t="s">
        <v>1255</v>
      </c>
      <c r="C182" s="1009"/>
      <c r="D182" s="999"/>
      <c r="E182" s="115"/>
      <c r="F182" s="155">
        <f>D182*E182</f>
        <v>0</v>
      </c>
      <c r="G182" s="155">
        <f t="shared" si="56"/>
        <v>0</v>
      </c>
      <c r="H182" s="155">
        <f t="shared" si="57"/>
        <v>0</v>
      </c>
      <c r="I182" s="328" t="s">
        <v>1774</v>
      </c>
    </row>
    <row r="183" spans="1:9" s="143" customFormat="1" hidden="1">
      <c r="A183" s="122"/>
      <c r="B183" s="1008" t="s">
        <v>1256</v>
      </c>
      <c r="C183" s="1009"/>
      <c r="D183" s="999"/>
      <c r="E183" s="115"/>
      <c r="F183" s="155">
        <f>D183*E183</f>
        <v>0</v>
      </c>
      <c r="G183" s="155">
        <f t="shared" si="56"/>
        <v>0</v>
      </c>
      <c r="H183" s="155">
        <f t="shared" si="57"/>
        <v>0</v>
      </c>
      <c r="I183" s="328" t="s">
        <v>1774</v>
      </c>
    </row>
    <row r="184" spans="1:9" s="141" customFormat="1" ht="26" hidden="1">
      <c r="A184" s="122"/>
      <c r="B184" s="1008" t="s">
        <v>1257</v>
      </c>
      <c r="C184" s="1009"/>
      <c r="D184" s="999"/>
      <c r="E184" s="115"/>
      <c r="F184" s="155">
        <f>D184*E184</f>
        <v>0</v>
      </c>
      <c r="G184" s="155">
        <f t="shared" si="56"/>
        <v>0</v>
      </c>
      <c r="H184" s="155">
        <f t="shared" si="57"/>
        <v>0</v>
      </c>
      <c r="I184" s="328" t="s">
        <v>1774</v>
      </c>
    </row>
    <row r="185" spans="1:9" s="102" customFormat="1" ht="39">
      <c r="A185" s="119">
        <v>3</v>
      </c>
      <c r="B185" s="222" t="s">
        <v>1258</v>
      </c>
      <c r="C185" s="119"/>
      <c r="D185" s="649"/>
      <c r="E185" s="996"/>
      <c r="F185" s="155">
        <f>+F186+F190+F194+F197</f>
        <v>90</v>
      </c>
      <c r="G185" s="155">
        <f t="shared" ref="G185:H185" si="69">+G186+G190+G194+G197</f>
        <v>87</v>
      </c>
      <c r="H185" s="212">
        <f t="shared" si="69"/>
        <v>3</v>
      </c>
      <c r="I185" s="553"/>
    </row>
    <row r="186" spans="1:9" s="111" customFormat="1" hidden="1">
      <c r="A186" s="112" t="s">
        <v>742</v>
      </c>
      <c r="B186" s="148" t="s">
        <v>1259</v>
      </c>
      <c r="C186" s="112"/>
      <c r="D186" s="650"/>
      <c r="E186" s="651"/>
      <c r="F186" s="155">
        <f>SUM(F187:F189)</f>
        <v>60</v>
      </c>
      <c r="G186" s="155">
        <f t="shared" ref="G186:H186" si="70">SUM(G187:G189)</f>
        <v>57</v>
      </c>
      <c r="H186" s="155">
        <f t="shared" si="70"/>
        <v>3</v>
      </c>
      <c r="I186" s="302" t="s">
        <v>1774</v>
      </c>
    </row>
    <row r="187" spans="1:9" s="111" customFormat="1" hidden="1">
      <c r="A187" s="124"/>
      <c r="B187" s="148" t="s">
        <v>1277</v>
      </c>
      <c r="C187" s="112" t="s">
        <v>903</v>
      </c>
      <c r="D187" s="999"/>
      <c r="E187" s="998"/>
      <c r="F187" s="190">
        <f>ROUND(D187*E187,0)</f>
        <v>0</v>
      </c>
      <c r="G187" s="190">
        <f t="shared" si="56"/>
        <v>0</v>
      </c>
      <c r="H187" s="190">
        <f t="shared" si="57"/>
        <v>0</v>
      </c>
      <c r="I187" s="328" t="s">
        <v>1774</v>
      </c>
    </row>
    <row r="188" spans="1:9" s="141" customFormat="1" ht="39" hidden="1">
      <c r="A188" s="124"/>
      <c r="B188" s="148" t="s">
        <v>1260</v>
      </c>
      <c r="C188" s="112" t="s">
        <v>1261</v>
      </c>
      <c r="D188" s="999">
        <v>2</v>
      </c>
      <c r="E188" s="115">
        <v>12</v>
      </c>
      <c r="F188" s="190">
        <f>ROUND(D188*E188,0)</f>
        <v>24</v>
      </c>
      <c r="G188" s="190">
        <f t="shared" si="56"/>
        <v>23</v>
      </c>
      <c r="H188" s="190">
        <f t="shared" si="57"/>
        <v>1</v>
      </c>
      <c r="I188" s="328" t="s">
        <v>1774</v>
      </c>
    </row>
    <row r="189" spans="1:9" s="111" customFormat="1" ht="39" hidden="1">
      <c r="A189" s="124"/>
      <c r="B189" s="148" t="s">
        <v>1262</v>
      </c>
      <c r="C189" s="112" t="s">
        <v>1261</v>
      </c>
      <c r="D189" s="650">
        <v>3</v>
      </c>
      <c r="E189" s="115">
        <v>12</v>
      </c>
      <c r="F189" s="190">
        <f>ROUND(D189*E189,0)</f>
        <v>36</v>
      </c>
      <c r="G189" s="190">
        <f t="shared" si="56"/>
        <v>34</v>
      </c>
      <c r="H189" s="190">
        <f t="shared" si="57"/>
        <v>2</v>
      </c>
      <c r="I189" s="328" t="s">
        <v>1774</v>
      </c>
    </row>
    <row r="190" spans="1:9" s="141" customFormat="1" ht="26" hidden="1">
      <c r="A190" s="112" t="s">
        <v>742</v>
      </c>
      <c r="B190" s="148" t="s">
        <v>1263</v>
      </c>
      <c r="C190" s="112"/>
      <c r="D190" s="650"/>
      <c r="E190" s="651"/>
      <c r="F190" s="155">
        <f>SUM(F191:F193)</f>
        <v>0</v>
      </c>
      <c r="G190" s="155">
        <f t="shared" ref="G190:H190" si="71">SUM(G191:G193)</f>
        <v>0</v>
      </c>
      <c r="H190" s="155">
        <f t="shared" si="71"/>
        <v>0</v>
      </c>
      <c r="I190" s="328" t="s">
        <v>1774</v>
      </c>
    </row>
    <row r="191" spans="1:9" s="164" customFormat="1" ht="26" hidden="1">
      <c r="A191" s="122"/>
      <c r="B191" s="148" t="s">
        <v>1264</v>
      </c>
      <c r="C191" s="112" t="s">
        <v>838</v>
      </c>
      <c r="D191" s="999"/>
      <c r="E191" s="997">
        <v>0.05</v>
      </c>
      <c r="F191" s="190">
        <f>ROUND(D191*E191,0)</f>
        <v>0</v>
      </c>
      <c r="G191" s="190">
        <f t="shared" si="56"/>
        <v>0</v>
      </c>
      <c r="H191" s="190">
        <f t="shared" si="57"/>
        <v>0</v>
      </c>
      <c r="I191" s="328" t="s">
        <v>1774</v>
      </c>
    </row>
    <row r="192" spans="1:9" s="111" customFormat="1" hidden="1">
      <c r="A192" s="122"/>
      <c r="B192" s="148" t="s">
        <v>1278</v>
      </c>
      <c r="C192" s="112" t="s">
        <v>1265</v>
      </c>
      <c r="D192" s="999"/>
      <c r="E192" s="115"/>
      <c r="F192" s="190">
        <f>ROUND(D192*E192,0)</f>
        <v>0</v>
      </c>
      <c r="G192" s="190">
        <f t="shared" si="56"/>
        <v>0</v>
      </c>
      <c r="H192" s="190">
        <f t="shared" si="57"/>
        <v>0</v>
      </c>
      <c r="I192" s="328" t="s">
        <v>1774</v>
      </c>
    </row>
    <row r="193" spans="1:9" s="111" customFormat="1" ht="26" hidden="1">
      <c r="A193" s="122"/>
      <c r="B193" s="148" t="s">
        <v>1266</v>
      </c>
      <c r="C193" s="112" t="s">
        <v>1267</v>
      </c>
      <c r="D193" s="999"/>
      <c r="E193" s="115"/>
      <c r="F193" s="190">
        <f>ROUND(D193*E193,0)</f>
        <v>0</v>
      </c>
      <c r="G193" s="190">
        <f t="shared" si="56"/>
        <v>0</v>
      </c>
      <c r="H193" s="190">
        <f t="shared" si="57"/>
        <v>0</v>
      </c>
      <c r="I193" s="328" t="s">
        <v>1774</v>
      </c>
    </row>
    <row r="194" spans="1:9" s="111" customFormat="1" hidden="1">
      <c r="A194" s="112" t="s">
        <v>742</v>
      </c>
      <c r="B194" s="148" t="s">
        <v>1268</v>
      </c>
      <c r="C194" s="112"/>
      <c r="D194" s="650"/>
      <c r="E194" s="651"/>
      <c r="F194" s="155">
        <f>SUM(F195:F196)</f>
        <v>30</v>
      </c>
      <c r="G194" s="155">
        <f t="shared" ref="G194:H194" si="72">SUM(G195:G196)</f>
        <v>30</v>
      </c>
      <c r="H194" s="155">
        <f t="shared" si="72"/>
        <v>0</v>
      </c>
      <c r="I194" s="328" t="s">
        <v>1774</v>
      </c>
    </row>
    <row r="195" spans="1:9" s="111" customFormat="1" hidden="1">
      <c r="A195" s="122"/>
      <c r="B195" s="148" t="s">
        <v>1279</v>
      </c>
      <c r="C195" s="112" t="s">
        <v>1265</v>
      </c>
      <c r="D195" s="999"/>
      <c r="E195" s="998"/>
      <c r="F195" s="190">
        <f>ROUND(D195*E195,0)</f>
        <v>0</v>
      </c>
      <c r="G195" s="190">
        <f t="shared" si="56"/>
        <v>0</v>
      </c>
      <c r="H195" s="190">
        <f t="shared" si="57"/>
        <v>0</v>
      </c>
      <c r="I195" s="328" t="s">
        <v>1774</v>
      </c>
    </row>
    <row r="196" spans="1:9" s="140" customFormat="1" hidden="1">
      <c r="A196" s="122"/>
      <c r="B196" s="1016" t="s">
        <v>2533</v>
      </c>
      <c r="C196" s="1017" t="s">
        <v>902</v>
      </c>
      <c r="D196" s="999">
        <v>1</v>
      </c>
      <c r="E196" s="998">
        <v>30</v>
      </c>
      <c r="F196" s="190">
        <f>ROUND(D196*E196,0)</f>
        <v>30</v>
      </c>
      <c r="G196" s="190">
        <f t="shared" si="56"/>
        <v>30</v>
      </c>
      <c r="H196" s="190"/>
      <c r="I196" s="328" t="s">
        <v>1774</v>
      </c>
    </row>
    <row r="197" spans="1:9" s="164" customFormat="1" ht="26" hidden="1">
      <c r="A197" s="112" t="s">
        <v>742</v>
      </c>
      <c r="B197" s="148" t="s">
        <v>1270</v>
      </c>
      <c r="C197" s="112"/>
      <c r="D197" s="650"/>
      <c r="E197" s="651"/>
      <c r="F197" s="155">
        <f>SUM(F198:F199)</f>
        <v>0</v>
      </c>
      <c r="G197" s="155">
        <f t="shared" ref="G197:H197" si="73">SUM(G198:G199)</f>
        <v>0</v>
      </c>
      <c r="H197" s="155">
        <f t="shared" si="73"/>
        <v>0</v>
      </c>
      <c r="I197" s="328" t="s">
        <v>1774</v>
      </c>
    </row>
    <row r="198" spans="1:9" s="164" customFormat="1" ht="18" hidden="1" customHeight="1">
      <c r="A198" s="122"/>
      <c r="B198" s="148" t="s">
        <v>1271</v>
      </c>
      <c r="C198" s="112" t="s">
        <v>903</v>
      </c>
      <c r="D198" s="999"/>
      <c r="E198" s="998"/>
      <c r="F198" s="190">
        <f>ROUND(D198*E198,0)</f>
        <v>0</v>
      </c>
      <c r="G198" s="190">
        <f t="shared" si="56"/>
        <v>0</v>
      </c>
      <c r="H198" s="190">
        <f t="shared" si="57"/>
        <v>0</v>
      </c>
      <c r="I198" s="328" t="s">
        <v>1774</v>
      </c>
    </row>
    <row r="199" spans="1:9" s="164" customFormat="1" ht="26" hidden="1">
      <c r="A199" s="122"/>
      <c r="B199" s="148" t="s">
        <v>1272</v>
      </c>
      <c r="C199" s="112" t="s">
        <v>1014</v>
      </c>
      <c r="D199" s="999"/>
      <c r="E199" s="115"/>
      <c r="F199" s="190">
        <f>ROUND(D199*E199,0)</f>
        <v>0</v>
      </c>
      <c r="G199" s="190">
        <f t="shared" si="56"/>
        <v>0</v>
      </c>
      <c r="H199" s="190">
        <f t="shared" si="57"/>
        <v>0</v>
      </c>
      <c r="I199" s="328" t="s">
        <v>1774</v>
      </c>
    </row>
    <row r="200" spans="1:9" s="333" customFormat="1" ht="39">
      <c r="A200" s="119">
        <v>4</v>
      </c>
      <c r="B200" s="222" t="s">
        <v>1273</v>
      </c>
      <c r="C200" s="119"/>
      <c r="D200" s="649"/>
      <c r="E200" s="996"/>
      <c r="F200" s="155">
        <f>SUM(F201:F204)</f>
        <v>61</v>
      </c>
      <c r="G200" s="155">
        <f t="shared" ref="G200:H200" si="74">SUM(G201:G204)</f>
        <v>58</v>
      </c>
      <c r="H200" s="212">
        <f t="shared" si="74"/>
        <v>3</v>
      </c>
      <c r="I200" s="723"/>
    </row>
    <row r="201" spans="1:9" s="141" customFormat="1" ht="26" hidden="1">
      <c r="A201" s="122" t="s">
        <v>742</v>
      </c>
      <c r="B201" s="148" t="s">
        <v>1280</v>
      </c>
      <c r="C201" s="112" t="s">
        <v>903</v>
      </c>
      <c r="D201" s="999">
        <v>1</v>
      </c>
      <c r="E201" s="998">
        <v>16.899999999999999</v>
      </c>
      <c r="F201" s="190">
        <f>ROUND(D201*E201,0)</f>
        <v>17</v>
      </c>
      <c r="G201" s="190">
        <f t="shared" si="56"/>
        <v>16</v>
      </c>
      <c r="H201" s="190">
        <f t="shared" si="57"/>
        <v>1</v>
      </c>
      <c r="I201" s="302" t="s">
        <v>1774</v>
      </c>
    </row>
    <row r="202" spans="1:9" s="164" customFormat="1" ht="18" hidden="1" customHeight="1">
      <c r="A202" s="112" t="s">
        <v>742</v>
      </c>
      <c r="B202" s="148" t="s">
        <v>1281</v>
      </c>
      <c r="C202" s="112"/>
      <c r="D202" s="650"/>
      <c r="E202" s="651"/>
      <c r="F202" s="155">
        <f>D202*E202</f>
        <v>0</v>
      </c>
      <c r="G202" s="291">
        <f t="shared" si="56"/>
        <v>0</v>
      </c>
      <c r="H202" s="291">
        <f t="shared" si="57"/>
        <v>0</v>
      </c>
      <c r="I202" s="328" t="s">
        <v>1774</v>
      </c>
    </row>
    <row r="203" spans="1:9" s="111" customFormat="1" ht="18" hidden="1" customHeight="1">
      <c r="A203" s="112" t="s">
        <v>742</v>
      </c>
      <c r="B203" s="148" t="s">
        <v>1282</v>
      </c>
      <c r="C203" s="112"/>
      <c r="D203" s="650"/>
      <c r="E203" s="651"/>
      <c r="F203" s="155">
        <f>D203*E203</f>
        <v>0</v>
      </c>
      <c r="G203" s="291">
        <f t="shared" si="56"/>
        <v>0</v>
      </c>
      <c r="H203" s="291">
        <f t="shared" si="57"/>
        <v>0</v>
      </c>
      <c r="I203" s="328" t="s">
        <v>1774</v>
      </c>
    </row>
    <row r="204" spans="1:9" s="111" customFormat="1" ht="18" hidden="1" customHeight="1">
      <c r="A204" s="112" t="s">
        <v>742</v>
      </c>
      <c r="B204" s="148" t="s">
        <v>1283</v>
      </c>
      <c r="C204" s="112" t="s">
        <v>878</v>
      </c>
      <c r="D204" s="650">
        <v>3</v>
      </c>
      <c r="E204" s="250">
        <v>14.7</v>
      </c>
      <c r="F204" s="155">
        <f>ROUND(D204*E204,0)</f>
        <v>44</v>
      </c>
      <c r="G204" s="291">
        <f t="shared" si="56"/>
        <v>42</v>
      </c>
      <c r="H204" s="291">
        <f t="shared" si="57"/>
        <v>2</v>
      </c>
      <c r="I204" s="302" t="s">
        <v>1774</v>
      </c>
    </row>
    <row r="205" spans="1:9" ht="18" customHeight="1">
      <c r="A205" s="108" t="s">
        <v>26</v>
      </c>
      <c r="B205" s="992" t="s">
        <v>23</v>
      </c>
      <c r="C205" s="108"/>
      <c r="D205" s="1004"/>
      <c r="E205" s="1004"/>
      <c r="F205" s="139">
        <f>+F206+F236+F253+F268</f>
        <v>6430</v>
      </c>
      <c r="G205" s="139">
        <f>+G206+G236+G253+G268</f>
        <v>6111</v>
      </c>
      <c r="H205" s="411">
        <f>+H206+H236+H253+H268</f>
        <v>319</v>
      </c>
      <c r="I205" s="553"/>
    </row>
    <row r="206" spans="1:9" ht="39">
      <c r="A206" s="119">
        <v>1</v>
      </c>
      <c r="B206" s="222" t="s">
        <v>1214</v>
      </c>
      <c r="C206" s="119"/>
      <c r="D206" s="649"/>
      <c r="E206" s="996"/>
      <c r="F206" s="209">
        <f>+F207+F214+F224+F225</f>
        <v>3607</v>
      </c>
      <c r="G206" s="209">
        <f t="shared" ref="G206:H206" si="75">+G207+G214+G224+G225</f>
        <v>3431</v>
      </c>
      <c r="H206" s="211">
        <f t="shared" si="75"/>
        <v>176</v>
      </c>
      <c r="I206" s="553"/>
    </row>
    <row r="207" spans="1:9" ht="18" customHeight="1">
      <c r="A207" s="112" t="s">
        <v>911</v>
      </c>
      <c r="B207" s="148" t="s">
        <v>1215</v>
      </c>
      <c r="C207" s="112"/>
      <c r="D207" s="650"/>
      <c r="E207" s="651"/>
      <c r="F207" s="155">
        <f>SUM(F208:F213)</f>
        <v>328</v>
      </c>
      <c r="G207" s="155">
        <f>SUM(G208:G213)</f>
        <v>309</v>
      </c>
      <c r="H207" s="212">
        <f t="shared" ref="H207" si="76">SUM(H208:H213)</f>
        <v>19</v>
      </c>
      <c r="I207" s="553"/>
    </row>
    <row r="208" spans="1:9" s="141" customFormat="1" ht="26" hidden="1">
      <c r="A208" s="112" t="s">
        <v>742</v>
      </c>
      <c r="B208" s="148" t="s">
        <v>1216</v>
      </c>
      <c r="C208" s="112" t="s">
        <v>838</v>
      </c>
      <c r="D208" s="999"/>
      <c r="E208" s="997">
        <v>7.0000000000000007E-2</v>
      </c>
      <c r="F208" s="155">
        <f>ROUND(D208*E208,0)</f>
        <v>0</v>
      </c>
      <c r="G208" s="155">
        <f>F208-H208</f>
        <v>0</v>
      </c>
      <c r="H208" s="155">
        <f>ROUND(F208*5/100,0)</f>
        <v>0</v>
      </c>
      <c r="I208" s="328" t="s">
        <v>1774</v>
      </c>
    </row>
    <row r="209" spans="1:9" s="141" customFormat="1" hidden="1">
      <c r="A209" s="112" t="s">
        <v>742</v>
      </c>
      <c r="B209" s="148" t="s">
        <v>1217</v>
      </c>
      <c r="C209" s="112" t="s">
        <v>1218</v>
      </c>
      <c r="D209" s="999"/>
      <c r="E209" s="115"/>
      <c r="F209" s="155">
        <f>D209*E209</f>
        <v>0</v>
      </c>
      <c r="G209" s="155">
        <f t="shared" si="56"/>
        <v>0</v>
      </c>
      <c r="H209" s="155">
        <f t="shared" ref="H209:H213" si="77">ROUND(F209*5/100,0)</f>
        <v>0</v>
      </c>
      <c r="I209" s="328" t="s">
        <v>1774</v>
      </c>
    </row>
    <row r="210" spans="1:9" s="141" customFormat="1" ht="18" hidden="1" customHeight="1">
      <c r="A210" s="112" t="s">
        <v>742</v>
      </c>
      <c r="B210" s="148" t="s">
        <v>1219</v>
      </c>
      <c r="C210" s="112" t="s">
        <v>903</v>
      </c>
      <c r="D210" s="999">
        <v>2</v>
      </c>
      <c r="E210" s="998">
        <v>46.3</v>
      </c>
      <c r="F210" s="155">
        <f>ROUND(D210*E210,0)</f>
        <v>93</v>
      </c>
      <c r="G210" s="155">
        <f>F210-H210</f>
        <v>85</v>
      </c>
      <c r="H210" s="155">
        <f>ROUND(F210*5/100,0)-1+4</f>
        <v>8</v>
      </c>
      <c r="I210" s="328" t="s">
        <v>1774</v>
      </c>
    </row>
    <row r="211" spans="1:9" s="141" customFormat="1" hidden="1">
      <c r="A211" s="112" t="s">
        <v>742</v>
      </c>
      <c r="B211" s="148" t="s">
        <v>1771</v>
      </c>
      <c r="C211" s="112" t="s">
        <v>1772</v>
      </c>
      <c r="D211" s="999">
        <v>3</v>
      </c>
      <c r="E211" s="115">
        <v>30</v>
      </c>
      <c r="F211" s="155">
        <f>ROUND(D211*E211,0)</f>
        <v>90</v>
      </c>
      <c r="G211" s="155">
        <f t="shared" si="56"/>
        <v>85</v>
      </c>
      <c r="H211" s="155">
        <f t="shared" si="77"/>
        <v>5</v>
      </c>
      <c r="I211" s="328" t="s">
        <v>1774</v>
      </c>
    </row>
    <row r="212" spans="1:9" s="141" customFormat="1" ht="26" hidden="1">
      <c r="A212" s="112" t="s">
        <v>742</v>
      </c>
      <c r="B212" s="148" t="s">
        <v>1220</v>
      </c>
      <c r="C212" s="112" t="s">
        <v>1034</v>
      </c>
      <c r="D212" s="999">
        <v>15</v>
      </c>
      <c r="E212" s="115">
        <v>3</v>
      </c>
      <c r="F212" s="190">
        <f>D212*E212</f>
        <v>45</v>
      </c>
      <c r="G212" s="190">
        <f>F212-H212</f>
        <v>44</v>
      </c>
      <c r="H212" s="190">
        <v>1</v>
      </c>
      <c r="I212" s="328" t="s">
        <v>1774</v>
      </c>
    </row>
    <row r="213" spans="1:9" s="141" customFormat="1" ht="26" hidden="1">
      <c r="A213" s="112" t="s">
        <v>742</v>
      </c>
      <c r="B213" s="148" t="s">
        <v>2035</v>
      </c>
      <c r="C213" s="112" t="s">
        <v>876</v>
      </c>
      <c r="D213" s="999">
        <v>10</v>
      </c>
      <c r="E213" s="115">
        <v>10</v>
      </c>
      <c r="F213" s="155">
        <f>D213*E213</f>
        <v>100</v>
      </c>
      <c r="G213" s="155">
        <f t="shared" ref="G213:G272" si="78">F213-H213</f>
        <v>95</v>
      </c>
      <c r="H213" s="155">
        <f t="shared" si="77"/>
        <v>5</v>
      </c>
      <c r="I213" s="328" t="s">
        <v>1774</v>
      </c>
    </row>
    <row r="214" spans="1:9" ht="26">
      <c r="A214" s="112" t="s">
        <v>915</v>
      </c>
      <c r="B214" s="148" t="s">
        <v>1222</v>
      </c>
      <c r="C214" s="112"/>
      <c r="D214" s="650"/>
      <c r="E214" s="651"/>
      <c r="F214" s="155">
        <f>SUM(F215:F217)</f>
        <v>821</v>
      </c>
      <c r="G214" s="155">
        <f t="shared" ref="G214:H214" si="79">SUM(G215:G217)</f>
        <v>780</v>
      </c>
      <c r="H214" s="212">
        <f t="shared" si="79"/>
        <v>41</v>
      </c>
      <c r="I214" s="553"/>
    </row>
    <row r="215" spans="1:9" s="143" customFormat="1" hidden="1">
      <c r="A215" s="122" t="s">
        <v>742</v>
      </c>
      <c r="B215" s="148" t="s">
        <v>2150</v>
      </c>
      <c r="C215" s="112" t="s">
        <v>1226</v>
      </c>
      <c r="D215" s="999">
        <v>30</v>
      </c>
      <c r="E215" s="998">
        <v>0.2</v>
      </c>
      <c r="F215" s="155">
        <f>ROUND(D215*E215,0)</f>
        <v>6</v>
      </c>
      <c r="G215" s="155">
        <v>4</v>
      </c>
      <c r="H215" s="155">
        <f>F215-G215</f>
        <v>2</v>
      </c>
      <c r="I215" s="328" t="s">
        <v>1774</v>
      </c>
    </row>
    <row r="216" spans="1:9" s="141" customFormat="1" ht="26" hidden="1">
      <c r="A216" s="122" t="s">
        <v>742</v>
      </c>
      <c r="B216" s="148" t="s">
        <v>1224</v>
      </c>
      <c r="C216" s="112" t="s">
        <v>1034</v>
      </c>
      <c r="D216" s="999">
        <v>59</v>
      </c>
      <c r="E216" s="115">
        <v>3</v>
      </c>
      <c r="F216" s="155">
        <f>D216*E216</f>
        <v>177</v>
      </c>
      <c r="G216" s="155">
        <f>F216-H216</f>
        <v>168</v>
      </c>
      <c r="H216" s="155">
        <f t="shared" ref="H216" si="80">ROUND(F216*5/100,0)</f>
        <v>9</v>
      </c>
      <c r="I216" s="328" t="s">
        <v>1774</v>
      </c>
    </row>
    <row r="217" spans="1:9" s="141" customFormat="1" ht="39" hidden="1">
      <c r="A217" s="122" t="s">
        <v>742</v>
      </c>
      <c r="B217" s="148" t="s">
        <v>1225</v>
      </c>
      <c r="C217" s="112"/>
      <c r="D217" s="999"/>
      <c r="E217" s="115"/>
      <c r="F217" s="155">
        <f>+F218+F219+F220</f>
        <v>638</v>
      </c>
      <c r="G217" s="155">
        <f t="shared" ref="G217:H217" si="81">+G218+G219+G220</f>
        <v>608</v>
      </c>
      <c r="H217" s="155">
        <f t="shared" si="81"/>
        <v>30</v>
      </c>
      <c r="I217" s="328" t="s">
        <v>1774</v>
      </c>
    </row>
    <row r="218" spans="1:9" s="140" customFormat="1" ht="18" hidden="1" customHeight="1">
      <c r="A218" s="122"/>
      <c r="B218" s="148" t="s">
        <v>1983</v>
      </c>
      <c r="C218" s="112" t="s">
        <v>1229</v>
      </c>
      <c r="D218" s="999">
        <v>4</v>
      </c>
      <c r="E218" s="115">
        <v>85.5</v>
      </c>
      <c r="F218" s="155">
        <f t="shared" ref="F218:F219" si="82">ROUND(D218*E218,0)</f>
        <v>342</v>
      </c>
      <c r="G218" s="155">
        <f t="shared" ref="G218:G222" si="83">F218-H218</f>
        <v>325</v>
      </c>
      <c r="H218" s="155">
        <f t="shared" ref="H218" si="84">ROUND(F218*5/100,0)</f>
        <v>17</v>
      </c>
      <c r="I218" s="328" t="s">
        <v>1774</v>
      </c>
    </row>
    <row r="219" spans="1:9" s="141" customFormat="1" ht="18" hidden="1" customHeight="1">
      <c r="A219" s="122"/>
      <c r="B219" s="148" t="s">
        <v>1985</v>
      </c>
      <c r="C219" s="112" t="s">
        <v>1229</v>
      </c>
      <c r="D219" s="999">
        <v>4</v>
      </c>
      <c r="E219" s="115">
        <v>74</v>
      </c>
      <c r="F219" s="155">
        <f t="shared" si="82"/>
        <v>296</v>
      </c>
      <c r="G219" s="155">
        <f t="shared" si="83"/>
        <v>283</v>
      </c>
      <c r="H219" s="155">
        <v>13</v>
      </c>
      <c r="I219" s="328" t="s">
        <v>1774</v>
      </c>
    </row>
    <row r="220" spans="1:9" s="142" customFormat="1" ht="18" hidden="1" customHeight="1">
      <c r="A220" s="122"/>
      <c r="B220" s="148" t="s">
        <v>1223</v>
      </c>
      <c r="C220" s="112"/>
      <c r="D220" s="999"/>
      <c r="E220" s="115"/>
      <c r="F220" s="155">
        <f>SUM(F221:F223)</f>
        <v>0</v>
      </c>
      <c r="G220" s="155">
        <f t="shared" ref="G220:H220" si="85">SUM(G221:G223)</f>
        <v>0</v>
      </c>
      <c r="H220" s="155">
        <f t="shared" si="85"/>
        <v>0</v>
      </c>
      <c r="I220" s="328" t="s">
        <v>1774</v>
      </c>
    </row>
    <row r="221" spans="1:9" s="143" customFormat="1" ht="26" hidden="1">
      <c r="A221" s="122"/>
      <c r="B221" s="148" t="s">
        <v>2036</v>
      </c>
      <c r="C221" s="112" t="s">
        <v>1018</v>
      </c>
      <c r="D221" s="999"/>
      <c r="E221" s="115"/>
      <c r="F221" s="155">
        <f>ROUND(D221*E221,0)</f>
        <v>0</v>
      </c>
      <c r="G221" s="155">
        <f>F221-H221</f>
        <v>0</v>
      </c>
      <c r="H221" s="155">
        <f t="shared" ref="H221:H222" si="86">ROUND(F221*5/100,0)</f>
        <v>0</v>
      </c>
      <c r="I221" s="328" t="s">
        <v>1774</v>
      </c>
    </row>
    <row r="222" spans="1:9" s="141" customFormat="1" ht="18" hidden="1" customHeight="1">
      <c r="A222" s="122"/>
      <c r="B222" s="148" t="s">
        <v>2032</v>
      </c>
      <c r="C222" s="112" t="s">
        <v>1018</v>
      </c>
      <c r="D222" s="999"/>
      <c r="E222" s="115">
        <v>0.8</v>
      </c>
      <c r="F222" s="155">
        <f t="shared" ref="F222" si="87">ROUND(D222*E222,0)</f>
        <v>0</v>
      </c>
      <c r="G222" s="155">
        <f t="shared" si="83"/>
        <v>0</v>
      </c>
      <c r="H222" s="155">
        <f t="shared" si="86"/>
        <v>0</v>
      </c>
      <c r="I222" s="328" t="s">
        <v>1774</v>
      </c>
    </row>
    <row r="223" spans="1:9" s="164" customFormat="1" hidden="1">
      <c r="A223" s="122"/>
      <c r="B223" s="148" t="s">
        <v>2033</v>
      </c>
      <c r="C223" s="112" t="s">
        <v>2034</v>
      </c>
      <c r="D223" s="999"/>
      <c r="E223" s="115"/>
      <c r="F223" s="155"/>
      <c r="G223" s="155"/>
      <c r="H223" s="155"/>
      <c r="I223" s="328" t="s">
        <v>1774</v>
      </c>
    </row>
    <row r="224" spans="1:9" s="102" customFormat="1" ht="26">
      <c r="A224" s="112" t="s">
        <v>1227</v>
      </c>
      <c r="B224" s="148" t="s">
        <v>1228</v>
      </c>
      <c r="C224" s="112" t="s">
        <v>1229</v>
      </c>
      <c r="D224" s="650">
        <v>1</v>
      </c>
      <c r="E224" s="163">
        <v>80</v>
      </c>
      <c r="F224" s="291">
        <f>ROUND(D224*E224,0)</f>
        <v>80</v>
      </c>
      <c r="G224" s="291">
        <f t="shared" si="78"/>
        <v>79</v>
      </c>
      <c r="H224" s="1033">
        <v>1</v>
      </c>
      <c r="I224" s="553"/>
    </row>
    <row r="225" spans="1:9" s="102" customFormat="1" ht="26">
      <c r="A225" s="112" t="s">
        <v>1230</v>
      </c>
      <c r="B225" s="148" t="s">
        <v>1231</v>
      </c>
      <c r="C225" s="112"/>
      <c r="D225" s="650"/>
      <c r="E225" s="651"/>
      <c r="F225" s="155">
        <f>+F226+F231+F234+F235</f>
        <v>2378</v>
      </c>
      <c r="G225" s="155">
        <f>+G226+G231+G234+G235</f>
        <v>2263</v>
      </c>
      <c r="H225" s="212">
        <f>+H226+H231+H234+H235</f>
        <v>115</v>
      </c>
      <c r="I225" s="553"/>
    </row>
    <row r="226" spans="1:9" s="141" customFormat="1" ht="26" hidden="1">
      <c r="A226" s="122" t="s">
        <v>701</v>
      </c>
      <c r="B226" s="148" t="s">
        <v>1232</v>
      </c>
      <c r="C226" s="112"/>
      <c r="D226" s="999"/>
      <c r="E226" s="115"/>
      <c r="F226" s="291">
        <f>SUM(F227:F230)</f>
        <v>2055</v>
      </c>
      <c r="G226" s="291">
        <f t="shared" ref="G226:H226" si="88">SUM(G227:G230)</f>
        <v>1952</v>
      </c>
      <c r="H226" s="291">
        <f t="shared" si="88"/>
        <v>103</v>
      </c>
      <c r="I226" s="328" t="s">
        <v>1774</v>
      </c>
    </row>
    <row r="227" spans="1:9" s="111" customFormat="1" ht="26" hidden="1">
      <c r="A227" s="122"/>
      <c r="B227" s="154" t="s">
        <v>1233</v>
      </c>
      <c r="C227" s="112" t="s">
        <v>1234</v>
      </c>
      <c r="D227" s="999">
        <v>1000</v>
      </c>
      <c r="E227" s="998">
        <v>0.2</v>
      </c>
      <c r="F227" s="155">
        <f>ROUND(D227*E227,0)</f>
        <v>200</v>
      </c>
      <c r="G227" s="155">
        <f t="shared" si="78"/>
        <v>190</v>
      </c>
      <c r="H227" s="155">
        <f t="shared" ref="H227:H235" si="89">ROUND(F227*5/100,0)</f>
        <v>10</v>
      </c>
      <c r="I227" s="328" t="s">
        <v>1774</v>
      </c>
    </row>
    <row r="228" spans="1:9" s="141" customFormat="1" ht="26" hidden="1">
      <c r="A228" s="122"/>
      <c r="B228" s="154" t="s">
        <v>1235</v>
      </c>
      <c r="C228" s="112" t="s">
        <v>1236</v>
      </c>
      <c r="D228" s="999">
        <v>510</v>
      </c>
      <c r="E228" s="998">
        <v>0.5</v>
      </c>
      <c r="F228" s="155">
        <f>ROUND(D228*E228,0)</f>
        <v>255</v>
      </c>
      <c r="G228" s="155">
        <f t="shared" si="78"/>
        <v>242</v>
      </c>
      <c r="H228" s="155">
        <f t="shared" si="89"/>
        <v>13</v>
      </c>
      <c r="I228" s="328" t="s">
        <v>1774</v>
      </c>
    </row>
    <row r="229" spans="1:9" s="111" customFormat="1" ht="26" hidden="1">
      <c r="A229" s="122"/>
      <c r="B229" s="154" t="s">
        <v>1237</v>
      </c>
      <c r="C229" s="112" t="s">
        <v>1234</v>
      </c>
      <c r="D229" s="999">
        <v>1000</v>
      </c>
      <c r="E229" s="998">
        <v>0.4</v>
      </c>
      <c r="F229" s="155">
        <f>ROUND(D229*E229,0)</f>
        <v>400</v>
      </c>
      <c r="G229" s="155">
        <f t="shared" si="78"/>
        <v>380</v>
      </c>
      <c r="H229" s="155">
        <f t="shared" si="89"/>
        <v>20</v>
      </c>
      <c r="I229" s="328" t="s">
        <v>1774</v>
      </c>
    </row>
    <row r="230" spans="1:9" s="111" customFormat="1" ht="26" hidden="1">
      <c r="A230" s="122"/>
      <c r="B230" s="154" t="s">
        <v>1238</v>
      </c>
      <c r="C230" s="112" t="s">
        <v>1234</v>
      </c>
      <c r="D230" s="999">
        <v>1000</v>
      </c>
      <c r="E230" s="998">
        <v>1.2</v>
      </c>
      <c r="F230" s="155">
        <f>ROUND(D230*E230,0)</f>
        <v>1200</v>
      </c>
      <c r="G230" s="155">
        <f t="shared" si="78"/>
        <v>1140</v>
      </c>
      <c r="H230" s="155">
        <f t="shared" si="89"/>
        <v>60</v>
      </c>
      <c r="I230" s="328" t="s">
        <v>1774</v>
      </c>
    </row>
    <row r="231" spans="1:9" s="111" customFormat="1" ht="39" hidden="1">
      <c r="A231" s="122" t="s">
        <v>701</v>
      </c>
      <c r="B231" s="148" t="s">
        <v>1274</v>
      </c>
      <c r="C231" s="112" t="s">
        <v>903</v>
      </c>
      <c r="D231" s="999">
        <v>3</v>
      </c>
      <c r="E231" s="998">
        <v>30</v>
      </c>
      <c r="F231" s="155">
        <f>ROUND(D231*E231,0)</f>
        <v>90</v>
      </c>
      <c r="G231" s="155">
        <f t="shared" si="78"/>
        <v>90</v>
      </c>
      <c r="H231" s="155"/>
      <c r="I231" s="328" t="s">
        <v>1774</v>
      </c>
    </row>
    <row r="232" spans="1:9" s="141" customFormat="1" ht="26" hidden="1">
      <c r="A232" s="122"/>
      <c r="B232" s="154" t="s">
        <v>1275</v>
      </c>
      <c r="C232" s="112"/>
      <c r="D232" s="999"/>
      <c r="E232" s="115"/>
      <c r="F232" s="155">
        <f>D232*E232</f>
        <v>0</v>
      </c>
      <c r="G232" s="155">
        <f t="shared" si="78"/>
        <v>0</v>
      </c>
      <c r="H232" s="155">
        <f t="shared" si="89"/>
        <v>0</v>
      </c>
      <c r="I232" s="328" t="s">
        <v>1774</v>
      </c>
    </row>
    <row r="233" spans="1:9" s="141" customFormat="1" ht="26" hidden="1">
      <c r="A233" s="122"/>
      <c r="B233" s="154" t="s">
        <v>1276</v>
      </c>
      <c r="C233" s="112" t="s">
        <v>903</v>
      </c>
      <c r="D233" s="999"/>
      <c r="E233" s="115"/>
      <c r="F233" s="155">
        <f>D233*E233</f>
        <v>0</v>
      </c>
      <c r="G233" s="155">
        <f t="shared" si="78"/>
        <v>0</v>
      </c>
      <c r="H233" s="155">
        <f t="shared" si="89"/>
        <v>0</v>
      </c>
      <c r="I233" s="328" t="s">
        <v>1774</v>
      </c>
    </row>
    <row r="234" spans="1:9" s="111" customFormat="1" ht="39" hidden="1">
      <c r="A234" s="112" t="s">
        <v>742</v>
      </c>
      <c r="B234" s="148" t="s">
        <v>1239</v>
      </c>
      <c r="C234" s="112" t="s">
        <v>902</v>
      </c>
      <c r="D234" s="999">
        <v>21</v>
      </c>
      <c r="E234" s="115">
        <v>10</v>
      </c>
      <c r="F234" s="190">
        <f>ROUND(D234*E234,0)</f>
        <v>210</v>
      </c>
      <c r="G234" s="190">
        <f t="shared" si="78"/>
        <v>199</v>
      </c>
      <c r="H234" s="190">
        <f t="shared" si="89"/>
        <v>11</v>
      </c>
      <c r="I234" s="328" t="s">
        <v>1774</v>
      </c>
    </row>
    <row r="235" spans="1:9" s="111" customFormat="1" ht="26" hidden="1">
      <c r="A235" s="112" t="s">
        <v>742</v>
      </c>
      <c r="B235" s="148" t="s">
        <v>1240</v>
      </c>
      <c r="C235" s="112" t="s">
        <v>1147</v>
      </c>
      <c r="D235" s="999">
        <v>3</v>
      </c>
      <c r="E235" s="998">
        <v>7.6</v>
      </c>
      <c r="F235" s="190">
        <f>ROUND(D235*E235,0)</f>
        <v>23</v>
      </c>
      <c r="G235" s="190">
        <f t="shared" si="78"/>
        <v>22</v>
      </c>
      <c r="H235" s="190">
        <f t="shared" si="89"/>
        <v>1</v>
      </c>
      <c r="I235" s="328" t="s">
        <v>1774</v>
      </c>
    </row>
    <row r="236" spans="1:9" s="102" customFormat="1" ht="39">
      <c r="A236" s="119">
        <v>2</v>
      </c>
      <c r="B236" s="222" t="s">
        <v>1241</v>
      </c>
      <c r="C236" s="119"/>
      <c r="D236" s="649"/>
      <c r="E236" s="996"/>
      <c r="F236" s="155">
        <f>+F237+F241+F243+F249</f>
        <v>1164</v>
      </c>
      <c r="G236" s="155">
        <f t="shared" ref="G236:H236" si="90">+G237+G241+G243+G249</f>
        <v>1104</v>
      </c>
      <c r="H236" s="212">
        <f t="shared" si="90"/>
        <v>60</v>
      </c>
      <c r="I236" s="553"/>
    </row>
    <row r="237" spans="1:9" s="102" customFormat="1" ht="26">
      <c r="A237" s="112" t="s">
        <v>911</v>
      </c>
      <c r="B237" s="148" t="s">
        <v>1242</v>
      </c>
      <c r="C237" s="112"/>
      <c r="D237" s="650"/>
      <c r="E237" s="651"/>
      <c r="F237" s="155">
        <f>SUM(F238:F240)</f>
        <v>708</v>
      </c>
      <c r="G237" s="155">
        <f t="shared" ref="G237:H237" si="91">SUM(G238:G240)</f>
        <v>672</v>
      </c>
      <c r="H237" s="212">
        <f t="shared" si="91"/>
        <v>36</v>
      </c>
      <c r="I237" s="553"/>
    </row>
    <row r="238" spans="1:9" s="164" customFormat="1" hidden="1">
      <c r="A238" s="122"/>
      <c r="B238" s="221" t="s">
        <v>1243</v>
      </c>
      <c r="C238" s="112" t="s">
        <v>838</v>
      </c>
      <c r="D238" s="999"/>
      <c r="E238" s="997"/>
      <c r="F238" s="291">
        <f>ROUND(E238*D238,0)</f>
        <v>0</v>
      </c>
      <c r="G238" s="291">
        <f t="shared" si="78"/>
        <v>0</v>
      </c>
      <c r="H238" s="291">
        <f t="shared" ref="H238:H242" si="92">ROUND(F238*5/100,0)</f>
        <v>0</v>
      </c>
      <c r="I238" s="328" t="s">
        <v>1774</v>
      </c>
    </row>
    <row r="239" spans="1:9" s="111" customFormat="1" hidden="1">
      <c r="A239" s="122"/>
      <c r="B239" s="148" t="s">
        <v>2376</v>
      </c>
      <c r="C239" s="112" t="s">
        <v>903</v>
      </c>
      <c r="D239" s="999">
        <v>13</v>
      </c>
      <c r="E239" s="998">
        <v>47.4</v>
      </c>
      <c r="F239" s="291">
        <f>ROUND(E239*D239,0)</f>
        <v>616</v>
      </c>
      <c r="G239" s="291">
        <f t="shared" si="78"/>
        <v>585</v>
      </c>
      <c r="H239" s="291">
        <f t="shared" si="92"/>
        <v>31</v>
      </c>
      <c r="I239" s="328" t="s">
        <v>1774</v>
      </c>
    </row>
    <row r="240" spans="1:9" s="164" customFormat="1" ht="26" hidden="1">
      <c r="A240" s="122"/>
      <c r="B240" s="148" t="s">
        <v>1244</v>
      </c>
      <c r="C240" s="112" t="s">
        <v>1245</v>
      </c>
      <c r="D240" s="999">
        <v>61</v>
      </c>
      <c r="E240" s="998">
        <v>1.5</v>
      </c>
      <c r="F240" s="291">
        <f>ROUND(E240*D240,0)</f>
        <v>92</v>
      </c>
      <c r="G240" s="291">
        <f t="shared" si="78"/>
        <v>87</v>
      </c>
      <c r="H240" s="291">
        <f t="shared" si="92"/>
        <v>5</v>
      </c>
      <c r="I240" s="328" t="s">
        <v>1774</v>
      </c>
    </row>
    <row r="241" spans="1:9" s="102" customFormat="1" ht="26">
      <c r="A241" s="112" t="s">
        <v>915</v>
      </c>
      <c r="B241" s="148" t="s">
        <v>1246</v>
      </c>
      <c r="C241" s="112"/>
      <c r="D241" s="650"/>
      <c r="E241" s="651"/>
      <c r="F241" s="155">
        <f>+F242</f>
        <v>300</v>
      </c>
      <c r="G241" s="155">
        <f t="shared" si="78"/>
        <v>285</v>
      </c>
      <c r="H241" s="212">
        <f t="shared" si="92"/>
        <v>15</v>
      </c>
      <c r="I241" s="553"/>
    </row>
    <row r="242" spans="1:9" s="141" customFormat="1" ht="39" hidden="1">
      <c r="A242" s="122"/>
      <c r="B242" s="148" t="s">
        <v>1247</v>
      </c>
      <c r="C242" s="112" t="s">
        <v>1034</v>
      </c>
      <c r="D242" s="999">
        <v>3</v>
      </c>
      <c r="E242" s="115">
        <v>100</v>
      </c>
      <c r="F242" s="155">
        <f>D242*E242</f>
        <v>300</v>
      </c>
      <c r="G242" s="155">
        <f t="shared" si="78"/>
        <v>285</v>
      </c>
      <c r="H242" s="155">
        <f t="shared" si="92"/>
        <v>15</v>
      </c>
      <c r="I242" s="328" t="s">
        <v>1774</v>
      </c>
    </row>
    <row r="243" spans="1:9" ht="26">
      <c r="A243" s="112" t="s">
        <v>1227</v>
      </c>
      <c r="B243" s="148" t="s">
        <v>1248</v>
      </c>
      <c r="C243" s="112"/>
      <c r="D243" s="650"/>
      <c r="E243" s="651"/>
      <c r="F243" s="155">
        <f t="shared" ref="F243:H243" si="93">+F244+F245+F248</f>
        <v>126</v>
      </c>
      <c r="G243" s="155">
        <f t="shared" si="93"/>
        <v>119</v>
      </c>
      <c r="H243" s="212">
        <f t="shared" si="93"/>
        <v>7</v>
      </c>
      <c r="I243" s="553"/>
    </row>
    <row r="244" spans="1:9" s="143" customFormat="1" ht="26" hidden="1">
      <c r="A244" s="122" t="s">
        <v>742</v>
      </c>
      <c r="B244" s="148" t="s">
        <v>1216</v>
      </c>
      <c r="C244" s="112" t="s">
        <v>838</v>
      </c>
      <c r="D244" s="999"/>
      <c r="E244" s="997"/>
      <c r="F244" s="155">
        <f>ROUND(E244*D244,0)</f>
        <v>0</v>
      </c>
      <c r="G244" s="155">
        <f t="shared" si="78"/>
        <v>0</v>
      </c>
      <c r="H244" s="155">
        <f t="shared" ref="H244" si="94">ROUND(F244*5/100,0)</f>
        <v>0</v>
      </c>
      <c r="I244" s="328" t="s">
        <v>1774</v>
      </c>
    </row>
    <row r="245" spans="1:9" s="141" customFormat="1" ht="26" hidden="1">
      <c r="A245" s="122" t="s">
        <v>742</v>
      </c>
      <c r="B245" s="148" t="s">
        <v>1249</v>
      </c>
      <c r="C245" s="112"/>
      <c r="D245" s="999"/>
      <c r="E245" s="115"/>
      <c r="F245" s="291">
        <f t="shared" ref="F245:H245" si="95">+F246+F247</f>
        <v>36</v>
      </c>
      <c r="G245" s="291">
        <f>+G246+G247</f>
        <v>34</v>
      </c>
      <c r="H245" s="291">
        <f t="shared" si="95"/>
        <v>2</v>
      </c>
      <c r="I245" s="328" t="s">
        <v>1774</v>
      </c>
    </row>
    <row r="246" spans="1:9" s="164" customFormat="1" ht="18" hidden="1" customHeight="1">
      <c r="A246" s="122"/>
      <c r="B246" s="222" t="s">
        <v>1250</v>
      </c>
      <c r="C246" s="112" t="s">
        <v>1251</v>
      </c>
      <c r="D246" s="999">
        <v>6</v>
      </c>
      <c r="E246" s="115">
        <v>3</v>
      </c>
      <c r="F246" s="155">
        <f>ROUND(E246*D246,0)</f>
        <v>18</v>
      </c>
      <c r="G246" s="155">
        <f t="shared" si="78"/>
        <v>17</v>
      </c>
      <c r="H246" s="155">
        <f t="shared" ref="H246:H252" si="96">ROUND(F246*5/100,0)</f>
        <v>1</v>
      </c>
      <c r="I246" s="328" t="s">
        <v>1774</v>
      </c>
    </row>
    <row r="247" spans="1:9" s="111" customFormat="1" ht="18" hidden="1" customHeight="1">
      <c r="A247" s="122"/>
      <c r="B247" s="222" t="s">
        <v>1252</v>
      </c>
      <c r="C247" s="112" t="s">
        <v>1251</v>
      </c>
      <c r="D247" s="999">
        <v>6</v>
      </c>
      <c r="E247" s="115">
        <v>3</v>
      </c>
      <c r="F247" s="155">
        <f>ROUND(E247*D247,0)</f>
        <v>18</v>
      </c>
      <c r="G247" s="155">
        <f t="shared" si="78"/>
        <v>17</v>
      </c>
      <c r="H247" s="155">
        <f t="shared" si="96"/>
        <v>1</v>
      </c>
      <c r="I247" s="328" t="s">
        <v>1774</v>
      </c>
    </row>
    <row r="248" spans="1:9" s="111" customFormat="1" ht="26" hidden="1">
      <c r="A248" s="122" t="s">
        <v>742</v>
      </c>
      <c r="B248" s="148" t="s">
        <v>1253</v>
      </c>
      <c r="C248" s="112" t="s">
        <v>1251</v>
      </c>
      <c r="D248" s="999">
        <v>6</v>
      </c>
      <c r="E248" s="115">
        <v>15</v>
      </c>
      <c r="F248" s="155">
        <f>ROUND(E248*D248,0)</f>
        <v>90</v>
      </c>
      <c r="G248" s="155">
        <f t="shared" si="78"/>
        <v>85</v>
      </c>
      <c r="H248" s="155">
        <f t="shared" si="96"/>
        <v>5</v>
      </c>
      <c r="I248" s="328" t="s">
        <v>1774</v>
      </c>
    </row>
    <row r="249" spans="1:9" ht="26">
      <c r="A249" s="112" t="s">
        <v>1230</v>
      </c>
      <c r="B249" s="148" t="s">
        <v>1254</v>
      </c>
      <c r="C249" s="112"/>
      <c r="D249" s="650"/>
      <c r="E249" s="651"/>
      <c r="F249" s="155">
        <f>SUM(F250:F252)</f>
        <v>30</v>
      </c>
      <c r="G249" s="155">
        <f t="shared" si="78"/>
        <v>28</v>
      </c>
      <c r="H249" s="212">
        <f t="shared" si="96"/>
        <v>2</v>
      </c>
      <c r="I249" s="899"/>
    </row>
    <row r="250" spans="1:9" s="111" customFormat="1" ht="39" hidden="1">
      <c r="A250" s="122"/>
      <c r="B250" s="1008" t="s">
        <v>1255</v>
      </c>
      <c r="C250" s="1009"/>
      <c r="D250" s="999"/>
      <c r="E250" s="115"/>
      <c r="F250" s="155">
        <f>D250*E250</f>
        <v>0</v>
      </c>
      <c r="G250" s="155">
        <f t="shared" si="78"/>
        <v>0</v>
      </c>
      <c r="H250" s="155">
        <f t="shared" si="96"/>
        <v>0</v>
      </c>
      <c r="I250" s="328" t="s">
        <v>1774</v>
      </c>
    </row>
    <row r="251" spans="1:9" s="141" customFormat="1" hidden="1">
      <c r="A251" s="122"/>
      <c r="B251" s="1008" t="s">
        <v>1256</v>
      </c>
      <c r="C251" s="1009"/>
      <c r="D251" s="999"/>
      <c r="E251" s="115"/>
      <c r="F251" s="155">
        <f>D251*E251</f>
        <v>0</v>
      </c>
      <c r="G251" s="155">
        <f t="shared" si="78"/>
        <v>0</v>
      </c>
      <c r="H251" s="155">
        <f t="shared" si="96"/>
        <v>0</v>
      </c>
      <c r="I251" s="328" t="s">
        <v>1774</v>
      </c>
    </row>
    <row r="252" spans="1:9" s="164" customFormat="1" ht="26" hidden="1">
      <c r="A252" s="122"/>
      <c r="B252" s="1008" t="s">
        <v>1257</v>
      </c>
      <c r="C252" s="1009" t="s">
        <v>1034</v>
      </c>
      <c r="D252" s="999">
        <v>1</v>
      </c>
      <c r="E252" s="115">
        <v>30</v>
      </c>
      <c r="F252" s="155">
        <f>D252*E252</f>
        <v>30</v>
      </c>
      <c r="G252" s="155">
        <f t="shared" si="78"/>
        <v>28</v>
      </c>
      <c r="H252" s="155">
        <f t="shared" si="96"/>
        <v>2</v>
      </c>
      <c r="I252" s="328" t="s">
        <v>1774</v>
      </c>
    </row>
    <row r="253" spans="1:9" s="102" customFormat="1" ht="39">
      <c r="A253" s="119">
        <v>3</v>
      </c>
      <c r="B253" s="222" t="s">
        <v>1258</v>
      </c>
      <c r="C253" s="119"/>
      <c r="D253" s="649"/>
      <c r="E253" s="996"/>
      <c r="F253" s="155">
        <f>+F254+F258+F262+F265</f>
        <v>1117</v>
      </c>
      <c r="G253" s="155">
        <f t="shared" ref="G253:H253" si="97">+G254+G258+G262+G265</f>
        <v>1061</v>
      </c>
      <c r="H253" s="212">
        <f t="shared" si="97"/>
        <v>56</v>
      </c>
      <c r="I253" s="553"/>
    </row>
    <row r="254" spans="1:9" s="111" customFormat="1" hidden="1">
      <c r="A254" s="112" t="s">
        <v>742</v>
      </c>
      <c r="B254" s="148" t="s">
        <v>1259</v>
      </c>
      <c r="C254" s="112"/>
      <c r="D254" s="650"/>
      <c r="E254" s="651"/>
      <c r="F254" s="155">
        <f>SUM(F255:F257)</f>
        <v>495</v>
      </c>
      <c r="G254" s="155">
        <f t="shared" ref="G254:H254" si="98">SUM(G255:G257)</f>
        <v>470</v>
      </c>
      <c r="H254" s="155">
        <f t="shared" si="98"/>
        <v>25</v>
      </c>
      <c r="I254" s="328" t="s">
        <v>1774</v>
      </c>
    </row>
    <row r="255" spans="1:9" s="164" customFormat="1" hidden="1">
      <c r="A255" s="124"/>
      <c r="B255" s="148" t="s">
        <v>1277</v>
      </c>
      <c r="C255" s="112" t="s">
        <v>903</v>
      </c>
      <c r="D255" s="999">
        <v>6</v>
      </c>
      <c r="E255" s="115">
        <v>26.2</v>
      </c>
      <c r="F255" s="190">
        <f>ROUND(D255*E255,0)</f>
        <v>157</v>
      </c>
      <c r="G255" s="190">
        <f t="shared" si="78"/>
        <v>149</v>
      </c>
      <c r="H255" s="190">
        <f t="shared" ref="H255:H257" si="99">ROUND(F255*5/100,0)</f>
        <v>8</v>
      </c>
      <c r="I255" s="328" t="s">
        <v>1774</v>
      </c>
    </row>
    <row r="256" spans="1:9" s="111" customFormat="1" ht="39" hidden="1">
      <c r="A256" s="124"/>
      <c r="B256" s="148" t="s">
        <v>1260</v>
      </c>
      <c r="C256" s="112" t="s">
        <v>1261</v>
      </c>
      <c r="D256" s="999">
        <v>26</v>
      </c>
      <c r="E256" s="115">
        <v>13</v>
      </c>
      <c r="F256" s="190">
        <f>ROUND(D256*E256,0)</f>
        <v>338</v>
      </c>
      <c r="G256" s="190">
        <f t="shared" si="78"/>
        <v>321</v>
      </c>
      <c r="H256" s="190">
        <f t="shared" si="99"/>
        <v>17</v>
      </c>
      <c r="I256" s="328" t="s">
        <v>1774</v>
      </c>
    </row>
    <row r="257" spans="1:9" s="140" customFormat="1" ht="39" hidden="1">
      <c r="A257" s="124"/>
      <c r="B257" s="148" t="s">
        <v>1262</v>
      </c>
      <c r="C257" s="112" t="s">
        <v>1261</v>
      </c>
      <c r="D257" s="650"/>
      <c r="E257" s="115"/>
      <c r="F257" s="190">
        <f>ROUND(D257*E257,0)</f>
        <v>0</v>
      </c>
      <c r="G257" s="190">
        <f t="shared" si="78"/>
        <v>0</v>
      </c>
      <c r="H257" s="190">
        <f t="shared" si="99"/>
        <v>0</v>
      </c>
      <c r="I257" s="328" t="s">
        <v>1774</v>
      </c>
    </row>
    <row r="258" spans="1:9" s="164" customFormat="1" ht="26" hidden="1">
      <c r="A258" s="112" t="s">
        <v>742</v>
      </c>
      <c r="B258" s="148" t="s">
        <v>1263</v>
      </c>
      <c r="C258" s="112"/>
      <c r="D258" s="650"/>
      <c r="E258" s="651"/>
      <c r="F258" s="155">
        <f>SUM(F259:F261)</f>
        <v>360</v>
      </c>
      <c r="G258" s="155">
        <f t="shared" ref="G258:H258" si="100">SUM(G259:G261)</f>
        <v>342</v>
      </c>
      <c r="H258" s="155">
        <f t="shared" si="100"/>
        <v>18</v>
      </c>
      <c r="I258" s="328" t="s">
        <v>1774</v>
      </c>
    </row>
    <row r="259" spans="1:9" s="164" customFormat="1" ht="18" hidden="1" customHeight="1">
      <c r="A259" s="122"/>
      <c r="B259" s="148" t="s">
        <v>2151</v>
      </c>
      <c r="C259" s="1018" t="s">
        <v>878</v>
      </c>
      <c r="D259" s="999">
        <v>3</v>
      </c>
      <c r="E259" s="115">
        <v>120</v>
      </c>
      <c r="F259" s="190">
        <v>360</v>
      </c>
      <c r="G259" s="190">
        <v>342</v>
      </c>
      <c r="H259" s="190">
        <v>18</v>
      </c>
      <c r="I259" s="328" t="s">
        <v>1774</v>
      </c>
    </row>
    <row r="260" spans="1:9" s="164" customFormat="1" hidden="1">
      <c r="A260" s="122"/>
      <c r="B260" s="148" t="s">
        <v>1278</v>
      </c>
      <c r="C260" s="112" t="s">
        <v>1265</v>
      </c>
      <c r="D260" s="999"/>
      <c r="E260" s="115"/>
      <c r="F260" s="190">
        <f>ROUND(D260*E260,0)</f>
        <v>0</v>
      </c>
      <c r="G260" s="190">
        <f t="shared" si="78"/>
        <v>0</v>
      </c>
      <c r="H260" s="190">
        <f t="shared" ref="H260:H261" si="101">ROUND(F260*5/100,0)</f>
        <v>0</v>
      </c>
      <c r="I260" s="328" t="s">
        <v>1774</v>
      </c>
    </row>
    <row r="261" spans="1:9" s="143" customFormat="1" ht="26" hidden="1">
      <c r="A261" s="122"/>
      <c r="B261" s="148" t="s">
        <v>1266</v>
      </c>
      <c r="C261" s="112" t="s">
        <v>1267</v>
      </c>
      <c r="D261" s="999"/>
      <c r="E261" s="115"/>
      <c r="F261" s="190">
        <f>ROUND(D261*E261,0)</f>
        <v>0</v>
      </c>
      <c r="G261" s="190">
        <f t="shared" si="78"/>
        <v>0</v>
      </c>
      <c r="H261" s="190">
        <f t="shared" si="101"/>
        <v>0</v>
      </c>
      <c r="I261" s="328" t="s">
        <v>1774</v>
      </c>
    </row>
    <row r="262" spans="1:9" s="141" customFormat="1" hidden="1">
      <c r="A262" s="112" t="s">
        <v>742</v>
      </c>
      <c r="B262" s="148" t="s">
        <v>1268</v>
      </c>
      <c r="C262" s="112"/>
      <c r="D262" s="650"/>
      <c r="E262" s="651"/>
      <c r="F262" s="155">
        <f>SUM(F263:F264)</f>
        <v>165</v>
      </c>
      <c r="G262" s="155">
        <f t="shared" ref="G262:H262" si="102">SUM(G263:G264)</f>
        <v>157</v>
      </c>
      <c r="H262" s="155">
        <f t="shared" si="102"/>
        <v>8</v>
      </c>
      <c r="I262" s="328" t="s">
        <v>1774</v>
      </c>
    </row>
    <row r="263" spans="1:9" s="164" customFormat="1" ht="18" hidden="1" customHeight="1">
      <c r="A263" s="122"/>
      <c r="B263" s="148" t="s">
        <v>2037</v>
      </c>
      <c r="C263" s="112" t="s">
        <v>1265</v>
      </c>
      <c r="D263" s="999">
        <v>4</v>
      </c>
      <c r="E263" s="115">
        <v>26.2</v>
      </c>
      <c r="F263" s="190">
        <f>ROUND(D263*E263,0)</f>
        <v>105</v>
      </c>
      <c r="G263" s="190">
        <f t="shared" si="78"/>
        <v>100</v>
      </c>
      <c r="H263" s="190">
        <f t="shared" ref="H263:H264" si="103">ROUND(F263*5/100,0)</f>
        <v>5</v>
      </c>
      <c r="I263" s="328" t="s">
        <v>1774</v>
      </c>
    </row>
    <row r="264" spans="1:9" s="111" customFormat="1" hidden="1">
      <c r="A264" s="122"/>
      <c r="B264" s="1016" t="s">
        <v>2533</v>
      </c>
      <c r="C264" s="1017" t="s">
        <v>902</v>
      </c>
      <c r="D264" s="999">
        <v>2</v>
      </c>
      <c r="E264" s="998">
        <v>30</v>
      </c>
      <c r="F264" s="190">
        <f>ROUND(D264*E264,0)</f>
        <v>60</v>
      </c>
      <c r="G264" s="190">
        <f t="shared" si="78"/>
        <v>57</v>
      </c>
      <c r="H264" s="190">
        <f t="shared" si="103"/>
        <v>3</v>
      </c>
      <c r="I264" s="328" t="s">
        <v>1774</v>
      </c>
    </row>
    <row r="265" spans="1:9" s="111" customFormat="1" ht="26" hidden="1">
      <c r="A265" s="112" t="s">
        <v>742</v>
      </c>
      <c r="B265" s="148" t="s">
        <v>1270</v>
      </c>
      <c r="C265" s="112"/>
      <c r="D265" s="650"/>
      <c r="E265" s="651"/>
      <c r="F265" s="155">
        <f>SUM(F266:F267)</f>
        <v>97</v>
      </c>
      <c r="G265" s="155">
        <f t="shared" ref="G265:H265" si="104">SUM(G266:G267)</f>
        <v>92</v>
      </c>
      <c r="H265" s="155">
        <f t="shared" si="104"/>
        <v>5</v>
      </c>
      <c r="I265" s="328" t="s">
        <v>1774</v>
      </c>
    </row>
    <row r="266" spans="1:9" s="141" customFormat="1" ht="26" hidden="1">
      <c r="A266" s="122"/>
      <c r="B266" s="148" t="s">
        <v>1271</v>
      </c>
      <c r="C266" s="112" t="s">
        <v>903</v>
      </c>
      <c r="D266" s="999"/>
      <c r="E266" s="998"/>
      <c r="F266" s="190">
        <f>ROUND(D266*E266,0)</f>
        <v>0</v>
      </c>
      <c r="G266" s="190">
        <f t="shared" si="78"/>
        <v>0</v>
      </c>
      <c r="H266" s="190">
        <f t="shared" ref="H266:H267" si="105">ROUND(F266*5/100,0)</f>
        <v>0</v>
      </c>
      <c r="I266" s="328" t="s">
        <v>1774</v>
      </c>
    </row>
    <row r="267" spans="1:9" s="140" customFormat="1" ht="26" hidden="1">
      <c r="A267" s="122"/>
      <c r="B267" s="148" t="s">
        <v>1272</v>
      </c>
      <c r="C267" s="112" t="s">
        <v>1014</v>
      </c>
      <c r="D267" s="999">
        <v>1</v>
      </c>
      <c r="E267" s="115">
        <v>97</v>
      </c>
      <c r="F267" s="190">
        <f>ROUND(D267*E267,0)</f>
        <v>97</v>
      </c>
      <c r="G267" s="190">
        <f t="shared" si="78"/>
        <v>92</v>
      </c>
      <c r="H267" s="190">
        <f t="shared" si="105"/>
        <v>5</v>
      </c>
      <c r="I267" s="328" t="s">
        <v>1774</v>
      </c>
    </row>
    <row r="268" spans="1:9" ht="39">
      <c r="A268" s="119">
        <v>4</v>
      </c>
      <c r="B268" s="222" t="s">
        <v>1273</v>
      </c>
      <c r="C268" s="119"/>
      <c r="D268" s="649"/>
      <c r="E268" s="996"/>
      <c r="F268" s="155">
        <f>SUM(F269:F272)</f>
        <v>542</v>
      </c>
      <c r="G268" s="155">
        <f t="shared" ref="G268:H268" si="106">SUM(G269:G272)</f>
        <v>515</v>
      </c>
      <c r="H268" s="212">
        <f t="shared" si="106"/>
        <v>27</v>
      </c>
      <c r="I268" s="553"/>
    </row>
    <row r="269" spans="1:9" s="141" customFormat="1" ht="26" hidden="1">
      <c r="A269" s="122" t="s">
        <v>742</v>
      </c>
      <c r="B269" s="148" t="s">
        <v>1280</v>
      </c>
      <c r="C269" s="112" t="s">
        <v>903</v>
      </c>
      <c r="D269" s="999">
        <v>14</v>
      </c>
      <c r="E269" s="115">
        <v>35.6</v>
      </c>
      <c r="F269" s="190">
        <f>ROUND(D269*E269,0)</f>
        <v>498</v>
      </c>
      <c r="G269" s="190">
        <f t="shared" si="78"/>
        <v>473</v>
      </c>
      <c r="H269" s="190">
        <f t="shared" ref="H269:H272" si="107">ROUND(F269*5/100,0)</f>
        <v>25</v>
      </c>
      <c r="I269" s="328" t="s">
        <v>1774</v>
      </c>
    </row>
    <row r="270" spans="1:9" s="141" customFormat="1" ht="26" hidden="1">
      <c r="A270" s="112" t="s">
        <v>742</v>
      </c>
      <c r="B270" s="148" t="s">
        <v>1773</v>
      </c>
      <c r="C270" s="112" t="s">
        <v>903</v>
      </c>
      <c r="D270" s="650"/>
      <c r="E270" s="998"/>
      <c r="F270" s="155">
        <f>D270*E270</f>
        <v>0</v>
      </c>
      <c r="G270" s="291">
        <f t="shared" si="78"/>
        <v>0</v>
      </c>
      <c r="H270" s="291">
        <f t="shared" si="107"/>
        <v>0</v>
      </c>
      <c r="I270" s="328" t="s">
        <v>1774</v>
      </c>
    </row>
    <row r="271" spans="1:9" s="141" customFormat="1" ht="18" hidden="1" customHeight="1">
      <c r="A271" s="112" t="s">
        <v>742</v>
      </c>
      <c r="B271" s="148" t="s">
        <v>1282</v>
      </c>
      <c r="C271" s="112"/>
      <c r="D271" s="650"/>
      <c r="E271" s="651"/>
      <c r="F271" s="155">
        <f>D271*E271</f>
        <v>0</v>
      </c>
      <c r="G271" s="291">
        <f t="shared" si="78"/>
        <v>0</v>
      </c>
      <c r="H271" s="291">
        <f t="shared" si="107"/>
        <v>0</v>
      </c>
      <c r="I271" s="328" t="s">
        <v>1774</v>
      </c>
    </row>
    <row r="272" spans="1:9" s="141" customFormat="1" hidden="1">
      <c r="A272" s="112" t="s">
        <v>742</v>
      </c>
      <c r="B272" s="148" t="s">
        <v>1283</v>
      </c>
      <c r="C272" s="112" t="s">
        <v>878</v>
      </c>
      <c r="D272" s="650">
        <v>3</v>
      </c>
      <c r="E272" s="250">
        <v>14.7</v>
      </c>
      <c r="F272" s="155">
        <f>ROUND(D272*E272,0)</f>
        <v>44</v>
      </c>
      <c r="G272" s="291">
        <f t="shared" si="78"/>
        <v>42</v>
      </c>
      <c r="H272" s="291">
        <f t="shared" si="107"/>
        <v>2</v>
      </c>
      <c r="I272" s="328" t="s">
        <v>1774</v>
      </c>
    </row>
    <row r="273" spans="1:9" ht="18" customHeight="1">
      <c r="A273" s="108" t="s">
        <v>28</v>
      </c>
      <c r="B273" s="992" t="s">
        <v>21</v>
      </c>
      <c r="C273" s="108"/>
      <c r="D273" s="1004"/>
      <c r="E273" s="1004"/>
      <c r="F273" s="139">
        <f>+F274+F303+F320+F335</f>
        <v>2606</v>
      </c>
      <c r="G273" s="139">
        <f>+G274+G303+G320+G335</f>
        <v>2478</v>
      </c>
      <c r="H273" s="411">
        <f>+H274+H303+H320+H335</f>
        <v>128</v>
      </c>
      <c r="I273" s="553"/>
    </row>
    <row r="274" spans="1:9" ht="39">
      <c r="A274" s="119">
        <v>1</v>
      </c>
      <c r="B274" s="222" t="s">
        <v>1214</v>
      </c>
      <c r="C274" s="119"/>
      <c r="D274" s="649"/>
      <c r="E274" s="996"/>
      <c r="F274" s="209">
        <f>+F275+F281+F291+F292</f>
        <v>1304</v>
      </c>
      <c r="G274" s="209">
        <f>+G275+G281+G291+G292</f>
        <v>1245</v>
      </c>
      <c r="H274" s="211">
        <f>+H275+H281+H291+H292</f>
        <v>59</v>
      </c>
      <c r="I274" s="553"/>
    </row>
    <row r="275" spans="1:9" ht="18" customHeight="1">
      <c r="A275" s="112" t="s">
        <v>911</v>
      </c>
      <c r="B275" s="148" t="s">
        <v>1215</v>
      </c>
      <c r="C275" s="112"/>
      <c r="D275" s="650"/>
      <c r="E275" s="651"/>
      <c r="F275" s="155">
        <f>SUM(F276:F280)</f>
        <v>109</v>
      </c>
      <c r="G275" s="155">
        <f t="shared" ref="G275" si="108">SUM(G276:G280)</f>
        <v>108</v>
      </c>
      <c r="H275" s="212">
        <f>SUM(H276:H280)</f>
        <v>1</v>
      </c>
      <c r="I275" s="553"/>
    </row>
    <row r="276" spans="1:9" s="143" customFormat="1" ht="26" hidden="1">
      <c r="A276" s="112" t="s">
        <v>742</v>
      </c>
      <c r="B276" s="148" t="s">
        <v>1216</v>
      </c>
      <c r="C276" s="112" t="s">
        <v>838</v>
      </c>
      <c r="D276" s="999"/>
      <c r="E276" s="997">
        <v>7.0000000000000007E-2</v>
      </c>
      <c r="F276" s="155">
        <f>ROUND(D276*E276,0)</f>
        <v>0</v>
      </c>
      <c r="G276" s="155">
        <f>F276-H276</f>
        <v>0</v>
      </c>
      <c r="H276" s="155">
        <f>ROUND(F276*5/100,0)</f>
        <v>0</v>
      </c>
      <c r="I276" s="328" t="s">
        <v>1774</v>
      </c>
    </row>
    <row r="277" spans="1:9" s="141" customFormat="1" hidden="1">
      <c r="A277" s="112" t="s">
        <v>742</v>
      </c>
      <c r="B277" s="148" t="s">
        <v>1217</v>
      </c>
      <c r="C277" s="112" t="s">
        <v>1218</v>
      </c>
      <c r="D277" s="999"/>
      <c r="E277" s="115"/>
      <c r="F277" s="155">
        <f>D277*E277</f>
        <v>0</v>
      </c>
      <c r="G277" s="155">
        <f t="shared" ref="G277:G337" si="109">F277-H277</f>
        <v>0</v>
      </c>
      <c r="H277" s="155">
        <f t="shared" ref="H277:H280" si="110">ROUND(F277*5/100,0)</f>
        <v>0</v>
      </c>
      <c r="I277" s="328" t="s">
        <v>1774</v>
      </c>
    </row>
    <row r="278" spans="1:9" s="141" customFormat="1" hidden="1">
      <c r="A278" s="112" t="s">
        <v>742</v>
      </c>
      <c r="B278" s="148" t="s">
        <v>1219</v>
      </c>
      <c r="C278" s="112" t="s">
        <v>903</v>
      </c>
      <c r="D278" s="999">
        <v>2</v>
      </c>
      <c r="E278" s="998">
        <v>46.3</v>
      </c>
      <c r="F278" s="155">
        <f>ROUND(D278*E278,0)</f>
        <v>93</v>
      </c>
      <c r="G278" s="155">
        <f t="shared" si="109"/>
        <v>93</v>
      </c>
      <c r="H278" s="155"/>
      <c r="I278" s="328" t="s">
        <v>1774</v>
      </c>
    </row>
    <row r="279" spans="1:9" s="141" customFormat="1" ht="18" hidden="1" customHeight="1">
      <c r="A279" s="112" t="s">
        <v>742</v>
      </c>
      <c r="B279" s="148" t="s">
        <v>1220</v>
      </c>
      <c r="C279" s="112" t="s">
        <v>1034</v>
      </c>
      <c r="D279" s="999">
        <v>2</v>
      </c>
      <c r="E279" s="115">
        <v>3</v>
      </c>
      <c r="F279" s="155">
        <f t="shared" ref="F279:F280" si="111">ROUND(D279*E279,0)</f>
        <v>6</v>
      </c>
      <c r="G279" s="190">
        <f t="shared" si="109"/>
        <v>6</v>
      </c>
      <c r="H279" s="190"/>
      <c r="I279" s="328" t="s">
        <v>1774</v>
      </c>
    </row>
    <row r="280" spans="1:9" s="142" customFormat="1" ht="18" hidden="1" customHeight="1">
      <c r="A280" s="112" t="s">
        <v>742</v>
      </c>
      <c r="B280" s="148" t="s">
        <v>2038</v>
      </c>
      <c r="C280" s="112" t="s">
        <v>876</v>
      </c>
      <c r="D280" s="999">
        <v>1</v>
      </c>
      <c r="E280" s="115">
        <v>10</v>
      </c>
      <c r="F280" s="155">
        <f t="shared" si="111"/>
        <v>10</v>
      </c>
      <c r="G280" s="155">
        <f t="shared" si="109"/>
        <v>9</v>
      </c>
      <c r="H280" s="155">
        <f t="shared" si="110"/>
        <v>1</v>
      </c>
      <c r="I280" s="328" t="s">
        <v>1774</v>
      </c>
    </row>
    <row r="281" spans="1:9" s="333" customFormat="1" ht="26">
      <c r="A281" s="112" t="s">
        <v>915</v>
      </c>
      <c r="B281" s="148" t="s">
        <v>1222</v>
      </c>
      <c r="C281" s="112"/>
      <c r="D281" s="650"/>
      <c r="E281" s="651"/>
      <c r="F281" s="155">
        <f>SUM(F282:F284)</f>
        <v>699</v>
      </c>
      <c r="G281" s="155">
        <f t="shared" ref="G281:H281" si="112">SUM(G282:G284)</f>
        <v>665</v>
      </c>
      <c r="H281" s="212">
        <f t="shared" si="112"/>
        <v>34</v>
      </c>
      <c r="I281" s="898"/>
    </row>
    <row r="282" spans="1:9" s="141" customFormat="1" ht="18" hidden="1" customHeight="1">
      <c r="A282" s="122" t="s">
        <v>742</v>
      </c>
      <c r="B282" s="148" t="s">
        <v>2152</v>
      </c>
      <c r="C282" s="112" t="s">
        <v>1226</v>
      </c>
      <c r="D282" s="999">
        <v>25</v>
      </c>
      <c r="E282" s="997">
        <v>0.2</v>
      </c>
      <c r="F282" s="155">
        <f>ROUND(D282*E282,0)</f>
        <v>5</v>
      </c>
      <c r="G282" s="155">
        <f t="shared" si="109"/>
        <v>4</v>
      </c>
      <c r="H282" s="155">
        <f>ROUND(F282*5/100,0)+1</f>
        <v>1</v>
      </c>
      <c r="I282" s="328" t="s">
        <v>1774</v>
      </c>
    </row>
    <row r="283" spans="1:9" s="164" customFormat="1" ht="26" hidden="1">
      <c r="A283" s="122" t="s">
        <v>742</v>
      </c>
      <c r="B283" s="148" t="s">
        <v>1224</v>
      </c>
      <c r="C283" s="112" t="s">
        <v>1034</v>
      </c>
      <c r="D283" s="999">
        <v>30</v>
      </c>
      <c r="E283" s="115">
        <v>3</v>
      </c>
      <c r="F283" s="155">
        <f>D283*E283</f>
        <v>90</v>
      </c>
      <c r="G283" s="155">
        <f>F283-H283</f>
        <v>85</v>
      </c>
      <c r="H283" s="155">
        <f t="shared" ref="H283" si="113">ROUND(F283*5/100,0)</f>
        <v>5</v>
      </c>
      <c r="I283" s="328" t="s">
        <v>1774</v>
      </c>
    </row>
    <row r="284" spans="1:9" s="164" customFormat="1" ht="39" hidden="1">
      <c r="A284" s="122" t="s">
        <v>742</v>
      </c>
      <c r="B284" s="148" t="s">
        <v>1225</v>
      </c>
      <c r="C284" s="112"/>
      <c r="D284" s="999"/>
      <c r="E284" s="115"/>
      <c r="F284" s="155">
        <f>+F285+F286+F287</f>
        <v>604</v>
      </c>
      <c r="G284" s="155">
        <f t="shared" ref="G284:H284" si="114">+G285+G286+G287</f>
        <v>576</v>
      </c>
      <c r="H284" s="155">
        <f t="shared" si="114"/>
        <v>28</v>
      </c>
      <c r="I284" s="328" t="s">
        <v>1774</v>
      </c>
    </row>
    <row r="285" spans="1:9" s="111" customFormat="1" ht="18" hidden="1" customHeight="1">
      <c r="A285" s="122"/>
      <c r="B285" s="148" t="s">
        <v>1983</v>
      </c>
      <c r="C285" s="112" t="s">
        <v>1229</v>
      </c>
      <c r="D285" s="999">
        <v>4</v>
      </c>
      <c r="E285" s="115">
        <v>79</v>
      </c>
      <c r="F285" s="155">
        <f t="shared" ref="F285:F286" si="115">ROUND(D285*E285,0)</f>
        <v>316</v>
      </c>
      <c r="G285" s="155">
        <f t="shared" ref="G285:G289" si="116">F285-H285</f>
        <v>299</v>
      </c>
      <c r="H285" s="155">
        <v>17</v>
      </c>
      <c r="I285" s="328" t="s">
        <v>1774</v>
      </c>
    </row>
    <row r="286" spans="1:9" s="141" customFormat="1" hidden="1">
      <c r="A286" s="122"/>
      <c r="B286" s="148" t="s">
        <v>1985</v>
      </c>
      <c r="C286" s="112" t="s">
        <v>1229</v>
      </c>
      <c r="D286" s="999">
        <v>4</v>
      </c>
      <c r="E286" s="115">
        <v>72</v>
      </c>
      <c r="F286" s="155">
        <f t="shared" si="115"/>
        <v>288</v>
      </c>
      <c r="G286" s="155">
        <f t="shared" si="116"/>
        <v>277</v>
      </c>
      <c r="H286" s="155">
        <v>11</v>
      </c>
      <c r="I286" s="328" t="s">
        <v>1774</v>
      </c>
    </row>
    <row r="287" spans="1:9" s="111" customFormat="1" hidden="1">
      <c r="A287" s="122"/>
      <c r="B287" s="148" t="s">
        <v>1223</v>
      </c>
      <c r="C287" s="112"/>
      <c r="D287" s="999"/>
      <c r="E287" s="115"/>
      <c r="F287" s="155">
        <f>SUM(F288:F290)</f>
        <v>0</v>
      </c>
      <c r="G287" s="155">
        <f t="shared" ref="G287:H287" si="117">SUM(G288:G290)</f>
        <v>0</v>
      </c>
      <c r="H287" s="155">
        <f t="shared" si="117"/>
        <v>0</v>
      </c>
      <c r="I287" s="328" t="s">
        <v>1774</v>
      </c>
    </row>
    <row r="288" spans="1:9" s="141" customFormat="1" ht="26" hidden="1">
      <c r="A288" s="122"/>
      <c r="B288" s="148" t="s">
        <v>2039</v>
      </c>
      <c r="C288" s="112" t="s">
        <v>1018</v>
      </c>
      <c r="D288" s="999"/>
      <c r="E288" s="115"/>
      <c r="F288" s="155">
        <f>ROUND(D288*E288,0)</f>
        <v>0</v>
      </c>
      <c r="G288" s="155">
        <f>F288-H288</f>
        <v>0</v>
      </c>
      <c r="H288" s="155">
        <f t="shared" ref="H288:H289" si="118">ROUND(F288*5/100,0)</f>
        <v>0</v>
      </c>
      <c r="I288" s="328" t="s">
        <v>1774</v>
      </c>
    </row>
    <row r="289" spans="1:9" s="111" customFormat="1" ht="18" hidden="1" customHeight="1">
      <c r="A289" s="122"/>
      <c r="B289" s="148" t="s">
        <v>2032</v>
      </c>
      <c r="C289" s="112" t="s">
        <v>1018</v>
      </c>
      <c r="D289" s="999"/>
      <c r="E289" s="115">
        <v>0.8</v>
      </c>
      <c r="F289" s="155">
        <f t="shared" ref="F289" si="119">ROUND(D289*E289,0)</f>
        <v>0</v>
      </c>
      <c r="G289" s="155">
        <f t="shared" si="116"/>
        <v>0</v>
      </c>
      <c r="H289" s="155">
        <f t="shared" si="118"/>
        <v>0</v>
      </c>
      <c r="I289" s="328" t="s">
        <v>1774</v>
      </c>
    </row>
    <row r="290" spans="1:9" s="111" customFormat="1" hidden="1">
      <c r="A290" s="122"/>
      <c r="B290" s="148" t="s">
        <v>2033</v>
      </c>
      <c r="C290" s="112" t="s">
        <v>2034</v>
      </c>
      <c r="D290" s="999"/>
      <c r="E290" s="115"/>
      <c r="F290" s="155"/>
      <c r="G290" s="155"/>
      <c r="H290" s="155"/>
      <c r="I290" s="328" t="s">
        <v>1774</v>
      </c>
    </row>
    <row r="291" spans="1:9" s="102" customFormat="1" ht="26">
      <c r="A291" s="112" t="s">
        <v>1227</v>
      </c>
      <c r="B291" s="148" t="s">
        <v>1228</v>
      </c>
      <c r="C291" s="112" t="s">
        <v>1229</v>
      </c>
      <c r="D291" s="650">
        <v>1</v>
      </c>
      <c r="E291" s="163">
        <v>76</v>
      </c>
      <c r="F291" s="291">
        <f>ROUND(D291*E291,0)</f>
        <v>76</v>
      </c>
      <c r="G291" s="291">
        <f t="shared" si="109"/>
        <v>72</v>
      </c>
      <c r="H291" s="1033">
        <f>ROUND(F291*5/100,0)</f>
        <v>4</v>
      </c>
      <c r="I291" s="553"/>
    </row>
    <row r="292" spans="1:9" ht="26">
      <c r="A292" s="112" t="s">
        <v>1230</v>
      </c>
      <c r="B292" s="148" t="s">
        <v>1231</v>
      </c>
      <c r="C292" s="112"/>
      <c r="D292" s="650"/>
      <c r="E292" s="651"/>
      <c r="F292" s="155">
        <f>+F293+F298+F301+F302</f>
        <v>420</v>
      </c>
      <c r="G292" s="155">
        <f>+G293+G298+G301+G302</f>
        <v>400</v>
      </c>
      <c r="H292" s="212">
        <f>+H293+H298+H301+H302</f>
        <v>20</v>
      </c>
      <c r="I292" s="899"/>
    </row>
    <row r="293" spans="1:9" s="141" customFormat="1" ht="26" hidden="1">
      <c r="A293" s="122" t="s">
        <v>701</v>
      </c>
      <c r="B293" s="148" t="s">
        <v>1232</v>
      </c>
      <c r="C293" s="112"/>
      <c r="D293" s="999"/>
      <c r="E293" s="115"/>
      <c r="F293" s="291">
        <f>SUM(F294:F297)</f>
        <v>315</v>
      </c>
      <c r="G293" s="291">
        <f t="shared" ref="G293:H293" si="120">SUM(G294:G297)</f>
        <v>300</v>
      </c>
      <c r="H293" s="291">
        <f t="shared" si="120"/>
        <v>15</v>
      </c>
      <c r="I293" s="328" t="s">
        <v>1774</v>
      </c>
    </row>
    <row r="294" spans="1:9" s="111" customFormat="1" ht="26" hidden="1">
      <c r="A294" s="122"/>
      <c r="B294" s="154" t="s">
        <v>1233</v>
      </c>
      <c r="C294" s="112" t="s">
        <v>1234</v>
      </c>
      <c r="D294" s="999">
        <v>137</v>
      </c>
      <c r="E294" s="998">
        <v>0.2</v>
      </c>
      <c r="F294" s="155">
        <f>ROUND(D294*E294,0)</f>
        <v>27</v>
      </c>
      <c r="G294" s="155">
        <f t="shared" si="109"/>
        <v>26</v>
      </c>
      <c r="H294" s="155">
        <f t="shared" ref="H294:H302" si="121">ROUND(F294*5/100,0)</f>
        <v>1</v>
      </c>
      <c r="I294" s="328" t="s">
        <v>1774</v>
      </c>
    </row>
    <row r="295" spans="1:9" s="111" customFormat="1" ht="26" hidden="1">
      <c r="A295" s="122"/>
      <c r="B295" s="154" t="s">
        <v>1235</v>
      </c>
      <c r="C295" s="112" t="s">
        <v>1236</v>
      </c>
      <c r="D295" s="999">
        <v>137</v>
      </c>
      <c r="E295" s="998">
        <v>0.5</v>
      </c>
      <c r="F295" s="155">
        <f>ROUND(D295*E295,0)</f>
        <v>69</v>
      </c>
      <c r="G295" s="155">
        <f t="shared" si="109"/>
        <v>66</v>
      </c>
      <c r="H295" s="155">
        <f t="shared" si="121"/>
        <v>3</v>
      </c>
      <c r="I295" s="328" t="s">
        <v>1774</v>
      </c>
    </row>
    <row r="296" spans="1:9" s="111" customFormat="1" ht="26" hidden="1">
      <c r="A296" s="122"/>
      <c r="B296" s="154" t="s">
        <v>1237</v>
      </c>
      <c r="C296" s="112" t="s">
        <v>1234</v>
      </c>
      <c r="D296" s="999">
        <v>137</v>
      </c>
      <c r="E296" s="998">
        <v>0.4</v>
      </c>
      <c r="F296" s="155">
        <f>ROUND(D296*E296,0)</f>
        <v>55</v>
      </c>
      <c r="G296" s="155">
        <f t="shared" si="109"/>
        <v>52</v>
      </c>
      <c r="H296" s="155">
        <f t="shared" si="121"/>
        <v>3</v>
      </c>
      <c r="I296" s="328" t="s">
        <v>1774</v>
      </c>
    </row>
    <row r="297" spans="1:9" s="111" customFormat="1" ht="26" hidden="1">
      <c r="A297" s="122"/>
      <c r="B297" s="154" t="s">
        <v>1238</v>
      </c>
      <c r="C297" s="112" t="s">
        <v>1234</v>
      </c>
      <c r="D297" s="999">
        <v>137</v>
      </c>
      <c r="E297" s="998">
        <v>1.2</v>
      </c>
      <c r="F297" s="155">
        <f t="shared" ref="F297:F298" si="122">ROUND(D297*E297,0)</f>
        <v>164</v>
      </c>
      <c r="G297" s="155">
        <f t="shared" si="109"/>
        <v>156</v>
      </c>
      <c r="H297" s="155">
        <f t="shared" si="121"/>
        <v>8</v>
      </c>
      <c r="I297" s="328" t="s">
        <v>1774</v>
      </c>
    </row>
    <row r="298" spans="1:9" s="111" customFormat="1" ht="39" hidden="1">
      <c r="A298" s="122" t="s">
        <v>701</v>
      </c>
      <c r="B298" s="148" t="s">
        <v>1274</v>
      </c>
      <c r="C298" s="112" t="s">
        <v>903</v>
      </c>
      <c r="D298" s="999">
        <v>1</v>
      </c>
      <c r="E298" s="998">
        <v>47.4</v>
      </c>
      <c r="F298" s="155">
        <f t="shared" si="122"/>
        <v>47</v>
      </c>
      <c r="G298" s="291">
        <f t="shared" si="109"/>
        <v>45</v>
      </c>
      <c r="H298" s="291">
        <f t="shared" si="121"/>
        <v>2</v>
      </c>
      <c r="I298" s="328" t="s">
        <v>1774</v>
      </c>
    </row>
    <row r="299" spans="1:9" s="111" customFormat="1" ht="26" hidden="1">
      <c r="A299" s="122"/>
      <c r="B299" s="154" t="s">
        <v>1275</v>
      </c>
      <c r="C299" s="112"/>
      <c r="D299" s="999"/>
      <c r="E299" s="115"/>
      <c r="F299" s="155">
        <f>D299*E299</f>
        <v>0</v>
      </c>
      <c r="G299" s="155">
        <f t="shared" si="109"/>
        <v>0</v>
      </c>
      <c r="H299" s="155">
        <f t="shared" si="121"/>
        <v>0</v>
      </c>
      <c r="I299" s="328" t="s">
        <v>1774</v>
      </c>
    </row>
    <row r="300" spans="1:9" s="164" customFormat="1" ht="26" hidden="1">
      <c r="A300" s="122"/>
      <c r="B300" s="154" t="s">
        <v>1276</v>
      </c>
      <c r="C300" s="112" t="s">
        <v>903</v>
      </c>
      <c r="D300" s="999"/>
      <c r="E300" s="115"/>
      <c r="F300" s="155">
        <f>D300*E300</f>
        <v>0</v>
      </c>
      <c r="G300" s="155">
        <f t="shared" si="109"/>
        <v>0</v>
      </c>
      <c r="H300" s="155">
        <f t="shared" si="121"/>
        <v>0</v>
      </c>
      <c r="I300" s="328" t="s">
        <v>1774</v>
      </c>
    </row>
    <row r="301" spans="1:9" s="164" customFormat="1" ht="39" hidden="1">
      <c r="A301" s="112" t="s">
        <v>742</v>
      </c>
      <c r="B301" s="148" t="s">
        <v>1239</v>
      </c>
      <c r="C301" s="112" t="s">
        <v>902</v>
      </c>
      <c r="D301" s="999">
        <v>5</v>
      </c>
      <c r="E301" s="115">
        <v>10</v>
      </c>
      <c r="F301" s="190">
        <f>ROUND(D301*E301,0)</f>
        <v>50</v>
      </c>
      <c r="G301" s="190">
        <f t="shared" si="109"/>
        <v>47</v>
      </c>
      <c r="H301" s="190">
        <f t="shared" si="121"/>
        <v>3</v>
      </c>
      <c r="I301" s="328" t="s">
        <v>1774</v>
      </c>
    </row>
    <row r="302" spans="1:9" s="141" customFormat="1" ht="26" hidden="1">
      <c r="A302" s="112" t="s">
        <v>742</v>
      </c>
      <c r="B302" s="148" t="s">
        <v>1240</v>
      </c>
      <c r="C302" s="112" t="s">
        <v>1147</v>
      </c>
      <c r="D302" s="999">
        <v>1</v>
      </c>
      <c r="E302" s="998">
        <v>7.6</v>
      </c>
      <c r="F302" s="190">
        <f>ROUND(D302*E302,0)</f>
        <v>8</v>
      </c>
      <c r="G302" s="190">
        <f t="shared" si="109"/>
        <v>8</v>
      </c>
      <c r="H302" s="190">
        <f t="shared" si="121"/>
        <v>0</v>
      </c>
      <c r="I302" s="328" t="s">
        <v>1774</v>
      </c>
    </row>
    <row r="303" spans="1:9" ht="39">
      <c r="A303" s="119">
        <v>2</v>
      </c>
      <c r="B303" s="222" t="s">
        <v>1241</v>
      </c>
      <c r="C303" s="119"/>
      <c r="D303" s="649"/>
      <c r="E303" s="996"/>
      <c r="F303" s="155">
        <f>+F304+F308+F310+F316</f>
        <v>327</v>
      </c>
      <c r="G303" s="155">
        <f t="shared" ref="G303:H303" si="123">+G304+G308+G310+G316</f>
        <v>310</v>
      </c>
      <c r="H303" s="212">
        <f t="shared" si="123"/>
        <v>17</v>
      </c>
      <c r="I303" s="553"/>
    </row>
    <row r="304" spans="1:9" s="333" customFormat="1" ht="26">
      <c r="A304" s="112" t="s">
        <v>911</v>
      </c>
      <c r="B304" s="148" t="s">
        <v>1242</v>
      </c>
      <c r="C304" s="112"/>
      <c r="D304" s="650"/>
      <c r="E304" s="651"/>
      <c r="F304" s="155">
        <f>SUM(F305:F307)</f>
        <v>125</v>
      </c>
      <c r="G304" s="155">
        <f t="shared" ref="G304:H304" si="124">SUM(G305:G307)</f>
        <v>118</v>
      </c>
      <c r="H304" s="212">
        <f t="shared" si="124"/>
        <v>7</v>
      </c>
      <c r="I304" s="723"/>
    </row>
    <row r="305" spans="1:9" s="141" customFormat="1" hidden="1">
      <c r="A305" s="122"/>
      <c r="B305" s="221" t="s">
        <v>1243</v>
      </c>
      <c r="C305" s="112" t="s">
        <v>838</v>
      </c>
      <c r="D305" s="999"/>
      <c r="E305" s="997"/>
      <c r="F305" s="291">
        <f>ROUND(E305*D305,0)</f>
        <v>0</v>
      </c>
      <c r="G305" s="291">
        <f t="shared" si="109"/>
        <v>0</v>
      </c>
      <c r="H305" s="291">
        <f t="shared" ref="H305:H309" si="125">ROUND(F305*5/100,0)</f>
        <v>0</v>
      </c>
      <c r="I305" s="328" t="s">
        <v>1774</v>
      </c>
    </row>
    <row r="306" spans="1:9" s="164" customFormat="1" ht="18" hidden="1" customHeight="1">
      <c r="A306" s="122"/>
      <c r="B306" s="148" t="s">
        <v>2376</v>
      </c>
      <c r="C306" s="112" t="s">
        <v>903</v>
      </c>
      <c r="D306" s="999">
        <v>2</v>
      </c>
      <c r="E306" s="998">
        <v>47.4</v>
      </c>
      <c r="F306" s="291">
        <f>ROUND(E306*D306,0)</f>
        <v>95</v>
      </c>
      <c r="G306" s="291">
        <f t="shared" si="109"/>
        <v>90</v>
      </c>
      <c r="H306" s="291">
        <f t="shared" si="125"/>
        <v>5</v>
      </c>
      <c r="I306" s="328" t="s">
        <v>1774</v>
      </c>
    </row>
    <row r="307" spans="1:9" s="111" customFormat="1" ht="18" hidden="1" customHeight="1">
      <c r="A307" s="122"/>
      <c r="B307" s="148" t="s">
        <v>1244</v>
      </c>
      <c r="C307" s="112" t="s">
        <v>1245</v>
      </c>
      <c r="D307" s="999">
        <v>20</v>
      </c>
      <c r="E307" s="998">
        <v>1.5</v>
      </c>
      <c r="F307" s="291">
        <f>ROUND(E307*D307,0)</f>
        <v>30</v>
      </c>
      <c r="G307" s="291">
        <f t="shared" si="109"/>
        <v>28</v>
      </c>
      <c r="H307" s="291">
        <f t="shared" si="125"/>
        <v>2</v>
      </c>
      <c r="I307" s="328" t="s">
        <v>1774</v>
      </c>
    </row>
    <row r="308" spans="1:9" s="102" customFormat="1" ht="26">
      <c r="A308" s="112" t="s">
        <v>915</v>
      </c>
      <c r="B308" s="148" t="s">
        <v>1246</v>
      </c>
      <c r="C308" s="112"/>
      <c r="D308" s="650"/>
      <c r="E308" s="651"/>
      <c r="F308" s="155">
        <f>+F309</f>
        <v>100</v>
      </c>
      <c r="G308" s="155">
        <f t="shared" si="109"/>
        <v>95</v>
      </c>
      <c r="H308" s="212">
        <f t="shared" si="125"/>
        <v>5</v>
      </c>
      <c r="I308" s="553"/>
    </row>
    <row r="309" spans="1:9" s="141" customFormat="1" ht="39" hidden="1">
      <c r="A309" s="122"/>
      <c r="B309" s="148" t="s">
        <v>1247</v>
      </c>
      <c r="C309" s="112" t="s">
        <v>1034</v>
      </c>
      <c r="D309" s="999">
        <v>1</v>
      </c>
      <c r="E309" s="115">
        <v>100</v>
      </c>
      <c r="F309" s="155">
        <f>D309*E309</f>
        <v>100</v>
      </c>
      <c r="G309" s="155">
        <f t="shared" si="109"/>
        <v>95</v>
      </c>
      <c r="H309" s="155">
        <f t="shared" si="125"/>
        <v>5</v>
      </c>
      <c r="I309" s="328" t="s">
        <v>1774</v>
      </c>
    </row>
    <row r="310" spans="1:9" s="102" customFormat="1" ht="26">
      <c r="A310" s="112" t="s">
        <v>1227</v>
      </c>
      <c r="B310" s="148" t="s">
        <v>1248</v>
      </c>
      <c r="C310" s="112"/>
      <c r="D310" s="650"/>
      <c r="E310" s="651"/>
      <c r="F310" s="155">
        <f t="shared" ref="F310:H310" si="126">+F311+F312+F315</f>
        <v>72</v>
      </c>
      <c r="G310" s="155">
        <f t="shared" si="126"/>
        <v>69</v>
      </c>
      <c r="H310" s="212">
        <f t="shared" si="126"/>
        <v>3</v>
      </c>
      <c r="I310" s="553"/>
    </row>
    <row r="311" spans="1:9" s="141" customFormat="1" ht="26" hidden="1">
      <c r="A311" s="122" t="s">
        <v>742</v>
      </c>
      <c r="B311" s="148" t="s">
        <v>1216</v>
      </c>
      <c r="C311" s="112" t="s">
        <v>838</v>
      </c>
      <c r="D311" s="999"/>
      <c r="E311" s="997"/>
      <c r="F311" s="155">
        <f>ROUND(E311*D311,0)</f>
        <v>0</v>
      </c>
      <c r="G311" s="155">
        <f t="shared" si="109"/>
        <v>0</v>
      </c>
      <c r="H311" s="155">
        <f t="shared" ref="H311" si="127">ROUND(F311*5/100,0)</f>
        <v>0</v>
      </c>
      <c r="I311" s="328" t="s">
        <v>1774</v>
      </c>
    </row>
    <row r="312" spans="1:9" s="164" customFormat="1" ht="26" hidden="1">
      <c r="A312" s="122" t="s">
        <v>742</v>
      </c>
      <c r="B312" s="148" t="s">
        <v>1249</v>
      </c>
      <c r="C312" s="112"/>
      <c r="D312" s="999"/>
      <c r="E312" s="115"/>
      <c r="F312" s="291">
        <f t="shared" ref="F312:H312" si="128">+F313+F314</f>
        <v>12</v>
      </c>
      <c r="G312" s="291">
        <f t="shared" si="128"/>
        <v>12</v>
      </c>
      <c r="H312" s="291">
        <f t="shared" si="128"/>
        <v>0</v>
      </c>
      <c r="I312" s="328" t="s">
        <v>1774</v>
      </c>
    </row>
    <row r="313" spans="1:9" s="111" customFormat="1" ht="26" hidden="1">
      <c r="A313" s="122"/>
      <c r="B313" s="222" t="s">
        <v>1250</v>
      </c>
      <c r="C313" s="112" t="s">
        <v>1251</v>
      </c>
      <c r="D313" s="999">
        <v>2</v>
      </c>
      <c r="E313" s="115">
        <v>3</v>
      </c>
      <c r="F313" s="155">
        <f>ROUND(E313*D313,0)</f>
        <v>6</v>
      </c>
      <c r="G313" s="155">
        <f t="shared" si="109"/>
        <v>6</v>
      </c>
      <c r="H313" s="155">
        <f t="shared" ref="H313:H319" si="129">ROUND(F313*5/100,0)</f>
        <v>0</v>
      </c>
      <c r="I313" s="328" t="s">
        <v>1774</v>
      </c>
    </row>
    <row r="314" spans="1:9" s="111" customFormat="1" ht="39" hidden="1">
      <c r="A314" s="122"/>
      <c r="B314" s="222" t="s">
        <v>1252</v>
      </c>
      <c r="C314" s="112" t="s">
        <v>1251</v>
      </c>
      <c r="D314" s="999">
        <v>2</v>
      </c>
      <c r="E314" s="115">
        <v>3</v>
      </c>
      <c r="F314" s="155">
        <f>ROUND(E314*D314,0)</f>
        <v>6</v>
      </c>
      <c r="G314" s="155">
        <f t="shared" si="109"/>
        <v>6</v>
      </c>
      <c r="H314" s="155">
        <f t="shared" si="129"/>
        <v>0</v>
      </c>
      <c r="I314" s="328" t="s">
        <v>1774</v>
      </c>
    </row>
    <row r="315" spans="1:9" s="111" customFormat="1" ht="26" hidden="1">
      <c r="A315" s="122" t="s">
        <v>742</v>
      </c>
      <c r="B315" s="148" t="s">
        <v>1253</v>
      </c>
      <c r="C315" s="112" t="s">
        <v>1251</v>
      </c>
      <c r="D315" s="999">
        <v>4</v>
      </c>
      <c r="E315" s="115">
        <v>15</v>
      </c>
      <c r="F315" s="155">
        <f>ROUND(E315*D315,0)</f>
        <v>60</v>
      </c>
      <c r="G315" s="155">
        <f t="shared" si="109"/>
        <v>57</v>
      </c>
      <c r="H315" s="155">
        <f t="shared" si="129"/>
        <v>3</v>
      </c>
      <c r="I315" s="328" t="s">
        <v>1774</v>
      </c>
    </row>
    <row r="316" spans="1:9" s="102" customFormat="1" ht="26">
      <c r="A316" s="112" t="s">
        <v>1230</v>
      </c>
      <c r="B316" s="148" t="s">
        <v>1254</v>
      </c>
      <c r="C316" s="112"/>
      <c r="D316" s="650"/>
      <c r="E316" s="651"/>
      <c r="F316" s="155">
        <f>SUM(F317:F319)</f>
        <v>30</v>
      </c>
      <c r="G316" s="155">
        <f t="shared" si="109"/>
        <v>28</v>
      </c>
      <c r="H316" s="212">
        <f t="shared" si="129"/>
        <v>2</v>
      </c>
      <c r="I316" s="553"/>
    </row>
    <row r="317" spans="1:9" s="141" customFormat="1" ht="39" hidden="1">
      <c r="A317" s="122"/>
      <c r="B317" s="1008" t="s">
        <v>1255</v>
      </c>
      <c r="C317" s="1009"/>
      <c r="D317" s="999"/>
      <c r="E317" s="115"/>
      <c r="F317" s="155">
        <f>D317*E317</f>
        <v>0</v>
      </c>
      <c r="G317" s="155">
        <f t="shared" si="109"/>
        <v>0</v>
      </c>
      <c r="H317" s="155">
        <f t="shared" si="129"/>
        <v>0</v>
      </c>
      <c r="I317" s="328" t="s">
        <v>1774</v>
      </c>
    </row>
    <row r="318" spans="1:9" s="164" customFormat="1" hidden="1">
      <c r="A318" s="122"/>
      <c r="B318" s="1008" t="s">
        <v>1256</v>
      </c>
      <c r="C318" s="1009"/>
      <c r="D318" s="999"/>
      <c r="E318" s="115"/>
      <c r="F318" s="155">
        <f>D318*E318</f>
        <v>0</v>
      </c>
      <c r="G318" s="155">
        <f t="shared" si="109"/>
        <v>0</v>
      </c>
      <c r="H318" s="155">
        <f t="shared" si="129"/>
        <v>0</v>
      </c>
      <c r="I318" s="328" t="s">
        <v>1774</v>
      </c>
    </row>
    <row r="319" spans="1:9" s="164" customFormat="1" ht="18" hidden="1" customHeight="1">
      <c r="A319" s="122"/>
      <c r="B319" s="1008" t="s">
        <v>1257</v>
      </c>
      <c r="C319" s="1009" t="s">
        <v>1034</v>
      </c>
      <c r="D319" s="999">
        <v>1</v>
      </c>
      <c r="E319" s="115">
        <v>30</v>
      </c>
      <c r="F319" s="155">
        <f>D319*E319</f>
        <v>30</v>
      </c>
      <c r="G319" s="155">
        <f t="shared" si="109"/>
        <v>28</v>
      </c>
      <c r="H319" s="155">
        <f t="shared" si="129"/>
        <v>2</v>
      </c>
      <c r="I319" s="328" t="s">
        <v>1774</v>
      </c>
    </row>
    <row r="320" spans="1:9" s="102" customFormat="1" ht="39">
      <c r="A320" s="119">
        <v>3</v>
      </c>
      <c r="B320" s="222" t="s">
        <v>1258</v>
      </c>
      <c r="C320" s="119"/>
      <c r="D320" s="649"/>
      <c r="E320" s="996"/>
      <c r="F320" s="155">
        <f>+F321+F325+F329+F332</f>
        <v>751</v>
      </c>
      <c r="G320" s="155">
        <f t="shared" ref="G320:H320" si="130">+G321+G325+G329+G332</f>
        <v>712</v>
      </c>
      <c r="H320" s="212">
        <f t="shared" si="130"/>
        <v>39</v>
      </c>
      <c r="I320" s="553"/>
    </row>
    <row r="321" spans="1:9" s="143" customFormat="1" hidden="1">
      <c r="A321" s="112" t="s">
        <v>742</v>
      </c>
      <c r="B321" s="148" t="s">
        <v>1259</v>
      </c>
      <c r="C321" s="112"/>
      <c r="D321" s="650"/>
      <c r="E321" s="651"/>
      <c r="F321" s="155">
        <f>SUM(F322:F324)</f>
        <v>182</v>
      </c>
      <c r="G321" s="155">
        <f t="shared" ref="G321:H321" si="131">SUM(G322:G324)</f>
        <v>173</v>
      </c>
      <c r="H321" s="155">
        <f t="shared" si="131"/>
        <v>9</v>
      </c>
      <c r="I321" s="328" t="s">
        <v>1774</v>
      </c>
    </row>
    <row r="322" spans="1:9" s="141" customFormat="1" hidden="1">
      <c r="A322" s="124"/>
      <c r="B322" s="148" t="s">
        <v>1277</v>
      </c>
      <c r="C322" s="112" t="s">
        <v>903</v>
      </c>
      <c r="D322" s="999">
        <v>1</v>
      </c>
      <c r="E322" s="115">
        <v>26.2</v>
      </c>
      <c r="F322" s="190">
        <f>ROUND(D322*E322,0)</f>
        <v>26</v>
      </c>
      <c r="G322" s="190">
        <f t="shared" si="109"/>
        <v>25</v>
      </c>
      <c r="H322" s="190">
        <f t="shared" ref="H322:H324" si="132">ROUND(F322*5/100,0)</f>
        <v>1</v>
      </c>
      <c r="I322" s="328" t="s">
        <v>1774</v>
      </c>
    </row>
    <row r="323" spans="1:9" s="164" customFormat="1" ht="18" hidden="1" customHeight="1">
      <c r="A323" s="124"/>
      <c r="B323" s="148" t="s">
        <v>1260</v>
      </c>
      <c r="C323" s="112" t="s">
        <v>1261</v>
      </c>
      <c r="D323" s="999">
        <v>10</v>
      </c>
      <c r="E323" s="115">
        <v>13</v>
      </c>
      <c r="F323" s="190">
        <f>ROUND(D323*E323,0)</f>
        <v>130</v>
      </c>
      <c r="G323" s="190">
        <f t="shared" si="109"/>
        <v>123</v>
      </c>
      <c r="H323" s="190">
        <f t="shared" si="132"/>
        <v>7</v>
      </c>
      <c r="I323" s="328" t="s">
        <v>1774</v>
      </c>
    </row>
    <row r="324" spans="1:9" s="111" customFormat="1" ht="39" hidden="1">
      <c r="A324" s="124"/>
      <c r="B324" s="148" t="s">
        <v>1262</v>
      </c>
      <c r="C324" s="112" t="s">
        <v>1261</v>
      </c>
      <c r="D324" s="650">
        <v>2</v>
      </c>
      <c r="E324" s="115">
        <v>13</v>
      </c>
      <c r="F324" s="190">
        <f>ROUND(D324*E324,0)</f>
        <v>26</v>
      </c>
      <c r="G324" s="190">
        <f t="shared" si="109"/>
        <v>25</v>
      </c>
      <c r="H324" s="190">
        <f t="shared" si="132"/>
        <v>1</v>
      </c>
      <c r="I324" s="328" t="s">
        <v>1774</v>
      </c>
    </row>
    <row r="325" spans="1:9" s="111" customFormat="1" ht="26" hidden="1">
      <c r="A325" s="112" t="s">
        <v>742</v>
      </c>
      <c r="B325" s="148" t="s">
        <v>1263</v>
      </c>
      <c r="C325" s="112"/>
      <c r="D325" s="650"/>
      <c r="E325" s="651"/>
      <c r="F325" s="155">
        <f>SUM(F326:F328)</f>
        <v>360</v>
      </c>
      <c r="G325" s="155">
        <f t="shared" ref="G325:H325" si="133">SUM(G326:G328)</f>
        <v>342</v>
      </c>
      <c r="H325" s="155">
        <f t="shared" si="133"/>
        <v>18</v>
      </c>
      <c r="I325" s="328" t="s">
        <v>1774</v>
      </c>
    </row>
    <row r="326" spans="1:9" s="141" customFormat="1" ht="39" hidden="1">
      <c r="A326" s="122"/>
      <c r="B326" s="148" t="s">
        <v>2151</v>
      </c>
      <c r="C326" s="112" t="s">
        <v>878</v>
      </c>
      <c r="D326" s="999">
        <v>3</v>
      </c>
      <c r="E326" s="115">
        <v>120</v>
      </c>
      <c r="F326" s="190">
        <v>360</v>
      </c>
      <c r="G326" s="190">
        <v>342</v>
      </c>
      <c r="H326" s="190">
        <v>18</v>
      </c>
      <c r="I326" s="328" t="s">
        <v>1774</v>
      </c>
    </row>
    <row r="327" spans="1:9" s="140" customFormat="1" hidden="1">
      <c r="A327" s="122"/>
      <c r="B327" s="148" t="s">
        <v>1278</v>
      </c>
      <c r="C327" s="112" t="s">
        <v>1265</v>
      </c>
      <c r="D327" s="999"/>
      <c r="E327" s="115"/>
      <c r="F327" s="190">
        <f>ROUND(D327*E327,0)</f>
        <v>0</v>
      </c>
      <c r="G327" s="190">
        <f t="shared" si="109"/>
        <v>0</v>
      </c>
      <c r="H327" s="190">
        <f t="shared" ref="H327:H328" si="134">ROUND(F327*5/100,0)</f>
        <v>0</v>
      </c>
      <c r="I327" s="328" t="s">
        <v>1774</v>
      </c>
    </row>
    <row r="328" spans="1:9" s="141" customFormat="1" ht="26" hidden="1">
      <c r="A328" s="122"/>
      <c r="B328" s="148" t="s">
        <v>1266</v>
      </c>
      <c r="C328" s="112" t="s">
        <v>1267</v>
      </c>
      <c r="D328" s="999"/>
      <c r="E328" s="115"/>
      <c r="F328" s="190">
        <f>ROUND(D328*E328,0)</f>
        <v>0</v>
      </c>
      <c r="G328" s="190">
        <f t="shared" si="109"/>
        <v>0</v>
      </c>
      <c r="H328" s="190">
        <f t="shared" si="134"/>
        <v>0</v>
      </c>
      <c r="I328" s="328" t="s">
        <v>1774</v>
      </c>
    </row>
    <row r="329" spans="1:9" s="141" customFormat="1" hidden="1">
      <c r="A329" s="112" t="s">
        <v>742</v>
      </c>
      <c r="B329" s="148" t="s">
        <v>1268</v>
      </c>
      <c r="C329" s="112"/>
      <c r="D329" s="650"/>
      <c r="E329" s="651"/>
      <c r="F329" s="155">
        <f>SUM(F330:F331)</f>
        <v>112</v>
      </c>
      <c r="G329" s="155">
        <f t="shared" ref="G329:H329" si="135">SUM(G330:G331)</f>
        <v>105</v>
      </c>
      <c r="H329" s="155">
        <f t="shared" si="135"/>
        <v>7</v>
      </c>
      <c r="I329" s="328" t="s">
        <v>1774</v>
      </c>
    </row>
    <row r="330" spans="1:9" s="141" customFormat="1" hidden="1">
      <c r="A330" s="122"/>
      <c r="B330" s="148" t="s">
        <v>2040</v>
      </c>
      <c r="C330" s="112" t="s">
        <v>1265</v>
      </c>
      <c r="D330" s="999">
        <v>2</v>
      </c>
      <c r="E330" s="998">
        <v>26.2</v>
      </c>
      <c r="F330" s="190">
        <f>ROUND(D330*E330,0)</f>
        <v>52</v>
      </c>
      <c r="G330" s="190">
        <f t="shared" si="109"/>
        <v>49</v>
      </c>
      <c r="H330" s="190">
        <f t="shared" ref="H330" si="136">ROUND(F330*5/100,0)</f>
        <v>3</v>
      </c>
      <c r="I330" s="328" t="s">
        <v>1774</v>
      </c>
    </row>
    <row r="331" spans="1:9" s="141" customFormat="1" ht="18" hidden="1" customHeight="1">
      <c r="A331" s="122"/>
      <c r="B331" s="1016" t="s">
        <v>2533</v>
      </c>
      <c r="C331" s="1017" t="s">
        <v>902</v>
      </c>
      <c r="D331" s="999">
        <v>2</v>
      </c>
      <c r="E331" s="998">
        <v>30</v>
      </c>
      <c r="F331" s="190">
        <f>ROUND(D331*E331,0)</f>
        <v>60</v>
      </c>
      <c r="G331" s="190">
        <f t="shared" si="109"/>
        <v>56</v>
      </c>
      <c r="H331" s="190">
        <v>4</v>
      </c>
      <c r="I331" s="328" t="s">
        <v>1774</v>
      </c>
    </row>
    <row r="332" spans="1:9" s="141" customFormat="1" ht="26" hidden="1">
      <c r="A332" s="112" t="s">
        <v>742</v>
      </c>
      <c r="B332" s="148" t="s">
        <v>1270</v>
      </c>
      <c r="C332" s="112"/>
      <c r="D332" s="650"/>
      <c r="E332" s="651"/>
      <c r="F332" s="155">
        <f>SUM(F333:F334)</f>
        <v>97</v>
      </c>
      <c r="G332" s="155">
        <f t="shared" ref="G332:H332" si="137">SUM(G333:G334)</f>
        <v>92</v>
      </c>
      <c r="H332" s="155">
        <f t="shared" si="137"/>
        <v>5</v>
      </c>
      <c r="I332" s="328" t="s">
        <v>1774</v>
      </c>
    </row>
    <row r="333" spans="1:9" s="141" customFormat="1" ht="26" hidden="1">
      <c r="A333" s="122"/>
      <c r="B333" s="148" t="s">
        <v>1271</v>
      </c>
      <c r="C333" s="112" t="s">
        <v>903</v>
      </c>
      <c r="D333" s="999"/>
      <c r="E333" s="998"/>
      <c r="F333" s="190">
        <f>ROUND(D333*E333,0)</f>
        <v>0</v>
      </c>
      <c r="G333" s="190">
        <f t="shared" si="109"/>
        <v>0</v>
      </c>
      <c r="H333" s="190">
        <f t="shared" ref="H333:H334" si="138">ROUND(F333*5/100,0)</f>
        <v>0</v>
      </c>
      <c r="I333" s="328" t="s">
        <v>1774</v>
      </c>
    </row>
    <row r="334" spans="1:9" s="141" customFormat="1" ht="26" hidden="1">
      <c r="A334" s="122"/>
      <c r="B334" s="148" t="s">
        <v>1272</v>
      </c>
      <c r="C334" s="112" t="s">
        <v>1014</v>
      </c>
      <c r="D334" s="999">
        <v>1</v>
      </c>
      <c r="E334" s="115">
        <v>97</v>
      </c>
      <c r="F334" s="190">
        <f>ROUND(D334*E334,0)</f>
        <v>97</v>
      </c>
      <c r="G334" s="190">
        <f t="shared" si="109"/>
        <v>92</v>
      </c>
      <c r="H334" s="190">
        <f t="shared" si="138"/>
        <v>5</v>
      </c>
      <c r="I334" s="328" t="s">
        <v>1774</v>
      </c>
    </row>
    <row r="335" spans="1:9" ht="39">
      <c r="A335" s="119">
        <v>4</v>
      </c>
      <c r="B335" s="222" t="s">
        <v>1273</v>
      </c>
      <c r="C335" s="119"/>
      <c r="D335" s="649"/>
      <c r="E335" s="996"/>
      <c r="F335" s="155">
        <f>SUM(F336:F338)</f>
        <v>224</v>
      </c>
      <c r="G335" s="155">
        <f>SUM(G336:G338)</f>
        <v>211</v>
      </c>
      <c r="H335" s="212">
        <f>SUM(H336:H338)</f>
        <v>13</v>
      </c>
      <c r="I335" s="553"/>
    </row>
    <row r="336" spans="1:9" s="143" customFormat="1" ht="26" hidden="1">
      <c r="A336" s="122" t="s">
        <v>742</v>
      </c>
      <c r="B336" s="148" t="s">
        <v>1280</v>
      </c>
      <c r="C336" s="112" t="s">
        <v>903</v>
      </c>
      <c r="D336" s="999">
        <v>5</v>
      </c>
      <c r="E336" s="115">
        <v>36</v>
      </c>
      <c r="F336" s="190">
        <f>ROUND(D336*E336,0)</f>
        <v>180</v>
      </c>
      <c r="G336" s="190">
        <f t="shared" si="109"/>
        <v>171</v>
      </c>
      <c r="H336" s="190">
        <f t="shared" ref="H336:H337" si="139">ROUND(F336*5/100,0)</f>
        <v>9</v>
      </c>
      <c r="I336" s="328" t="s">
        <v>1774</v>
      </c>
    </row>
    <row r="337" spans="1:9" s="141" customFormat="1" ht="26" hidden="1">
      <c r="A337" s="112" t="s">
        <v>742</v>
      </c>
      <c r="B337" s="148" t="s">
        <v>1773</v>
      </c>
      <c r="C337" s="112" t="s">
        <v>903</v>
      </c>
      <c r="D337" s="650"/>
      <c r="E337" s="115"/>
      <c r="F337" s="155">
        <f>D337*E337</f>
        <v>0</v>
      </c>
      <c r="G337" s="291">
        <f t="shared" si="109"/>
        <v>0</v>
      </c>
      <c r="H337" s="291">
        <f t="shared" si="139"/>
        <v>0</v>
      </c>
      <c r="I337" s="328" t="s">
        <v>1774</v>
      </c>
    </row>
    <row r="338" spans="1:9" s="141" customFormat="1" hidden="1">
      <c r="A338" s="112" t="s">
        <v>742</v>
      </c>
      <c r="B338" s="148" t="s">
        <v>1283</v>
      </c>
      <c r="C338" s="112" t="s">
        <v>878</v>
      </c>
      <c r="D338" s="650">
        <v>3</v>
      </c>
      <c r="E338" s="250">
        <v>14.7</v>
      </c>
      <c r="F338" s="155">
        <f>ROUND(D338*E338,0)</f>
        <v>44</v>
      </c>
      <c r="G338" s="291">
        <f>F338-H338</f>
        <v>40</v>
      </c>
      <c r="H338" s="291">
        <v>4</v>
      </c>
      <c r="I338" s="328" t="s">
        <v>1774</v>
      </c>
    </row>
    <row r="339" spans="1:9" ht="18" customHeight="1">
      <c r="A339" s="108" t="s">
        <v>29</v>
      </c>
      <c r="B339" s="992" t="s">
        <v>19</v>
      </c>
      <c r="C339" s="108"/>
      <c r="D339" s="1004"/>
      <c r="E339" s="1004"/>
      <c r="F339" s="139">
        <f>+F340+F369+F386+F401</f>
        <v>9211</v>
      </c>
      <c r="G339" s="139">
        <f>+G340+G369+G386+G401</f>
        <v>8754</v>
      </c>
      <c r="H339" s="411">
        <f>+H340+H369+H386+H401</f>
        <v>457</v>
      </c>
      <c r="I339" s="553"/>
    </row>
    <row r="340" spans="1:9" ht="39">
      <c r="A340" s="119">
        <v>1</v>
      </c>
      <c r="B340" s="222" t="s">
        <v>1214</v>
      </c>
      <c r="C340" s="119"/>
      <c r="D340" s="649"/>
      <c r="E340" s="996"/>
      <c r="F340" s="209">
        <f>+F341+F347+F357+F358</f>
        <v>4500</v>
      </c>
      <c r="G340" s="209">
        <f t="shared" ref="G340:H340" si="140">+G341+G347+G357+G358</f>
        <v>4278</v>
      </c>
      <c r="H340" s="211">
        <f t="shared" si="140"/>
        <v>222</v>
      </c>
      <c r="I340" s="553"/>
    </row>
    <row r="341" spans="1:9" s="334" customFormat="1" ht="18" customHeight="1">
      <c r="A341" s="112" t="s">
        <v>911</v>
      </c>
      <c r="B341" s="148" t="s">
        <v>1215</v>
      </c>
      <c r="C341" s="112"/>
      <c r="D341" s="650"/>
      <c r="E341" s="651"/>
      <c r="F341" s="155">
        <f>SUM(F342:F346)</f>
        <v>740</v>
      </c>
      <c r="G341" s="155">
        <f t="shared" ref="G341:H341" si="141">SUM(G342:G346)</f>
        <v>704</v>
      </c>
      <c r="H341" s="212">
        <f t="shared" si="141"/>
        <v>36</v>
      </c>
      <c r="I341" s="714"/>
    </row>
    <row r="342" spans="1:9" s="143" customFormat="1" ht="26" hidden="1">
      <c r="A342" s="112" t="s">
        <v>742</v>
      </c>
      <c r="B342" s="148" t="s">
        <v>1216</v>
      </c>
      <c r="C342" s="112" t="s">
        <v>838</v>
      </c>
      <c r="D342" s="999"/>
      <c r="E342" s="997"/>
      <c r="F342" s="155">
        <f>ROUND(D342*E342,0)</f>
        <v>0</v>
      </c>
      <c r="G342" s="155">
        <f>F342-H342</f>
        <v>0</v>
      </c>
      <c r="H342" s="155">
        <f>ROUND(F342*5/100,0)</f>
        <v>0</v>
      </c>
      <c r="I342" s="328" t="s">
        <v>1774</v>
      </c>
    </row>
    <row r="343" spans="1:9" s="141" customFormat="1" ht="18" hidden="1" customHeight="1">
      <c r="A343" s="112" t="s">
        <v>742</v>
      </c>
      <c r="B343" s="148" t="s">
        <v>1217</v>
      </c>
      <c r="C343" s="112" t="s">
        <v>1218</v>
      </c>
      <c r="D343" s="999"/>
      <c r="E343" s="115"/>
      <c r="F343" s="155">
        <f>D343*E343</f>
        <v>0</v>
      </c>
      <c r="G343" s="155">
        <f t="shared" ref="G343:G405" si="142">F343-H343</f>
        <v>0</v>
      </c>
      <c r="H343" s="155">
        <f t="shared" ref="H343" si="143">ROUND(F343*5/100,0)</f>
        <v>0</v>
      </c>
      <c r="I343" s="328" t="s">
        <v>1774</v>
      </c>
    </row>
    <row r="344" spans="1:9" s="164" customFormat="1" hidden="1">
      <c r="A344" s="112" t="s">
        <v>742</v>
      </c>
      <c r="B344" s="148" t="s">
        <v>1219</v>
      </c>
      <c r="C344" s="112" t="s">
        <v>903</v>
      </c>
      <c r="D344" s="999">
        <v>8</v>
      </c>
      <c r="E344" s="998">
        <v>46.3</v>
      </c>
      <c r="F344" s="155">
        <f>ROUND(D344*E344,0)</f>
        <v>370</v>
      </c>
      <c r="G344" s="155">
        <f>F344-H344</f>
        <v>351</v>
      </c>
      <c r="H344" s="155">
        <f>ROUND(F344*5/100,0)</f>
        <v>19</v>
      </c>
      <c r="I344" s="328" t="s">
        <v>1774</v>
      </c>
    </row>
    <row r="345" spans="1:9" s="164" customFormat="1" ht="26" hidden="1">
      <c r="A345" s="112" t="s">
        <v>742</v>
      </c>
      <c r="B345" s="148" t="s">
        <v>1220</v>
      </c>
      <c r="C345" s="112" t="s">
        <v>1034</v>
      </c>
      <c r="D345" s="999">
        <v>90</v>
      </c>
      <c r="E345" s="115">
        <v>3</v>
      </c>
      <c r="F345" s="190">
        <f>D345*E345</f>
        <v>270</v>
      </c>
      <c r="G345" s="190">
        <f t="shared" si="142"/>
        <v>258</v>
      </c>
      <c r="H345" s="155">
        <f>ROUND(F345*5/100,0)-2</f>
        <v>12</v>
      </c>
      <c r="I345" s="328" t="s">
        <v>1774</v>
      </c>
    </row>
    <row r="346" spans="1:9" s="111" customFormat="1" ht="18" hidden="1" customHeight="1">
      <c r="A346" s="112" t="s">
        <v>742</v>
      </c>
      <c r="B346" s="148" t="s">
        <v>2041</v>
      </c>
      <c r="C346" s="112" t="s">
        <v>876</v>
      </c>
      <c r="D346" s="999">
        <v>10</v>
      </c>
      <c r="E346" s="115">
        <v>10</v>
      </c>
      <c r="F346" s="155">
        <f>D346*E346</f>
        <v>100</v>
      </c>
      <c r="G346" s="155">
        <f t="shared" si="142"/>
        <v>95</v>
      </c>
      <c r="H346" s="155">
        <f t="shared" ref="H346:H357" si="144">ROUND(F346*5/100,0)</f>
        <v>5</v>
      </c>
      <c r="I346" s="328" t="s">
        <v>1774</v>
      </c>
    </row>
    <row r="347" spans="1:9" ht="26">
      <c r="A347" s="112" t="s">
        <v>915</v>
      </c>
      <c r="B347" s="148" t="s">
        <v>1222</v>
      </c>
      <c r="C347" s="112"/>
      <c r="D347" s="650"/>
      <c r="E347" s="651"/>
      <c r="F347" s="155">
        <f>SUM(F348:F350)</f>
        <v>865</v>
      </c>
      <c r="G347" s="155">
        <f t="shared" ref="G347:H347" si="145">SUM(G348:G350)</f>
        <v>825</v>
      </c>
      <c r="H347" s="212">
        <f t="shared" si="145"/>
        <v>40</v>
      </c>
      <c r="I347" s="553"/>
    </row>
    <row r="348" spans="1:9" s="111" customFormat="1" hidden="1">
      <c r="A348" s="122" t="s">
        <v>742</v>
      </c>
      <c r="B348" s="148" t="s">
        <v>2152</v>
      </c>
      <c r="C348" s="112" t="s">
        <v>1226</v>
      </c>
      <c r="D348" s="999">
        <v>40</v>
      </c>
      <c r="E348" s="997">
        <v>0.2</v>
      </c>
      <c r="F348" s="155">
        <f>ROUND(D348*E348,0)</f>
        <v>8</v>
      </c>
      <c r="G348" s="155">
        <f t="shared" si="142"/>
        <v>8</v>
      </c>
      <c r="H348" s="155">
        <f t="shared" si="144"/>
        <v>0</v>
      </c>
      <c r="I348" s="328" t="s">
        <v>1774</v>
      </c>
    </row>
    <row r="349" spans="1:9" s="141" customFormat="1" ht="26" hidden="1">
      <c r="A349" s="122" t="s">
        <v>742</v>
      </c>
      <c r="B349" s="148" t="s">
        <v>1224</v>
      </c>
      <c r="C349" s="112" t="s">
        <v>1034</v>
      </c>
      <c r="D349" s="999">
        <v>91</v>
      </c>
      <c r="E349" s="115">
        <v>3</v>
      </c>
      <c r="F349" s="155">
        <f>D349*E349</f>
        <v>273</v>
      </c>
      <c r="G349" s="155">
        <f>F349-H349</f>
        <v>259</v>
      </c>
      <c r="H349" s="155">
        <f t="shared" si="144"/>
        <v>14</v>
      </c>
      <c r="I349" s="328" t="s">
        <v>1774</v>
      </c>
    </row>
    <row r="350" spans="1:9" s="111" customFormat="1" ht="39" hidden="1">
      <c r="A350" s="122" t="s">
        <v>742</v>
      </c>
      <c r="B350" s="148" t="s">
        <v>1225</v>
      </c>
      <c r="C350" s="112"/>
      <c r="D350" s="999"/>
      <c r="E350" s="115"/>
      <c r="F350" s="155">
        <f>+F351+F352+F353</f>
        <v>584</v>
      </c>
      <c r="G350" s="155">
        <f t="shared" ref="G350:H350" si="146">+G351+G352+G353</f>
        <v>558</v>
      </c>
      <c r="H350" s="155">
        <f t="shared" si="146"/>
        <v>26</v>
      </c>
      <c r="I350" s="328" t="s">
        <v>1774</v>
      </c>
    </row>
    <row r="351" spans="1:9" s="111" customFormat="1" hidden="1">
      <c r="A351" s="122"/>
      <c r="B351" s="148" t="s">
        <v>1983</v>
      </c>
      <c r="C351" s="112" t="s">
        <v>1229</v>
      </c>
      <c r="D351" s="999">
        <v>4</v>
      </c>
      <c r="E351" s="115">
        <v>79</v>
      </c>
      <c r="F351" s="155">
        <f t="shared" ref="F351:F352" si="147">ROUND(D351*E351,0)</f>
        <v>316</v>
      </c>
      <c r="G351" s="155">
        <f t="shared" ref="G351:G355" si="148">F351-H351</f>
        <v>303</v>
      </c>
      <c r="H351" s="155">
        <v>13</v>
      </c>
      <c r="I351" s="328" t="s">
        <v>1774</v>
      </c>
    </row>
    <row r="352" spans="1:9" s="111" customFormat="1" hidden="1">
      <c r="A352" s="122"/>
      <c r="B352" s="148" t="s">
        <v>1985</v>
      </c>
      <c r="C352" s="112" t="s">
        <v>1229</v>
      </c>
      <c r="D352" s="999">
        <v>4</v>
      </c>
      <c r="E352" s="115">
        <v>67</v>
      </c>
      <c r="F352" s="155">
        <f t="shared" si="147"/>
        <v>268</v>
      </c>
      <c r="G352" s="155">
        <f t="shared" si="148"/>
        <v>255</v>
      </c>
      <c r="H352" s="155">
        <f t="shared" si="144"/>
        <v>13</v>
      </c>
      <c r="I352" s="328" t="s">
        <v>1774</v>
      </c>
    </row>
    <row r="353" spans="1:9" s="141" customFormat="1" hidden="1">
      <c r="A353" s="122"/>
      <c r="B353" s="148" t="s">
        <v>1223</v>
      </c>
      <c r="C353" s="112"/>
      <c r="D353" s="999"/>
      <c r="E353" s="115"/>
      <c r="F353" s="155">
        <f>SUM(F354:F356)</f>
        <v>0</v>
      </c>
      <c r="G353" s="155">
        <f t="shared" ref="G353:H353" si="149">SUM(G354:G356)</f>
        <v>0</v>
      </c>
      <c r="H353" s="155">
        <f t="shared" si="149"/>
        <v>0</v>
      </c>
      <c r="I353" s="328" t="s">
        <v>1774</v>
      </c>
    </row>
    <row r="354" spans="1:9" s="141" customFormat="1" ht="26" hidden="1">
      <c r="A354" s="122"/>
      <c r="B354" s="148" t="s">
        <v>2031</v>
      </c>
      <c r="C354" s="112" t="s">
        <v>1018</v>
      </c>
      <c r="D354" s="999"/>
      <c r="E354" s="115"/>
      <c r="F354" s="155">
        <f>ROUND(D354*E354,0)</f>
        <v>0</v>
      </c>
      <c r="G354" s="155">
        <f>F354-H354</f>
        <v>0</v>
      </c>
      <c r="H354" s="155">
        <f t="shared" si="144"/>
        <v>0</v>
      </c>
      <c r="I354" s="328" t="s">
        <v>1774</v>
      </c>
    </row>
    <row r="355" spans="1:9" s="111" customFormat="1" ht="26" hidden="1">
      <c r="A355" s="122"/>
      <c r="B355" s="148" t="s">
        <v>2032</v>
      </c>
      <c r="C355" s="112" t="s">
        <v>1018</v>
      </c>
      <c r="D355" s="999"/>
      <c r="E355" s="115">
        <v>0.8</v>
      </c>
      <c r="F355" s="155">
        <f t="shared" ref="F355" si="150">ROUND(D355*E355,0)</f>
        <v>0</v>
      </c>
      <c r="G355" s="155">
        <f t="shared" si="148"/>
        <v>0</v>
      </c>
      <c r="H355" s="155">
        <f t="shared" si="144"/>
        <v>0</v>
      </c>
      <c r="I355" s="328" t="s">
        <v>1774</v>
      </c>
    </row>
    <row r="356" spans="1:9" s="111" customFormat="1" hidden="1">
      <c r="A356" s="122"/>
      <c r="B356" s="148" t="s">
        <v>2033</v>
      </c>
      <c r="C356" s="112" t="s">
        <v>2034</v>
      </c>
      <c r="D356" s="999"/>
      <c r="E356" s="115"/>
      <c r="F356" s="155"/>
      <c r="G356" s="155"/>
      <c r="H356" s="155">
        <f t="shared" si="144"/>
        <v>0</v>
      </c>
      <c r="I356" s="328" t="s">
        <v>1774</v>
      </c>
    </row>
    <row r="357" spans="1:9" s="102" customFormat="1" ht="26">
      <c r="A357" s="112" t="s">
        <v>1227</v>
      </c>
      <c r="B357" s="148" t="s">
        <v>1228</v>
      </c>
      <c r="C357" s="112" t="s">
        <v>1229</v>
      </c>
      <c r="D357" s="650">
        <v>1</v>
      </c>
      <c r="E357" s="163">
        <v>76</v>
      </c>
      <c r="F357" s="291">
        <f>ROUND(D357*E357,0)</f>
        <v>76</v>
      </c>
      <c r="G357" s="291">
        <f t="shared" si="142"/>
        <v>72</v>
      </c>
      <c r="H357" s="212">
        <f t="shared" si="144"/>
        <v>4</v>
      </c>
      <c r="I357" s="553"/>
    </row>
    <row r="358" spans="1:9" s="102" customFormat="1" ht="26">
      <c r="A358" s="112" t="s">
        <v>1230</v>
      </c>
      <c r="B358" s="148" t="s">
        <v>1231</v>
      </c>
      <c r="C358" s="112"/>
      <c r="D358" s="650"/>
      <c r="E358" s="651"/>
      <c r="F358" s="155">
        <f>+F359+F364+F367+F368</f>
        <v>2819</v>
      </c>
      <c r="G358" s="155">
        <f t="shared" ref="G358:H358" si="151">+G359+G364+G367+G368</f>
        <v>2677</v>
      </c>
      <c r="H358" s="212">
        <f t="shared" si="151"/>
        <v>142</v>
      </c>
      <c r="I358" s="553"/>
    </row>
    <row r="359" spans="1:9" s="111" customFormat="1" ht="26" hidden="1">
      <c r="A359" s="122" t="s">
        <v>701</v>
      </c>
      <c r="B359" s="148" t="s">
        <v>1232</v>
      </c>
      <c r="C359" s="112"/>
      <c r="D359" s="999"/>
      <c r="E359" s="115"/>
      <c r="F359" s="291">
        <f>SUM(F360:F363)</f>
        <v>1610</v>
      </c>
      <c r="G359" s="291">
        <f t="shared" ref="G359:H359" si="152">SUM(G360:G363)</f>
        <v>1529</v>
      </c>
      <c r="H359" s="291">
        <f t="shared" si="152"/>
        <v>81</v>
      </c>
      <c r="I359" s="328" t="s">
        <v>1774</v>
      </c>
    </row>
    <row r="360" spans="1:9" s="111" customFormat="1" ht="26" hidden="1">
      <c r="A360" s="122"/>
      <c r="B360" s="154" t="s">
        <v>1233</v>
      </c>
      <c r="C360" s="112" t="s">
        <v>1234</v>
      </c>
      <c r="D360" s="999">
        <v>700</v>
      </c>
      <c r="E360" s="998">
        <v>0.2</v>
      </c>
      <c r="F360" s="155">
        <f>ROUND(D360*E360,0)</f>
        <v>140</v>
      </c>
      <c r="G360" s="155">
        <f t="shared" si="142"/>
        <v>133</v>
      </c>
      <c r="H360" s="155">
        <f t="shared" ref="H360:H363" si="153">ROUND(F360*5/100,0)</f>
        <v>7</v>
      </c>
      <c r="I360" s="328" t="s">
        <v>1774</v>
      </c>
    </row>
    <row r="361" spans="1:9" s="164" customFormat="1" ht="26" hidden="1">
      <c r="A361" s="122"/>
      <c r="B361" s="154" t="s">
        <v>1235</v>
      </c>
      <c r="C361" s="112" t="s">
        <v>1236</v>
      </c>
      <c r="D361" s="999">
        <v>700</v>
      </c>
      <c r="E361" s="998">
        <v>0.5</v>
      </c>
      <c r="F361" s="155">
        <f>ROUND(D361*E361,0)</f>
        <v>350</v>
      </c>
      <c r="G361" s="155">
        <f t="shared" si="142"/>
        <v>332</v>
      </c>
      <c r="H361" s="155">
        <f t="shared" si="153"/>
        <v>18</v>
      </c>
      <c r="I361" s="328" t="s">
        <v>1774</v>
      </c>
    </row>
    <row r="362" spans="1:9" s="164" customFormat="1" ht="26" hidden="1">
      <c r="A362" s="122"/>
      <c r="B362" s="154" t="s">
        <v>1237</v>
      </c>
      <c r="C362" s="112" t="s">
        <v>1234</v>
      </c>
      <c r="D362" s="999">
        <v>700</v>
      </c>
      <c r="E362" s="998">
        <v>0.4</v>
      </c>
      <c r="F362" s="155">
        <f>ROUND(D362*E362,0)</f>
        <v>280</v>
      </c>
      <c r="G362" s="155">
        <f t="shared" si="142"/>
        <v>266</v>
      </c>
      <c r="H362" s="155">
        <f t="shared" si="153"/>
        <v>14</v>
      </c>
      <c r="I362" s="328" t="s">
        <v>1774</v>
      </c>
    </row>
    <row r="363" spans="1:9" s="141" customFormat="1" ht="26" hidden="1">
      <c r="A363" s="122"/>
      <c r="B363" s="154" t="s">
        <v>1238</v>
      </c>
      <c r="C363" s="112" t="s">
        <v>1234</v>
      </c>
      <c r="D363" s="999">
        <v>700</v>
      </c>
      <c r="E363" s="998">
        <v>1.2</v>
      </c>
      <c r="F363" s="155">
        <f>ROUND(D363*E363,0)</f>
        <v>840</v>
      </c>
      <c r="G363" s="155">
        <f t="shared" si="142"/>
        <v>798</v>
      </c>
      <c r="H363" s="155">
        <f t="shared" si="153"/>
        <v>42</v>
      </c>
      <c r="I363" s="328" t="s">
        <v>1774</v>
      </c>
    </row>
    <row r="364" spans="1:9" s="140" customFormat="1" ht="39" hidden="1">
      <c r="A364" s="122" t="s">
        <v>701</v>
      </c>
      <c r="B364" s="148" t="s">
        <v>1274</v>
      </c>
      <c r="C364" s="112" t="s">
        <v>903</v>
      </c>
      <c r="D364" s="999">
        <v>8</v>
      </c>
      <c r="E364" s="998">
        <v>47.4</v>
      </c>
      <c r="F364" s="155">
        <f>ROUND(D364*E364,0)</f>
        <v>379</v>
      </c>
      <c r="G364" s="155">
        <f>F364-H364</f>
        <v>360</v>
      </c>
      <c r="H364" s="155">
        <f>ROUND(F364*5/100,0)</f>
        <v>19</v>
      </c>
      <c r="I364" s="328" t="s">
        <v>1774</v>
      </c>
    </row>
    <row r="365" spans="1:9" s="143" customFormat="1" ht="26" hidden="1">
      <c r="A365" s="122"/>
      <c r="B365" s="154" t="s">
        <v>1275</v>
      </c>
      <c r="C365" s="112"/>
      <c r="D365" s="999"/>
      <c r="E365" s="115"/>
      <c r="F365" s="155">
        <f>D365*E365</f>
        <v>0</v>
      </c>
      <c r="G365" s="155">
        <f t="shared" si="142"/>
        <v>0</v>
      </c>
      <c r="H365" s="155">
        <f t="shared" ref="H365:H368" si="154">ROUND(F365*5/100,0)</f>
        <v>0</v>
      </c>
      <c r="I365" s="328" t="s">
        <v>1774</v>
      </c>
    </row>
    <row r="366" spans="1:9" s="141" customFormat="1" ht="26" hidden="1">
      <c r="A366" s="122"/>
      <c r="B366" s="154" t="s">
        <v>1276</v>
      </c>
      <c r="C366" s="112" t="s">
        <v>903</v>
      </c>
      <c r="D366" s="999"/>
      <c r="E366" s="115"/>
      <c r="F366" s="155">
        <f>D366*E366</f>
        <v>0</v>
      </c>
      <c r="G366" s="155">
        <f t="shared" si="142"/>
        <v>0</v>
      </c>
      <c r="H366" s="155">
        <f t="shared" si="154"/>
        <v>0</v>
      </c>
      <c r="I366" s="328" t="s">
        <v>1774</v>
      </c>
    </row>
    <row r="367" spans="1:9" s="164" customFormat="1" ht="18" hidden="1" customHeight="1">
      <c r="A367" s="112" t="s">
        <v>742</v>
      </c>
      <c r="B367" s="148" t="s">
        <v>1239</v>
      </c>
      <c r="C367" s="112" t="s">
        <v>902</v>
      </c>
      <c r="D367" s="999">
        <v>80</v>
      </c>
      <c r="E367" s="115">
        <v>10</v>
      </c>
      <c r="F367" s="190">
        <f>ROUND(D367*E367,0)</f>
        <v>800</v>
      </c>
      <c r="G367" s="190">
        <f t="shared" si="142"/>
        <v>760</v>
      </c>
      <c r="H367" s="155">
        <f t="shared" si="154"/>
        <v>40</v>
      </c>
      <c r="I367" s="328" t="s">
        <v>1774</v>
      </c>
    </row>
    <row r="368" spans="1:9" s="111" customFormat="1" ht="18" hidden="1" customHeight="1">
      <c r="A368" s="112" t="s">
        <v>742</v>
      </c>
      <c r="B368" s="148" t="s">
        <v>2042</v>
      </c>
      <c r="C368" s="112" t="s">
        <v>1147</v>
      </c>
      <c r="D368" s="999">
        <v>4</v>
      </c>
      <c r="E368" s="998">
        <v>7.6</v>
      </c>
      <c r="F368" s="190">
        <f>ROUND(D368*E368,0)</f>
        <v>30</v>
      </c>
      <c r="G368" s="190">
        <f t="shared" si="142"/>
        <v>28</v>
      </c>
      <c r="H368" s="155">
        <f t="shared" si="154"/>
        <v>2</v>
      </c>
      <c r="I368" s="328" t="s">
        <v>1774</v>
      </c>
    </row>
    <row r="369" spans="1:9" s="102" customFormat="1" ht="39">
      <c r="A369" s="119">
        <v>2</v>
      </c>
      <c r="B369" s="222" t="s">
        <v>1241</v>
      </c>
      <c r="C369" s="119"/>
      <c r="D369" s="649"/>
      <c r="E369" s="996"/>
      <c r="F369" s="155">
        <f>+F370+F374+F376+F382</f>
        <v>964</v>
      </c>
      <c r="G369" s="155">
        <f t="shared" ref="G369:H369" si="155">+G370+G374+G376+G382</f>
        <v>916</v>
      </c>
      <c r="H369" s="212">
        <f t="shared" si="155"/>
        <v>48</v>
      </c>
      <c r="I369" s="553"/>
    </row>
    <row r="370" spans="1:9" ht="26">
      <c r="A370" s="112" t="s">
        <v>911</v>
      </c>
      <c r="B370" s="148" t="s">
        <v>1242</v>
      </c>
      <c r="C370" s="112"/>
      <c r="D370" s="650"/>
      <c r="E370" s="651"/>
      <c r="F370" s="155">
        <f>SUM(F371:F373)</f>
        <v>464</v>
      </c>
      <c r="G370" s="155">
        <f t="shared" ref="G370:H370" si="156">SUM(G371:G373)</f>
        <v>441</v>
      </c>
      <c r="H370" s="212">
        <f t="shared" si="156"/>
        <v>23</v>
      </c>
      <c r="I370" s="899"/>
    </row>
    <row r="371" spans="1:9" s="111" customFormat="1" hidden="1">
      <c r="A371" s="122"/>
      <c r="B371" s="221" t="s">
        <v>1243</v>
      </c>
      <c r="C371" s="112" t="s">
        <v>838</v>
      </c>
      <c r="D371" s="999"/>
      <c r="E371" s="997"/>
      <c r="F371" s="291">
        <f>ROUND(E371*D371,0)</f>
        <v>0</v>
      </c>
      <c r="G371" s="291">
        <f t="shared" si="142"/>
        <v>0</v>
      </c>
      <c r="H371" s="155">
        <f t="shared" ref="H371:H375" si="157">ROUND(F371*5/100,0)</f>
        <v>0</v>
      </c>
      <c r="I371" s="328" t="s">
        <v>1774</v>
      </c>
    </row>
    <row r="372" spans="1:9" s="141" customFormat="1" hidden="1">
      <c r="A372" s="122"/>
      <c r="B372" s="148" t="s">
        <v>2376</v>
      </c>
      <c r="C372" s="112" t="s">
        <v>903</v>
      </c>
      <c r="D372" s="999">
        <v>6</v>
      </c>
      <c r="E372" s="998">
        <v>47.4</v>
      </c>
      <c r="F372" s="291">
        <f>ROUND(E372*D372,0)</f>
        <v>284</v>
      </c>
      <c r="G372" s="291">
        <f t="shared" si="142"/>
        <v>270</v>
      </c>
      <c r="H372" s="155">
        <f t="shared" si="157"/>
        <v>14</v>
      </c>
      <c r="I372" s="328" t="s">
        <v>1774</v>
      </c>
    </row>
    <row r="373" spans="1:9" s="164" customFormat="1" ht="26" hidden="1">
      <c r="A373" s="122"/>
      <c r="B373" s="148" t="s">
        <v>1244</v>
      </c>
      <c r="C373" s="112" t="s">
        <v>1245</v>
      </c>
      <c r="D373" s="999">
        <v>120</v>
      </c>
      <c r="E373" s="998">
        <v>1.5</v>
      </c>
      <c r="F373" s="291">
        <f>ROUND(E373*D373,0)</f>
        <v>180</v>
      </c>
      <c r="G373" s="291">
        <f t="shared" si="142"/>
        <v>171</v>
      </c>
      <c r="H373" s="155">
        <f t="shared" si="157"/>
        <v>9</v>
      </c>
      <c r="I373" s="328" t="s">
        <v>1774</v>
      </c>
    </row>
    <row r="374" spans="1:9" s="102" customFormat="1" ht="26">
      <c r="A374" s="112" t="s">
        <v>915</v>
      </c>
      <c r="B374" s="148" t="s">
        <v>1246</v>
      </c>
      <c r="C374" s="112"/>
      <c r="D374" s="650"/>
      <c r="E374" s="651"/>
      <c r="F374" s="155">
        <f>+F375</f>
        <v>200</v>
      </c>
      <c r="G374" s="155">
        <f t="shared" si="142"/>
        <v>190</v>
      </c>
      <c r="H374" s="212">
        <f t="shared" si="157"/>
        <v>10</v>
      </c>
      <c r="I374" s="553"/>
    </row>
    <row r="375" spans="1:9" s="111" customFormat="1" ht="39" hidden="1">
      <c r="A375" s="122"/>
      <c r="B375" s="148" t="s">
        <v>1247</v>
      </c>
      <c r="C375" s="112" t="s">
        <v>1034</v>
      </c>
      <c r="D375" s="999">
        <v>2</v>
      </c>
      <c r="E375" s="115">
        <v>100</v>
      </c>
      <c r="F375" s="155">
        <f>D375*E375</f>
        <v>200</v>
      </c>
      <c r="G375" s="155">
        <f t="shared" si="142"/>
        <v>190</v>
      </c>
      <c r="H375" s="155">
        <f t="shared" si="157"/>
        <v>10</v>
      </c>
      <c r="I375" s="328" t="s">
        <v>1774</v>
      </c>
    </row>
    <row r="376" spans="1:9" s="102" customFormat="1" ht="26">
      <c r="A376" s="112" t="s">
        <v>1227</v>
      </c>
      <c r="B376" s="148" t="s">
        <v>1248</v>
      </c>
      <c r="C376" s="112"/>
      <c r="D376" s="650"/>
      <c r="E376" s="651"/>
      <c r="F376" s="155">
        <f t="shared" ref="F376:H376" si="158">+F377+F378+F381</f>
        <v>210</v>
      </c>
      <c r="G376" s="155">
        <f t="shared" si="158"/>
        <v>200</v>
      </c>
      <c r="H376" s="212">
        <f t="shared" si="158"/>
        <v>10</v>
      </c>
      <c r="I376" s="553"/>
    </row>
    <row r="377" spans="1:9" s="111" customFormat="1" ht="26" hidden="1">
      <c r="A377" s="122" t="s">
        <v>742</v>
      </c>
      <c r="B377" s="148" t="s">
        <v>1216</v>
      </c>
      <c r="C377" s="112" t="s">
        <v>838</v>
      </c>
      <c r="D377" s="999"/>
      <c r="E377" s="997"/>
      <c r="F377" s="155">
        <f>ROUND(E377*D377,0)</f>
        <v>0</v>
      </c>
      <c r="G377" s="155">
        <f t="shared" si="142"/>
        <v>0</v>
      </c>
      <c r="H377" s="155">
        <f t="shared" ref="H377" si="159">ROUND(F377*5/100,0)</f>
        <v>0</v>
      </c>
      <c r="I377" s="328" t="s">
        <v>1774</v>
      </c>
    </row>
    <row r="378" spans="1:9" s="141" customFormat="1" ht="26" hidden="1">
      <c r="A378" s="122" t="s">
        <v>742</v>
      </c>
      <c r="B378" s="148" t="s">
        <v>1249</v>
      </c>
      <c r="C378" s="112"/>
      <c r="D378" s="999"/>
      <c r="E378" s="115"/>
      <c r="F378" s="291">
        <f t="shared" ref="F378:H378" si="160">+F379+F380</f>
        <v>90</v>
      </c>
      <c r="G378" s="291">
        <f t="shared" si="160"/>
        <v>86</v>
      </c>
      <c r="H378" s="291">
        <f t="shared" si="160"/>
        <v>4</v>
      </c>
      <c r="I378" s="328" t="s">
        <v>1774</v>
      </c>
    </row>
    <row r="379" spans="1:9" s="164" customFormat="1" ht="26" hidden="1">
      <c r="A379" s="122"/>
      <c r="B379" s="222" t="s">
        <v>1250</v>
      </c>
      <c r="C379" s="112" t="s">
        <v>1251</v>
      </c>
      <c r="D379" s="999">
        <v>15</v>
      </c>
      <c r="E379" s="115">
        <v>3</v>
      </c>
      <c r="F379" s="155">
        <f>ROUND(E379*D379,0)</f>
        <v>45</v>
      </c>
      <c r="G379" s="155">
        <f t="shared" si="142"/>
        <v>43</v>
      </c>
      <c r="H379" s="155">
        <f t="shared" ref="H379:H385" si="161">ROUND(F379*5/100,0)</f>
        <v>2</v>
      </c>
      <c r="I379" s="328" t="s">
        <v>1774</v>
      </c>
    </row>
    <row r="380" spans="1:9" s="164" customFormat="1" ht="18" hidden="1" customHeight="1">
      <c r="A380" s="122"/>
      <c r="B380" s="222" t="s">
        <v>1252</v>
      </c>
      <c r="C380" s="112" t="s">
        <v>1251</v>
      </c>
      <c r="D380" s="999">
        <v>15</v>
      </c>
      <c r="E380" s="115">
        <v>3</v>
      </c>
      <c r="F380" s="155">
        <f>ROUND(E380*D380,0)</f>
        <v>45</v>
      </c>
      <c r="G380" s="155">
        <f t="shared" si="142"/>
        <v>43</v>
      </c>
      <c r="H380" s="155">
        <f t="shared" si="161"/>
        <v>2</v>
      </c>
      <c r="I380" s="328" t="s">
        <v>1774</v>
      </c>
    </row>
    <row r="381" spans="1:9" s="111" customFormat="1" ht="26" hidden="1">
      <c r="A381" s="122" t="s">
        <v>742</v>
      </c>
      <c r="B381" s="148" t="s">
        <v>1253</v>
      </c>
      <c r="C381" s="112" t="s">
        <v>1251</v>
      </c>
      <c r="D381" s="999">
        <v>8</v>
      </c>
      <c r="E381" s="115">
        <v>15</v>
      </c>
      <c r="F381" s="155">
        <f>ROUND(E381*D381,0)</f>
        <v>120</v>
      </c>
      <c r="G381" s="155">
        <f t="shared" si="142"/>
        <v>114</v>
      </c>
      <c r="H381" s="155">
        <f t="shared" si="161"/>
        <v>6</v>
      </c>
      <c r="I381" s="328" t="s">
        <v>1774</v>
      </c>
    </row>
    <row r="382" spans="1:9" s="333" customFormat="1" ht="26">
      <c r="A382" s="112" t="s">
        <v>1230</v>
      </c>
      <c r="B382" s="148" t="s">
        <v>1254</v>
      </c>
      <c r="C382" s="112"/>
      <c r="D382" s="650"/>
      <c r="E382" s="651"/>
      <c r="F382" s="155">
        <f>SUM(F383:F385)</f>
        <v>90</v>
      </c>
      <c r="G382" s="155">
        <f t="shared" si="142"/>
        <v>85</v>
      </c>
      <c r="H382" s="212">
        <f t="shared" si="161"/>
        <v>5</v>
      </c>
      <c r="I382" s="723"/>
    </row>
    <row r="383" spans="1:9" s="141" customFormat="1" ht="39" hidden="1">
      <c r="A383" s="122"/>
      <c r="B383" s="1008" t="s">
        <v>1255</v>
      </c>
      <c r="C383" s="1009"/>
      <c r="D383" s="999"/>
      <c r="E383" s="115"/>
      <c r="F383" s="155">
        <f>D383*E383</f>
        <v>0</v>
      </c>
      <c r="G383" s="155">
        <f t="shared" si="142"/>
        <v>0</v>
      </c>
      <c r="H383" s="155">
        <f t="shared" si="161"/>
        <v>0</v>
      </c>
      <c r="I383" s="328" t="s">
        <v>1774</v>
      </c>
    </row>
    <row r="384" spans="1:9" s="164" customFormat="1" ht="18" hidden="1" customHeight="1">
      <c r="A384" s="122"/>
      <c r="B384" s="1008" t="s">
        <v>1256</v>
      </c>
      <c r="C384" s="1009"/>
      <c r="D384" s="999"/>
      <c r="E384" s="115"/>
      <c r="F384" s="155">
        <f>D384*E384</f>
        <v>0</v>
      </c>
      <c r="G384" s="155">
        <f t="shared" si="142"/>
        <v>0</v>
      </c>
      <c r="H384" s="155">
        <f t="shared" si="161"/>
        <v>0</v>
      </c>
      <c r="I384" s="328" t="s">
        <v>1774</v>
      </c>
    </row>
    <row r="385" spans="1:9" s="111" customFormat="1" ht="26" hidden="1">
      <c r="A385" s="122"/>
      <c r="B385" s="1008" t="s">
        <v>1257</v>
      </c>
      <c r="C385" s="1009" t="s">
        <v>1034</v>
      </c>
      <c r="D385" s="999">
        <v>3</v>
      </c>
      <c r="E385" s="115">
        <v>30</v>
      </c>
      <c r="F385" s="155">
        <f>D385*E385</f>
        <v>90</v>
      </c>
      <c r="G385" s="155">
        <f t="shared" si="142"/>
        <v>85</v>
      </c>
      <c r="H385" s="155">
        <f t="shared" si="161"/>
        <v>5</v>
      </c>
      <c r="I385" s="328" t="s">
        <v>1774</v>
      </c>
    </row>
    <row r="386" spans="1:9" s="102" customFormat="1" ht="39">
      <c r="A386" s="119">
        <v>3</v>
      </c>
      <c r="B386" s="222" t="s">
        <v>1258</v>
      </c>
      <c r="C386" s="119"/>
      <c r="D386" s="649"/>
      <c r="E386" s="996"/>
      <c r="F386" s="155">
        <f>+F387+F391+F395+F398</f>
        <v>1903</v>
      </c>
      <c r="G386" s="155">
        <f t="shared" ref="G386:H386" si="162">+G387+G391+G395+G398</f>
        <v>1807</v>
      </c>
      <c r="H386" s="212">
        <f t="shared" si="162"/>
        <v>96</v>
      </c>
      <c r="I386" s="553"/>
    </row>
    <row r="387" spans="1:9" s="141" customFormat="1" hidden="1">
      <c r="A387" s="112" t="s">
        <v>742</v>
      </c>
      <c r="B387" s="148" t="s">
        <v>1259</v>
      </c>
      <c r="C387" s="112"/>
      <c r="D387" s="650"/>
      <c r="E387" s="651"/>
      <c r="F387" s="155">
        <f>SUM(F388:F390)</f>
        <v>1158</v>
      </c>
      <c r="G387" s="155">
        <f t="shared" ref="G387:H387" si="163">SUM(G388:G390)</f>
        <v>1100</v>
      </c>
      <c r="H387" s="155">
        <f t="shared" si="163"/>
        <v>58</v>
      </c>
      <c r="I387" s="328" t="s">
        <v>1774</v>
      </c>
    </row>
    <row r="388" spans="1:9" s="140" customFormat="1" hidden="1">
      <c r="A388" s="124"/>
      <c r="B388" s="148" t="s">
        <v>1277</v>
      </c>
      <c r="C388" s="112" t="s">
        <v>903</v>
      </c>
      <c r="D388" s="999">
        <v>3</v>
      </c>
      <c r="E388" s="115">
        <v>26.2</v>
      </c>
      <c r="F388" s="190">
        <f>ROUND(D388*E388,0)</f>
        <v>79</v>
      </c>
      <c r="G388" s="190">
        <f t="shared" si="142"/>
        <v>75</v>
      </c>
      <c r="H388" s="155">
        <f t="shared" ref="H388:H390" si="164">ROUND(F388*5/100,0)</f>
        <v>4</v>
      </c>
      <c r="I388" s="328" t="s">
        <v>1774</v>
      </c>
    </row>
    <row r="389" spans="1:9" s="141" customFormat="1" ht="39" hidden="1">
      <c r="A389" s="124"/>
      <c r="B389" s="148" t="s">
        <v>1260</v>
      </c>
      <c r="C389" s="112" t="s">
        <v>1261</v>
      </c>
      <c r="D389" s="999">
        <v>70</v>
      </c>
      <c r="E389" s="115">
        <v>13</v>
      </c>
      <c r="F389" s="190">
        <f>ROUND(D389*E389,0)</f>
        <v>910</v>
      </c>
      <c r="G389" s="190">
        <f t="shared" si="142"/>
        <v>864</v>
      </c>
      <c r="H389" s="155">
        <f t="shared" si="164"/>
        <v>46</v>
      </c>
      <c r="I389" s="328" t="s">
        <v>1774</v>
      </c>
    </row>
    <row r="390" spans="1:9" s="141" customFormat="1" ht="39" hidden="1">
      <c r="A390" s="124"/>
      <c r="B390" s="148" t="s">
        <v>1262</v>
      </c>
      <c r="C390" s="112" t="s">
        <v>1261</v>
      </c>
      <c r="D390" s="650">
        <v>13</v>
      </c>
      <c r="E390" s="115">
        <v>13</v>
      </c>
      <c r="F390" s="190">
        <f>ROUND(D390*E390,0)</f>
        <v>169</v>
      </c>
      <c r="G390" s="190">
        <f t="shared" si="142"/>
        <v>161</v>
      </c>
      <c r="H390" s="155">
        <f t="shared" si="164"/>
        <v>8</v>
      </c>
      <c r="I390" s="328" t="s">
        <v>1774</v>
      </c>
    </row>
    <row r="391" spans="1:9" s="141" customFormat="1" ht="26" hidden="1">
      <c r="A391" s="112" t="s">
        <v>742</v>
      </c>
      <c r="B391" s="148" t="s">
        <v>1263</v>
      </c>
      <c r="C391" s="112"/>
      <c r="D391" s="650"/>
      <c r="E391" s="651"/>
      <c r="F391" s="155">
        <f>SUM(F392:F394)</f>
        <v>360</v>
      </c>
      <c r="G391" s="155">
        <f t="shared" ref="G391:H391" si="165">SUM(G392:G394)</f>
        <v>342</v>
      </c>
      <c r="H391" s="155">
        <f t="shared" si="165"/>
        <v>18</v>
      </c>
      <c r="I391" s="328" t="s">
        <v>1774</v>
      </c>
    </row>
    <row r="392" spans="1:9" s="141" customFormat="1" ht="18" hidden="1" customHeight="1">
      <c r="A392" s="122"/>
      <c r="B392" s="148" t="s">
        <v>2151</v>
      </c>
      <c r="C392" s="112" t="s">
        <v>878</v>
      </c>
      <c r="D392" s="999">
        <v>3</v>
      </c>
      <c r="E392" s="115">
        <v>120</v>
      </c>
      <c r="F392" s="190">
        <f>ROUND(D392*E392,0)</f>
        <v>360</v>
      </c>
      <c r="G392" s="190">
        <f t="shared" si="142"/>
        <v>342</v>
      </c>
      <c r="H392" s="155">
        <f t="shared" ref="H392:H394" si="166">ROUND(F392*5/100,0)</f>
        <v>18</v>
      </c>
      <c r="I392" s="328" t="s">
        <v>1774</v>
      </c>
    </row>
    <row r="393" spans="1:9" s="141" customFormat="1" hidden="1">
      <c r="A393" s="122"/>
      <c r="B393" s="148" t="s">
        <v>1278</v>
      </c>
      <c r="C393" s="112" t="s">
        <v>1265</v>
      </c>
      <c r="D393" s="999"/>
      <c r="E393" s="115"/>
      <c r="F393" s="190">
        <f>ROUND(D393*E393,0)</f>
        <v>0</v>
      </c>
      <c r="G393" s="190">
        <f t="shared" si="142"/>
        <v>0</v>
      </c>
      <c r="H393" s="155">
        <f t="shared" si="166"/>
        <v>0</v>
      </c>
      <c r="I393" s="328" t="s">
        <v>1774</v>
      </c>
    </row>
    <row r="394" spans="1:9" s="141" customFormat="1" ht="26" hidden="1">
      <c r="A394" s="122"/>
      <c r="B394" s="148" t="s">
        <v>1266</v>
      </c>
      <c r="C394" s="112" t="s">
        <v>1267</v>
      </c>
      <c r="D394" s="999"/>
      <c r="E394" s="115"/>
      <c r="F394" s="190">
        <f>ROUND(D394*E394,0)</f>
        <v>0</v>
      </c>
      <c r="G394" s="190">
        <f t="shared" si="142"/>
        <v>0</v>
      </c>
      <c r="H394" s="155">
        <f t="shared" si="166"/>
        <v>0</v>
      </c>
      <c r="I394" s="328" t="s">
        <v>1774</v>
      </c>
    </row>
    <row r="395" spans="1:9" s="141" customFormat="1" hidden="1">
      <c r="A395" s="112" t="s">
        <v>742</v>
      </c>
      <c r="B395" s="148" t="s">
        <v>1268</v>
      </c>
      <c r="C395" s="112"/>
      <c r="D395" s="650"/>
      <c r="E395" s="651"/>
      <c r="F395" s="155">
        <f>SUM(F396:F397)</f>
        <v>191</v>
      </c>
      <c r="G395" s="155">
        <f t="shared" ref="G395:H395" si="167">SUM(G396:G397)</f>
        <v>181</v>
      </c>
      <c r="H395" s="155">
        <f t="shared" si="167"/>
        <v>10</v>
      </c>
      <c r="I395" s="328" t="s">
        <v>1774</v>
      </c>
    </row>
    <row r="396" spans="1:9" s="141" customFormat="1" hidden="1">
      <c r="A396" s="122"/>
      <c r="B396" s="148" t="s">
        <v>2037</v>
      </c>
      <c r="C396" s="112" t="s">
        <v>1265</v>
      </c>
      <c r="D396" s="999">
        <v>5</v>
      </c>
      <c r="E396" s="115">
        <v>26.2</v>
      </c>
      <c r="F396" s="190">
        <f>ROUND(D396*E396,0)</f>
        <v>131</v>
      </c>
      <c r="G396" s="190">
        <f t="shared" si="142"/>
        <v>124</v>
      </c>
      <c r="H396" s="155">
        <f t="shared" ref="H396:H397" si="168">ROUND(F396*5/100,0)</f>
        <v>7</v>
      </c>
      <c r="I396" s="328" t="s">
        <v>1774</v>
      </c>
    </row>
    <row r="397" spans="1:9" s="143" customFormat="1" hidden="1">
      <c r="A397" s="122"/>
      <c r="B397" s="1016" t="s">
        <v>2533</v>
      </c>
      <c r="C397" s="1017" t="s">
        <v>902</v>
      </c>
      <c r="D397" s="999">
        <v>2</v>
      </c>
      <c r="E397" s="998">
        <v>30</v>
      </c>
      <c r="F397" s="190">
        <f>ROUND(D397*E397,0)</f>
        <v>60</v>
      </c>
      <c r="G397" s="190">
        <f t="shared" si="142"/>
        <v>57</v>
      </c>
      <c r="H397" s="155">
        <f t="shared" si="168"/>
        <v>3</v>
      </c>
      <c r="I397" s="328" t="s">
        <v>1774</v>
      </c>
    </row>
    <row r="398" spans="1:9" s="141" customFormat="1" ht="26" hidden="1">
      <c r="A398" s="112" t="s">
        <v>742</v>
      </c>
      <c r="B398" s="148" t="s">
        <v>1270</v>
      </c>
      <c r="C398" s="112"/>
      <c r="D398" s="650"/>
      <c r="E398" s="651"/>
      <c r="F398" s="155">
        <f>SUM(F399:F400)</f>
        <v>194</v>
      </c>
      <c r="G398" s="155">
        <f t="shared" ref="G398:H398" si="169">SUM(G399:G400)</f>
        <v>184</v>
      </c>
      <c r="H398" s="155">
        <f t="shared" si="169"/>
        <v>10</v>
      </c>
      <c r="I398" s="328" t="s">
        <v>1774</v>
      </c>
    </row>
    <row r="399" spans="1:9" s="141" customFormat="1" ht="26" hidden="1">
      <c r="A399" s="122"/>
      <c r="B399" s="148" t="s">
        <v>1271</v>
      </c>
      <c r="C399" s="112" t="s">
        <v>903</v>
      </c>
      <c r="D399" s="999"/>
      <c r="E399" s="998"/>
      <c r="F399" s="190">
        <f>ROUND(D399*E399,0)</f>
        <v>0</v>
      </c>
      <c r="G399" s="190">
        <f t="shared" si="142"/>
        <v>0</v>
      </c>
      <c r="H399" s="155">
        <f t="shared" ref="H399:H400" si="170">ROUND(F399*5/100,0)</f>
        <v>0</v>
      </c>
      <c r="I399" s="328" t="s">
        <v>1774</v>
      </c>
    </row>
    <row r="400" spans="1:9" s="140" customFormat="1" ht="18" hidden="1" customHeight="1">
      <c r="A400" s="122"/>
      <c r="B400" s="148" t="s">
        <v>1272</v>
      </c>
      <c r="C400" s="112" t="s">
        <v>1014</v>
      </c>
      <c r="D400" s="999">
        <v>2</v>
      </c>
      <c r="E400" s="115">
        <v>97</v>
      </c>
      <c r="F400" s="190">
        <f>ROUND(D400*E400,0)</f>
        <v>194</v>
      </c>
      <c r="G400" s="190">
        <f t="shared" si="142"/>
        <v>184</v>
      </c>
      <c r="H400" s="155">
        <f t="shared" si="170"/>
        <v>10</v>
      </c>
      <c r="I400" s="328" t="s">
        <v>1774</v>
      </c>
    </row>
    <row r="401" spans="1:9" ht="39">
      <c r="A401" s="119">
        <v>4</v>
      </c>
      <c r="B401" s="222" t="s">
        <v>1273</v>
      </c>
      <c r="C401" s="119"/>
      <c r="D401" s="649"/>
      <c r="E401" s="996"/>
      <c r="F401" s="155">
        <f>SUM(F402:F405)</f>
        <v>1844</v>
      </c>
      <c r="G401" s="155">
        <f>SUM(G402:G405)</f>
        <v>1753</v>
      </c>
      <c r="H401" s="212">
        <f>SUM(H402:H405)</f>
        <v>91</v>
      </c>
      <c r="I401" s="553"/>
    </row>
    <row r="402" spans="1:9" s="142" customFormat="1" ht="18" hidden="1" customHeight="1">
      <c r="A402" s="122" t="s">
        <v>742</v>
      </c>
      <c r="B402" s="148" t="s">
        <v>1280</v>
      </c>
      <c r="C402" s="112" t="s">
        <v>903</v>
      </c>
      <c r="D402" s="999">
        <v>50</v>
      </c>
      <c r="E402" s="115">
        <v>36</v>
      </c>
      <c r="F402" s="190">
        <f>ROUND(D402*E402,0)</f>
        <v>1800</v>
      </c>
      <c r="G402" s="190">
        <f t="shared" si="142"/>
        <v>1710</v>
      </c>
      <c r="H402" s="155">
        <f t="shared" ref="H402:H404" si="171">ROUND(F402*5/100,0)</f>
        <v>90</v>
      </c>
      <c r="I402" s="328" t="s">
        <v>1774</v>
      </c>
    </row>
    <row r="403" spans="1:9" s="143" customFormat="1" ht="26" hidden="1">
      <c r="A403" s="112" t="s">
        <v>742</v>
      </c>
      <c r="B403" s="148" t="s">
        <v>1773</v>
      </c>
      <c r="C403" s="112" t="s">
        <v>903</v>
      </c>
      <c r="D403" s="650"/>
      <c r="E403" s="163"/>
      <c r="F403" s="155">
        <f>D403*E403</f>
        <v>0</v>
      </c>
      <c r="G403" s="291">
        <f t="shared" si="142"/>
        <v>0</v>
      </c>
      <c r="H403" s="155">
        <f t="shared" si="171"/>
        <v>0</v>
      </c>
      <c r="I403" s="328" t="s">
        <v>1774</v>
      </c>
    </row>
    <row r="404" spans="1:9" s="141" customFormat="1" ht="18" hidden="1" customHeight="1">
      <c r="A404" s="112" t="s">
        <v>742</v>
      </c>
      <c r="B404" s="148" t="s">
        <v>1282</v>
      </c>
      <c r="C404" s="112"/>
      <c r="D404" s="650"/>
      <c r="E404" s="651"/>
      <c r="F404" s="155">
        <f>D404*E404</f>
        <v>0</v>
      </c>
      <c r="G404" s="291">
        <f t="shared" si="142"/>
        <v>0</v>
      </c>
      <c r="H404" s="155">
        <f t="shared" si="171"/>
        <v>0</v>
      </c>
      <c r="I404" s="328" t="s">
        <v>1774</v>
      </c>
    </row>
    <row r="405" spans="1:9" s="164" customFormat="1" hidden="1">
      <c r="A405" s="112" t="s">
        <v>742</v>
      </c>
      <c r="B405" s="148" t="s">
        <v>1283</v>
      </c>
      <c r="C405" s="112" t="s">
        <v>878</v>
      </c>
      <c r="D405" s="650">
        <v>3</v>
      </c>
      <c r="E405" s="250">
        <v>14.7</v>
      </c>
      <c r="F405" s="155">
        <f>ROUND(D405*E405,0)</f>
        <v>44</v>
      </c>
      <c r="G405" s="291">
        <f t="shared" si="142"/>
        <v>43</v>
      </c>
      <c r="H405" s="155">
        <v>1</v>
      </c>
      <c r="I405" s="328" t="s">
        <v>1774</v>
      </c>
    </row>
    <row r="406" spans="1:9" s="102" customFormat="1" ht="18" customHeight="1">
      <c r="A406" s="108" t="s">
        <v>30</v>
      </c>
      <c r="B406" s="992" t="s">
        <v>17</v>
      </c>
      <c r="C406" s="108"/>
      <c r="D406" s="1004"/>
      <c r="E406" s="1004"/>
      <c r="F406" s="139">
        <f>+F407+F436+F453+F468</f>
        <v>12859</v>
      </c>
      <c r="G406" s="139">
        <f>+G407+G436+G453+G468</f>
        <v>12223</v>
      </c>
      <c r="H406" s="411">
        <f>+H407+H436+H453+H468</f>
        <v>636</v>
      </c>
      <c r="I406" s="553"/>
    </row>
    <row r="407" spans="1:9" s="102" customFormat="1" ht="39">
      <c r="A407" s="119">
        <v>1</v>
      </c>
      <c r="B407" s="222" t="s">
        <v>1214</v>
      </c>
      <c r="C407" s="119"/>
      <c r="D407" s="649"/>
      <c r="E407" s="996"/>
      <c r="F407" s="209">
        <f>+F408+F414+F424+F425</f>
        <v>6067</v>
      </c>
      <c r="G407" s="209">
        <f t="shared" ref="G407:H407" si="172">+G408+G414+G424+G425</f>
        <v>5772</v>
      </c>
      <c r="H407" s="211">
        <f t="shared" si="172"/>
        <v>295</v>
      </c>
      <c r="I407" s="553"/>
    </row>
    <row r="408" spans="1:9" ht="18" customHeight="1">
      <c r="A408" s="112" t="s">
        <v>911</v>
      </c>
      <c r="B408" s="148" t="s">
        <v>1215</v>
      </c>
      <c r="C408" s="112"/>
      <c r="D408" s="650"/>
      <c r="E408" s="651"/>
      <c r="F408" s="155">
        <f>SUM(F409:F413)</f>
        <v>943</v>
      </c>
      <c r="G408" s="155">
        <f t="shared" ref="G408:H408" si="173">SUM(G409:G413)</f>
        <v>899</v>
      </c>
      <c r="H408" s="212">
        <f t="shared" si="173"/>
        <v>44</v>
      </c>
      <c r="I408" s="553"/>
    </row>
    <row r="409" spans="1:9" s="111" customFormat="1" ht="26" hidden="1">
      <c r="A409" s="112" t="s">
        <v>742</v>
      </c>
      <c r="B409" s="148" t="s">
        <v>1216</v>
      </c>
      <c r="C409" s="112" t="s">
        <v>838</v>
      </c>
      <c r="D409" s="999"/>
      <c r="E409" s="997">
        <v>7.0000000000000007E-2</v>
      </c>
      <c r="F409" s="155">
        <f>ROUND(D409*E409,0)</f>
        <v>0</v>
      </c>
      <c r="G409" s="155">
        <f>F409-H409</f>
        <v>0</v>
      </c>
      <c r="H409" s="155">
        <f>ROUND(F409*5/100,0)</f>
        <v>0</v>
      </c>
      <c r="I409" s="328" t="s">
        <v>1774</v>
      </c>
    </row>
    <row r="410" spans="1:9" s="141" customFormat="1" hidden="1">
      <c r="A410" s="112" t="s">
        <v>742</v>
      </c>
      <c r="B410" s="148" t="s">
        <v>1217</v>
      </c>
      <c r="C410" s="112" t="s">
        <v>1218</v>
      </c>
      <c r="D410" s="999"/>
      <c r="E410" s="115"/>
      <c r="F410" s="155">
        <f>D410*E410</f>
        <v>0</v>
      </c>
      <c r="G410" s="155">
        <f t="shared" ref="G410:G472" si="174">F410-H410</f>
        <v>0</v>
      </c>
      <c r="H410" s="155">
        <f t="shared" ref="H410:H413" si="175">ROUND(F410*5/100,0)</f>
        <v>0</v>
      </c>
      <c r="I410" s="328" t="s">
        <v>1774</v>
      </c>
    </row>
    <row r="411" spans="1:9" s="111" customFormat="1" hidden="1">
      <c r="A411" s="112" t="s">
        <v>742</v>
      </c>
      <c r="B411" s="148" t="s">
        <v>1219</v>
      </c>
      <c r="C411" s="112" t="s">
        <v>903</v>
      </c>
      <c r="D411" s="999">
        <v>10</v>
      </c>
      <c r="E411" s="998">
        <v>46.3</v>
      </c>
      <c r="F411" s="155">
        <f>ROUND(D411*E411,0)</f>
        <v>463</v>
      </c>
      <c r="G411" s="155">
        <f t="shared" si="174"/>
        <v>442</v>
      </c>
      <c r="H411" s="155">
        <f>ROUND(F411*5/100,0)-2</f>
        <v>21</v>
      </c>
      <c r="I411" s="328" t="s">
        <v>1774</v>
      </c>
    </row>
    <row r="412" spans="1:9" s="111" customFormat="1" ht="26" hidden="1">
      <c r="A412" s="112" t="s">
        <v>742</v>
      </c>
      <c r="B412" s="148" t="s">
        <v>1220</v>
      </c>
      <c r="C412" s="112" t="s">
        <v>1034</v>
      </c>
      <c r="D412" s="999">
        <v>20</v>
      </c>
      <c r="E412" s="115">
        <v>3</v>
      </c>
      <c r="F412" s="190">
        <f>D412*E412</f>
        <v>60</v>
      </c>
      <c r="G412" s="190">
        <f t="shared" si="174"/>
        <v>58</v>
      </c>
      <c r="H412" s="190">
        <v>2</v>
      </c>
      <c r="I412" s="328" t="s">
        <v>1774</v>
      </c>
    </row>
    <row r="413" spans="1:9" s="111" customFormat="1" ht="26" hidden="1">
      <c r="A413" s="112" t="s">
        <v>742</v>
      </c>
      <c r="B413" s="148" t="s">
        <v>2043</v>
      </c>
      <c r="C413" s="112" t="s">
        <v>876</v>
      </c>
      <c r="D413" s="999">
        <v>42</v>
      </c>
      <c r="E413" s="115">
        <v>10</v>
      </c>
      <c r="F413" s="155">
        <f>D413*E413</f>
        <v>420</v>
      </c>
      <c r="G413" s="155">
        <f t="shared" si="174"/>
        <v>399</v>
      </c>
      <c r="H413" s="155">
        <f t="shared" si="175"/>
        <v>21</v>
      </c>
      <c r="I413" s="328" t="s">
        <v>1774</v>
      </c>
    </row>
    <row r="414" spans="1:9" ht="26">
      <c r="A414" s="112" t="s">
        <v>915</v>
      </c>
      <c r="B414" s="148" t="s">
        <v>1222</v>
      </c>
      <c r="C414" s="112"/>
      <c r="D414" s="650"/>
      <c r="E414" s="651"/>
      <c r="F414" s="155">
        <f>SUM(F415:F417)</f>
        <v>973</v>
      </c>
      <c r="G414" s="155">
        <f t="shared" ref="G414:H414" si="176">SUM(G415:G417)</f>
        <v>930</v>
      </c>
      <c r="H414" s="212">
        <f t="shared" si="176"/>
        <v>43</v>
      </c>
      <c r="I414" s="899"/>
    </row>
    <row r="415" spans="1:9" s="141" customFormat="1" hidden="1">
      <c r="A415" s="122" t="s">
        <v>742</v>
      </c>
      <c r="B415" s="148" t="s">
        <v>2152</v>
      </c>
      <c r="C415" s="112" t="s">
        <v>1226</v>
      </c>
      <c r="D415" s="999">
        <v>55</v>
      </c>
      <c r="E415" s="997">
        <v>0.2</v>
      </c>
      <c r="F415" s="155">
        <f>ROUND(D415*E415,0)</f>
        <v>11</v>
      </c>
      <c r="G415" s="155">
        <f t="shared" si="174"/>
        <v>10</v>
      </c>
      <c r="H415" s="155">
        <f t="shared" ref="H415:H416" si="177">ROUND(F415*5/100,0)</f>
        <v>1</v>
      </c>
      <c r="I415" s="328" t="s">
        <v>1774</v>
      </c>
    </row>
    <row r="416" spans="1:9" s="111" customFormat="1" ht="26" hidden="1">
      <c r="A416" s="122" t="s">
        <v>742</v>
      </c>
      <c r="B416" s="148" t="s">
        <v>1224</v>
      </c>
      <c r="C416" s="112" t="s">
        <v>1034</v>
      </c>
      <c r="D416" s="999">
        <v>130</v>
      </c>
      <c r="E416" s="115">
        <v>3</v>
      </c>
      <c r="F416" s="155">
        <f>D416*E416</f>
        <v>390</v>
      </c>
      <c r="G416" s="155">
        <f>F416-H416</f>
        <v>370</v>
      </c>
      <c r="H416" s="155">
        <f t="shared" si="177"/>
        <v>20</v>
      </c>
      <c r="I416" s="328" t="s">
        <v>1774</v>
      </c>
    </row>
    <row r="417" spans="1:9" s="111" customFormat="1" ht="39" hidden="1">
      <c r="A417" s="122" t="s">
        <v>742</v>
      </c>
      <c r="B417" s="148" t="s">
        <v>1225</v>
      </c>
      <c r="C417" s="112"/>
      <c r="D417" s="999"/>
      <c r="E417" s="115"/>
      <c r="F417" s="155">
        <f>+F418+F419+F420</f>
        <v>572</v>
      </c>
      <c r="G417" s="155">
        <f t="shared" ref="G417:H417" si="178">+G418+G419+G420</f>
        <v>550</v>
      </c>
      <c r="H417" s="155">
        <f t="shared" si="178"/>
        <v>22</v>
      </c>
      <c r="I417" s="328" t="s">
        <v>1774</v>
      </c>
    </row>
    <row r="418" spans="1:9" s="111" customFormat="1" hidden="1">
      <c r="A418" s="122"/>
      <c r="B418" s="148" t="s">
        <v>1983</v>
      </c>
      <c r="C418" s="112" t="s">
        <v>1229</v>
      </c>
      <c r="D418" s="999">
        <v>4</v>
      </c>
      <c r="E418" s="115">
        <v>76</v>
      </c>
      <c r="F418" s="155">
        <f t="shared" ref="F418:F419" si="179">ROUND(D418*E418,0)</f>
        <v>304</v>
      </c>
      <c r="G418" s="155">
        <f t="shared" ref="G418:G422" si="180">F418-H418</f>
        <v>295</v>
      </c>
      <c r="H418" s="155">
        <v>9</v>
      </c>
      <c r="I418" s="328" t="s">
        <v>1774</v>
      </c>
    </row>
    <row r="419" spans="1:9" s="111" customFormat="1" hidden="1">
      <c r="A419" s="122"/>
      <c r="B419" s="148" t="s">
        <v>1985</v>
      </c>
      <c r="C419" s="112" t="s">
        <v>1229</v>
      </c>
      <c r="D419" s="999">
        <v>4</v>
      </c>
      <c r="E419" s="115">
        <v>67</v>
      </c>
      <c r="F419" s="155">
        <f t="shared" si="179"/>
        <v>268</v>
      </c>
      <c r="G419" s="155">
        <f t="shared" si="180"/>
        <v>255</v>
      </c>
      <c r="H419" s="155">
        <f t="shared" ref="H419" si="181">ROUND(F419*5/100,0)</f>
        <v>13</v>
      </c>
      <c r="I419" s="328" t="s">
        <v>1774</v>
      </c>
    </row>
    <row r="420" spans="1:9" s="111" customFormat="1" hidden="1">
      <c r="A420" s="122"/>
      <c r="B420" s="148" t="s">
        <v>1223</v>
      </c>
      <c r="C420" s="112"/>
      <c r="D420" s="999"/>
      <c r="E420" s="115"/>
      <c r="F420" s="155">
        <f>SUM(F421:F423)</f>
        <v>0</v>
      </c>
      <c r="G420" s="155">
        <f t="shared" ref="G420:H420" si="182">SUM(G421:G423)</f>
        <v>0</v>
      </c>
      <c r="H420" s="155">
        <f t="shared" si="182"/>
        <v>0</v>
      </c>
      <c r="I420" s="328" t="s">
        <v>1774</v>
      </c>
    </row>
    <row r="421" spans="1:9" s="111" customFormat="1" ht="26" hidden="1">
      <c r="A421" s="122"/>
      <c r="B421" s="148" t="s">
        <v>2031</v>
      </c>
      <c r="C421" s="112" t="s">
        <v>1018</v>
      </c>
      <c r="D421" s="999"/>
      <c r="E421" s="115"/>
      <c r="F421" s="155">
        <f>ROUND(D421*E421,0)</f>
        <v>0</v>
      </c>
      <c r="G421" s="155">
        <f>F421-H421</f>
        <v>0</v>
      </c>
      <c r="H421" s="155">
        <f t="shared" ref="H421:H422" si="183">ROUND(F421*5/100,0)</f>
        <v>0</v>
      </c>
      <c r="I421" s="328" t="s">
        <v>1774</v>
      </c>
    </row>
    <row r="422" spans="1:9" s="164" customFormat="1" ht="26" hidden="1">
      <c r="A422" s="122"/>
      <c r="B422" s="148" t="s">
        <v>2044</v>
      </c>
      <c r="C422" s="112" t="s">
        <v>1018</v>
      </c>
      <c r="D422" s="999"/>
      <c r="E422" s="115">
        <v>0.8</v>
      </c>
      <c r="F422" s="155">
        <f t="shared" ref="F422" si="184">ROUND(D422*E422,0)</f>
        <v>0</v>
      </c>
      <c r="G422" s="155">
        <f t="shared" si="180"/>
        <v>0</v>
      </c>
      <c r="H422" s="155">
        <f t="shared" si="183"/>
        <v>0</v>
      </c>
      <c r="I422" s="328" t="s">
        <v>1774</v>
      </c>
    </row>
    <row r="423" spans="1:9" s="164" customFormat="1" hidden="1">
      <c r="A423" s="122"/>
      <c r="B423" s="148" t="s">
        <v>2033</v>
      </c>
      <c r="C423" s="112" t="s">
        <v>2034</v>
      </c>
      <c r="D423" s="999"/>
      <c r="E423" s="115"/>
      <c r="F423" s="155"/>
      <c r="G423" s="155"/>
      <c r="H423" s="155"/>
      <c r="I423" s="328" t="s">
        <v>1774</v>
      </c>
    </row>
    <row r="424" spans="1:9" ht="26">
      <c r="A424" s="112" t="s">
        <v>1227</v>
      </c>
      <c r="B424" s="148" t="s">
        <v>1228</v>
      </c>
      <c r="C424" s="112" t="s">
        <v>1229</v>
      </c>
      <c r="D424" s="650">
        <v>1</v>
      </c>
      <c r="E424" s="163">
        <v>76</v>
      </c>
      <c r="F424" s="291">
        <f>ROUND(D424*E424,0)</f>
        <v>76</v>
      </c>
      <c r="G424" s="291">
        <f t="shared" si="174"/>
        <v>72</v>
      </c>
      <c r="H424" s="1033">
        <f>ROUND(F424*5/100,0)</f>
        <v>4</v>
      </c>
      <c r="I424" s="553"/>
    </row>
    <row r="425" spans="1:9" ht="26">
      <c r="A425" s="112" t="s">
        <v>1230</v>
      </c>
      <c r="B425" s="148" t="s">
        <v>1231</v>
      </c>
      <c r="C425" s="112"/>
      <c r="D425" s="650"/>
      <c r="E425" s="651"/>
      <c r="F425" s="155">
        <f>+F426+F431+F434+F435</f>
        <v>4075</v>
      </c>
      <c r="G425" s="155">
        <f>+G426+G431+G434+G435</f>
        <v>3871</v>
      </c>
      <c r="H425" s="212">
        <f>+H426+H431+H434+H435</f>
        <v>204</v>
      </c>
      <c r="I425" s="553"/>
    </row>
    <row r="426" spans="1:9" s="143" customFormat="1" ht="26" hidden="1">
      <c r="A426" s="122" t="s">
        <v>701</v>
      </c>
      <c r="B426" s="148" t="s">
        <v>1232</v>
      </c>
      <c r="C426" s="112"/>
      <c r="D426" s="999"/>
      <c r="E426" s="115"/>
      <c r="F426" s="291">
        <f>SUM(F427:F430)</f>
        <v>2576</v>
      </c>
      <c r="G426" s="291">
        <f t="shared" ref="G426:H426" si="185">SUM(G427:G430)</f>
        <v>2448</v>
      </c>
      <c r="H426" s="291">
        <f t="shared" si="185"/>
        <v>128</v>
      </c>
      <c r="I426" s="328" t="s">
        <v>1774</v>
      </c>
    </row>
    <row r="427" spans="1:9" s="141" customFormat="1" ht="26" hidden="1">
      <c r="A427" s="122"/>
      <c r="B427" s="154" t="s">
        <v>1233</v>
      </c>
      <c r="C427" s="112" t="s">
        <v>1234</v>
      </c>
      <c r="D427" s="999">
        <v>1120</v>
      </c>
      <c r="E427" s="998">
        <v>0.2</v>
      </c>
      <c r="F427" s="155">
        <f>ROUND(D427*E427,0)</f>
        <v>224</v>
      </c>
      <c r="G427" s="155">
        <f t="shared" si="174"/>
        <v>213</v>
      </c>
      <c r="H427" s="155">
        <f t="shared" ref="H427:H435" si="186">ROUND(F427*5/100,0)</f>
        <v>11</v>
      </c>
      <c r="I427" s="328" t="s">
        <v>1774</v>
      </c>
    </row>
    <row r="428" spans="1:9" s="164" customFormat="1" ht="18" hidden="1" customHeight="1">
      <c r="A428" s="122"/>
      <c r="B428" s="154" t="s">
        <v>1235</v>
      </c>
      <c r="C428" s="112" t="s">
        <v>1236</v>
      </c>
      <c r="D428" s="999">
        <v>1120</v>
      </c>
      <c r="E428" s="998">
        <v>0.5</v>
      </c>
      <c r="F428" s="155">
        <f>ROUND(D428*E428,0)</f>
        <v>560</v>
      </c>
      <c r="G428" s="155">
        <f t="shared" si="174"/>
        <v>532</v>
      </c>
      <c r="H428" s="155">
        <f t="shared" si="186"/>
        <v>28</v>
      </c>
      <c r="I428" s="328" t="s">
        <v>1774</v>
      </c>
    </row>
    <row r="429" spans="1:9" s="111" customFormat="1" ht="18" hidden="1" customHeight="1">
      <c r="A429" s="122"/>
      <c r="B429" s="154" t="s">
        <v>1237</v>
      </c>
      <c r="C429" s="112" t="s">
        <v>1234</v>
      </c>
      <c r="D429" s="999">
        <v>1120</v>
      </c>
      <c r="E429" s="998">
        <v>0.4</v>
      </c>
      <c r="F429" s="155">
        <f>ROUND(D429*E429,0)</f>
        <v>448</v>
      </c>
      <c r="G429" s="155">
        <f t="shared" si="174"/>
        <v>426</v>
      </c>
      <c r="H429" s="155">
        <f t="shared" si="186"/>
        <v>22</v>
      </c>
      <c r="I429" s="328" t="s">
        <v>1774</v>
      </c>
    </row>
    <row r="430" spans="1:9" s="111" customFormat="1" ht="26" hidden="1">
      <c r="A430" s="122"/>
      <c r="B430" s="154" t="s">
        <v>1238</v>
      </c>
      <c r="C430" s="112" t="s">
        <v>1234</v>
      </c>
      <c r="D430" s="999">
        <v>1120</v>
      </c>
      <c r="E430" s="998">
        <v>1.2</v>
      </c>
      <c r="F430" s="155">
        <f>ROUND(D430*E430,0)</f>
        <v>1344</v>
      </c>
      <c r="G430" s="155">
        <f t="shared" si="174"/>
        <v>1277</v>
      </c>
      <c r="H430" s="155">
        <f t="shared" si="186"/>
        <v>67</v>
      </c>
      <c r="I430" s="328" t="s">
        <v>1774</v>
      </c>
    </row>
    <row r="431" spans="1:9" s="141" customFormat="1" ht="39" hidden="1">
      <c r="A431" s="122" t="s">
        <v>701</v>
      </c>
      <c r="B431" s="148" t="s">
        <v>1274</v>
      </c>
      <c r="C431" s="112" t="s">
        <v>903</v>
      </c>
      <c r="D431" s="999">
        <v>16</v>
      </c>
      <c r="E431" s="998">
        <v>47.4</v>
      </c>
      <c r="F431" s="155">
        <f>ROUND(D431*E431,0)</f>
        <v>758</v>
      </c>
      <c r="G431" s="155">
        <f t="shared" si="174"/>
        <v>720</v>
      </c>
      <c r="H431" s="155">
        <f t="shared" si="186"/>
        <v>38</v>
      </c>
      <c r="I431" s="328" t="s">
        <v>1774</v>
      </c>
    </row>
    <row r="432" spans="1:9" s="111" customFormat="1" ht="26" hidden="1">
      <c r="A432" s="122"/>
      <c r="B432" s="154" t="s">
        <v>1275</v>
      </c>
      <c r="C432" s="112"/>
      <c r="D432" s="999"/>
      <c r="E432" s="115"/>
      <c r="F432" s="155">
        <f>D432*E432</f>
        <v>0</v>
      </c>
      <c r="G432" s="155">
        <f t="shared" si="174"/>
        <v>0</v>
      </c>
      <c r="H432" s="155">
        <f t="shared" si="186"/>
        <v>0</v>
      </c>
      <c r="I432" s="328" t="s">
        <v>1774</v>
      </c>
    </row>
    <row r="433" spans="1:9" s="141" customFormat="1" ht="26" hidden="1">
      <c r="A433" s="122"/>
      <c r="B433" s="154" t="s">
        <v>1276</v>
      </c>
      <c r="C433" s="112" t="s">
        <v>903</v>
      </c>
      <c r="D433" s="999"/>
      <c r="E433" s="115"/>
      <c r="F433" s="155">
        <f>D433*E433</f>
        <v>0</v>
      </c>
      <c r="G433" s="155">
        <f t="shared" si="174"/>
        <v>0</v>
      </c>
      <c r="H433" s="155">
        <f t="shared" si="186"/>
        <v>0</v>
      </c>
      <c r="I433" s="328" t="s">
        <v>1774</v>
      </c>
    </row>
    <row r="434" spans="1:9" s="164" customFormat="1" ht="39" hidden="1">
      <c r="A434" s="112" t="s">
        <v>742</v>
      </c>
      <c r="B434" s="148" t="s">
        <v>1239</v>
      </c>
      <c r="C434" s="112" t="s">
        <v>902</v>
      </c>
      <c r="D434" s="999">
        <v>65</v>
      </c>
      <c r="E434" s="115">
        <v>10</v>
      </c>
      <c r="F434" s="190">
        <f>ROUND(D434*E434,0)</f>
        <v>650</v>
      </c>
      <c r="G434" s="190">
        <f t="shared" si="174"/>
        <v>617</v>
      </c>
      <c r="H434" s="190">
        <f t="shared" si="186"/>
        <v>33</v>
      </c>
      <c r="I434" s="328" t="s">
        <v>1774</v>
      </c>
    </row>
    <row r="435" spans="1:9" s="111" customFormat="1" ht="26" hidden="1">
      <c r="A435" s="112" t="s">
        <v>742</v>
      </c>
      <c r="B435" s="148" t="s">
        <v>1240</v>
      </c>
      <c r="C435" s="112" t="s">
        <v>1147</v>
      </c>
      <c r="D435" s="999">
        <v>12</v>
      </c>
      <c r="E435" s="998">
        <v>7.6</v>
      </c>
      <c r="F435" s="190">
        <f>ROUND(D435*E435,0)</f>
        <v>91</v>
      </c>
      <c r="G435" s="190">
        <f t="shared" si="174"/>
        <v>86</v>
      </c>
      <c r="H435" s="190">
        <f t="shared" si="186"/>
        <v>5</v>
      </c>
      <c r="I435" s="328" t="s">
        <v>1774</v>
      </c>
    </row>
    <row r="436" spans="1:9" s="102" customFormat="1" ht="39">
      <c r="A436" s="119">
        <v>2</v>
      </c>
      <c r="B436" s="222" t="s">
        <v>1241</v>
      </c>
      <c r="C436" s="119"/>
      <c r="D436" s="649"/>
      <c r="E436" s="996"/>
      <c r="F436" s="155">
        <f>+F437+F441+F443+F449</f>
        <v>2141</v>
      </c>
      <c r="G436" s="155">
        <f t="shared" ref="G436:H436" si="187">+G437+G441+G443+G449</f>
        <v>2033</v>
      </c>
      <c r="H436" s="212">
        <f t="shared" si="187"/>
        <v>108</v>
      </c>
      <c r="I436" s="553"/>
    </row>
    <row r="437" spans="1:9" s="102" customFormat="1" ht="26">
      <c r="A437" s="112" t="s">
        <v>911</v>
      </c>
      <c r="B437" s="148" t="s">
        <v>1242</v>
      </c>
      <c r="C437" s="112"/>
      <c r="D437" s="650"/>
      <c r="E437" s="651"/>
      <c r="F437" s="155">
        <f>SUM(F438:F440)</f>
        <v>1617</v>
      </c>
      <c r="G437" s="155">
        <f t="shared" ref="G437:H437" si="188">SUM(G438:G440)</f>
        <v>1536</v>
      </c>
      <c r="H437" s="212">
        <f t="shared" si="188"/>
        <v>81</v>
      </c>
      <c r="I437" s="553"/>
    </row>
    <row r="438" spans="1:9" s="111" customFormat="1" hidden="1">
      <c r="A438" s="122"/>
      <c r="B438" s="221" t="s">
        <v>1243</v>
      </c>
      <c r="C438" s="112" t="s">
        <v>838</v>
      </c>
      <c r="D438" s="999"/>
      <c r="E438" s="997"/>
      <c r="F438" s="291">
        <f>ROUND(E438*D438,0)</f>
        <v>0</v>
      </c>
      <c r="G438" s="291">
        <f t="shared" si="174"/>
        <v>0</v>
      </c>
      <c r="H438" s="291">
        <f t="shared" ref="H438:H442" si="189">ROUND(F438*5/100,0)</f>
        <v>0</v>
      </c>
      <c r="I438" s="328" t="s">
        <v>1774</v>
      </c>
    </row>
    <row r="439" spans="1:9" s="141" customFormat="1" hidden="1">
      <c r="A439" s="122"/>
      <c r="B439" s="148" t="s">
        <v>2376</v>
      </c>
      <c r="C439" s="112" t="s">
        <v>903</v>
      </c>
      <c r="D439" s="999">
        <v>30</v>
      </c>
      <c r="E439" s="998">
        <v>47.4</v>
      </c>
      <c r="F439" s="291">
        <f>ROUND(E439*D439,0)</f>
        <v>1422</v>
      </c>
      <c r="G439" s="291">
        <f t="shared" si="174"/>
        <v>1351</v>
      </c>
      <c r="H439" s="291">
        <f t="shared" si="189"/>
        <v>71</v>
      </c>
      <c r="I439" s="328" t="s">
        <v>1774</v>
      </c>
    </row>
    <row r="440" spans="1:9" s="164" customFormat="1" ht="26" hidden="1">
      <c r="A440" s="122"/>
      <c r="B440" s="148" t="s">
        <v>1244</v>
      </c>
      <c r="C440" s="112" t="s">
        <v>1245</v>
      </c>
      <c r="D440" s="999">
        <v>130</v>
      </c>
      <c r="E440" s="998">
        <v>1.5</v>
      </c>
      <c r="F440" s="291">
        <f>ROUND(E440*D440,0)</f>
        <v>195</v>
      </c>
      <c r="G440" s="291">
        <f t="shared" si="174"/>
        <v>185</v>
      </c>
      <c r="H440" s="291">
        <f t="shared" si="189"/>
        <v>10</v>
      </c>
      <c r="I440" s="328" t="s">
        <v>1774</v>
      </c>
    </row>
    <row r="441" spans="1:9" s="102" customFormat="1" ht="26">
      <c r="A441" s="112" t="s">
        <v>915</v>
      </c>
      <c r="B441" s="148" t="s">
        <v>1246</v>
      </c>
      <c r="C441" s="112"/>
      <c r="D441" s="650"/>
      <c r="E441" s="651"/>
      <c r="F441" s="155">
        <f>+F442</f>
        <v>200</v>
      </c>
      <c r="G441" s="155">
        <f t="shared" si="174"/>
        <v>190</v>
      </c>
      <c r="H441" s="212">
        <f t="shared" si="189"/>
        <v>10</v>
      </c>
      <c r="I441" s="553"/>
    </row>
    <row r="442" spans="1:9" s="111" customFormat="1" ht="39" hidden="1">
      <c r="A442" s="122"/>
      <c r="B442" s="148" t="s">
        <v>1247</v>
      </c>
      <c r="C442" s="112" t="s">
        <v>1034</v>
      </c>
      <c r="D442" s="999">
        <v>2</v>
      </c>
      <c r="E442" s="115">
        <v>100</v>
      </c>
      <c r="F442" s="155">
        <f>D442*E442</f>
        <v>200</v>
      </c>
      <c r="G442" s="155">
        <f t="shared" si="174"/>
        <v>190</v>
      </c>
      <c r="H442" s="155">
        <f t="shared" si="189"/>
        <v>10</v>
      </c>
      <c r="I442" s="328" t="s">
        <v>1774</v>
      </c>
    </row>
    <row r="443" spans="1:9" s="333" customFormat="1" ht="26">
      <c r="A443" s="112" t="s">
        <v>1227</v>
      </c>
      <c r="B443" s="148" t="s">
        <v>1248</v>
      </c>
      <c r="C443" s="112"/>
      <c r="D443" s="650"/>
      <c r="E443" s="651"/>
      <c r="F443" s="155">
        <f>+F444+F445+F448</f>
        <v>234</v>
      </c>
      <c r="G443" s="155">
        <f t="shared" ref="G443:H443" si="190">+G444+G445+G448</f>
        <v>222</v>
      </c>
      <c r="H443" s="212">
        <f t="shared" si="190"/>
        <v>12</v>
      </c>
      <c r="I443" s="723"/>
    </row>
    <row r="444" spans="1:9" s="141" customFormat="1" ht="26" hidden="1">
      <c r="A444" s="122" t="s">
        <v>742</v>
      </c>
      <c r="B444" s="148" t="s">
        <v>1216</v>
      </c>
      <c r="C444" s="112" t="s">
        <v>838</v>
      </c>
      <c r="D444" s="999"/>
      <c r="E444" s="997"/>
      <c r="F444" s="155">
        <f>ROUND(E444*D444,0)</f>
        <v>0</v>
      </c>
      <c r="G444" s="155">
        <f t="shared" si="174"/>
        <v>0</v>
      </c>
      <c r="H444" s="155">
        <f t="shared" ref="H444" si="191">ROUND(F444*5/100,0)</f>
        <v>0</v>
      </c>
      <c r="I444" s="328" t="s">
        <v>1774</v>
      </c>
    </row>
    <row r="445" spans="1:9" s="164" customFormat="1" ht="18" hidden="1" customHeight="1">
      <c r="A445" s="122" t="s">
        <v>742</v>
      </c>
      <c r="B445" s="148" t="s">
        <v>1249</v>
      </c>
      <c r="C445" s="112"/>
      <c r="D445" s="999"/>
      <c r="E445" s="115"/>
      <c r="F445" s="291">
        <f>+F446+F447</f>
        <v>84</v>
      </c>
      <c r="G445" s="291">
        <f t="shared" ref="G445:H445" si="192">+G446+G447</f>
        <v>80</v>
      </c>
      <c r="H445" s="291">
        <f t="shared" si="192"/>
        <v>4</v>
      </c>
      <c r="I445" s="328" t="s">
        <v>1774</v>
      </c>
    </row>
    <row r="446" spans="1:9" s="111" customFormat="1" ht="26" hidden="1">
      <c r="A446" s="122"/>
      <c r="B446" s="222" t="s">
        <v>1250</v>
      </c>
      <c r="C446" s="112" t="s">
        <v>1251</v>
      </c>
      <c r="D446" s="999">
        <v>14</v>
      </c>
      <c r="E446" s="115">
        <v>3</v>
      </c>
      <c r="F446" s="155">
        <f>ROUND(E446*D446,0)</f>
        <v>42</v>
      </c>
      <c r="G446" s="155">
        <f t="shared" si="174"/>
        <v>40</v>
      </c>
      <c r="H446" s="155">
        <f t="shared" ref="H446:H452" si="193">ROUND(F446*5/100,0)</f>
        <v>2</v>
      </c>
      <c r="I446" s="328" t="s">
        <v>1774</v>
      </c>
    </row>
    <row r="447" spans="1:9" s="111" customFormat="1" ht="39" hidden="1">
      <c r="A447" s="122"/>
      <c r="B447" s="222" t="s">
        <v>1252</v>
      </c>
      <c r="C447" s="112" t="s">
        <v>1251</v>
      </c>
      <c r="D447" s="999">
        <v>14</v>
      </c>
      <c r="E447" s="115">
        <v>3</v>
      </c>
      <c r="F447" s="155">
        <f>ROUND(E447*D447,0)</f>
        <v>42</v>
      </c>
      <c r="G447" s="155">
        <f t="shared" si="174"/>
        <v>40</v>
      </c>
      <c r="H447" s="155">
        <f t="shared" si="193"/>
        <v>2</v>
      </c>
      <c r="I447" s="328" t="s">
        <v>1774</v>
      </c>
    </row>
    <row r="448" spans="1:9" s="141" customFormat="1" ht="26" hidden="1">
      <c r="A448" s="122" t="s">
        <v>742</v>
      </c>
      <c r="B448" s="148" t="s">
        <v>1253</v>
      </c>
      <c r="C448" s="112" t="s">
        <v>1251</v>
      </c>
      <c r="D448" s="999">
        <v>10</v>
      </c>
      <c r="E448" s="115">
        <v>15</v>
      </c>
      <c r="F448" s="155">
        <f>ROUND(E448*D448,0)</f>
        <v>150</v>
      </c>
      <c r="G448" s="155">
        <f t="shared" si="174"/>
        <v>142</v>
      </c>
      <c r="H448" s="155">
        <f t="shared" si="193"/>
        <v>8</v>
      </c>
      <c r="I448" s="328" t="s">
        <v>1774</v>
      </c>
    </row>
    <row r="449" spans="1:9" ht="26">
      <c r="A449" s="112" t="s">
        <v>1230</v>
      </c>
      <c r="B449" s="148" t="s">
        <v>1254</v>
      </c>
      <c r="C449" s="112"/>
      <c r="D449" s="650"/>
      <c r="E449" s="651"/>
      <c r="F449" s="155">
        <f>SUM(F450:F452)</f>
        <v>90</v>
      </c>
      <c r="G449" s="155">
        <f t="shared" si="174"/>
        <v>85</v>
      </c>
      <c r="H449" s="212">
        <f t="shared" si="193"/>
        <v>5</v>
      </c>
      <c r="I449" s="553"/>
    </row>
    <row r="450" spans="1:9" s="141" customFormat="1" ht="39" hidden="1">
      <c r="A450" s="122"/>
      <c r="B450" s="1008" t="s">
        <v>1255</v>
      </c>
      <c r="C450" s="1009"/>
      <c r="D450" s="999"/>
      <c r="E450" s="115"/>
      <c r="F450" s="155">
        <f>D450*E450</f>
        <v>0</v>
      </c>
      <c r="G450" s="155">
        <f t="shared" si="174"/>
        <v>0</v>
      </c>
      <c r="H450" s="155">
        <f t="shared" si="193"/>
        <v>0</v>
      </c>
      <c r="I450" s="328" t="s">
        <v>1774</v>
      </c>
    </row>
    <row r="451" spans="1:9" s="141" customFormat="1" hidden="1">
      <c r="A451" s="122"/>
      <c r="B451" s="1008" t="s">
        <v>1256</v>
      </c>
      <c r="C451" s="1009"/>
      <c r="D451" s="999"/>
      <c r="E451" s="115"/>
      <c r="F451" s="155">
        <f>D451*E451</f>
        <v>0</v>
      </c>
      <c r="G451" s="155">
        <f t="shared" si="174"/>
        <v>0</v>
      </c>
      <c r="H451" s="155">
        <f t="shared" si="193"/>
        <v>0</v>
      </c>
      <c r="I451" s="328" t="s">
        <v>1774</v>
      </c>
    </row>
    <row r="452" spans="1:9" s="141" customFormat="1" ht="26" hidden="1">
      <c r="A452" s="122"/>
      <c r="B452" s="1008" t="s">
        <v>1257</v>
      </c>
      <c r="C452" s="1009" t="s">
        <v>1034</v>
      </c>
      <c r="D452" s="999">
        <v>3</v>
      </c>
      <c r="E452" s="115">
        <v>30</v>
      </c>
      <c r="F452" s="155">
        <f>D452*E452</f>
        <v>90</v>
      </c>
      <c r="G452" s="155">
        <f t="shared" si="174"/>
        <v>85</v>
      </c>
      <c r="H452" s="155">
        <f t="shared" si="193"/>
        <v>5</v>
      </c>
      <c r="I452" s="328" t="s">
        <v>1774</v>
      </c>
    </row>
    <row r="453" spans="1:9" ht="39">
      <c r="A453" s="119">
        <v>3</v>
      </c>
      <c r="B453" s="222" t="s">
        <v>1258</v>
      </c>
      <c r="C453" s="119"/>
      <c r="D453" s="649"/>
      <c r="E453" s="996"/>
      <c r="F453" s="155">
        <f>+F454+F458+F462+F465</f>
        <v>3203</v>
      </c>
      <c r="G453" s="155">
        <f t="shared" ref="G453:H453" si="194">+G454+G458+G462+G465</f>
        <v>3042</v>
      </c>
      <c r="H453" s="212">
        <f t="shared" si="194"/>
        <v>161</v>
      </c>
      <c r="I453" s="553"/>
    </row>
    <row r="454" spans="1:9" s="141" customFormat="1" hidden="1">
      <c r="A454" s="112" t="s">
        <v>742</v>
      </c>
      <c r="B454" s="148" t="s">
        <v>1259</v>
      </c>
      <c r="C454" s="112"/>
      <c r="D454" s="650"/>
      <c r="E454" s="651"/>
      <c r="F454" s="155">
        <f>SUM(F455:F457)</f>
        <v>2432</v>
      </c>
      <c r="G454" s="155">
        <f t="shared" ref="G454:H454" si="195">SUM(G455:G457)</f>
        <v>2310</v>
      </c>
      <c r="H454" s="155">
        <f t="shared" si="195"/>
        <v>122</v>
      </c>
      <c r="I454" s="328" t="s">
        <v>1774</v>
      </c>
    </row>
    <row r="455" spans="1:9" s="141" customFormat="1" hidden="1">
      <c r="A455" s="124"/>
      <c r="B455" s="148" t="s">
        <v>1277</v>
      </c>
      <c r="C455" s="112" t="s">
        <v>903</v>
      </c>
      <c r="D455" s="999">
        <v>3</v>
      </c>
      <c r="E455" s="997">
        <v>26.2</v>
      </c>
      <c r="F455" s="190">
        <f>ROUND(D455*E455,0)</f>
        <v>79</v>
      </c>
      <c r="G455" s="190">
        <f t="shared" si="174"/>
        <v>75</v>
      </c>
      <c r="H455" s="190">
        <f t="shared" ref="H455:H457" si="196">ROUND(F455*5/100,0)</f>
        <v>4</v>
      </c>
      <c r="I455" s="328" t="s">
        <v>1774</v>
      </c>
    </row>
    <row r="456" spans="1:9" s="141" customFormat="1" ht="39" hidden="1">
      <c r="A456" s="124"/>
      <c r="B456" s="148" t="s">
        <v>1260</v>
      </c>
      <c r="C456" s="112" t="s">
        <v>1261</v>
      </c>
      <c r="D456" s="999">
        <v>61</v>
      </c>
      <c r="E456" s="115">
        <v>13</v>
      </c>
      <c r="F456" s="190">
        <f>ROUND(D456*E456,0)</f>
        <v>793</v>
      </c>
      <c r="G456" s="190">
        <f t="shared" si="174"/>
        <v>753</v>
      </c>
      <c r="H456" s="190">
        <f t="shared" si="196"/>
        <v>40</v>
      </c>
      <c r="I456" s="328" t="s">
        <v>1774</v>
      </c>
    </row>
    <row r="457" spans="1:9" s="141" customFormat="1" ht="39" hidden="1">
      <c r="A457" s="124"/>
      <c r="B457" s="148" t="s">
        <v>1262</v>
      </c>
      <c r="C457" s="112" t="s">
        <v>1261</v>
      </c>
      <c r="D457" s="650">
        <v>120</v>
      </c>
      <c r="E457" s="115">
        <v>13</v>
      </c>
      <c r="F457" s="190">
        <f>ROUND(D457*E457,0)</f>
        <v>1560</v>
      </c>
      <c r="G457" s="190">
        <f t="shared" si="174"/>
        <v>1482</v>
      </c>
      <c r="H457" s="190">
        <f t="shared" si="196"/>
        <v>78</v>
      </c>
      <c r="I457" s="328" t="s">
        <v>1774</v>
      </c>
    </row>
    <row r="458" spans="1:9" s="143" customFormat="1" ht="26" hidden="1">
      <c r="A458" s="112" t="s">
        <v>742</v>
      </c>
      <c r="B458" s="148" t="s">
        <v>1263</v>
      </c>
      <c r="C458" s="112"/>
      <c r="D458" s="650"/>
      <c r="E458" s="651"/>
      <c r="F458" s="155">
        <f>SUM(F459:F461)</f>
        <v>360</v>
      </c>
      <c r="G458" s="155">
        <f t="shared" ref="G458:H458" si="197">SUM(G459:G461)</f>
        <v>342</v>
      </c>
      <c r="H458" s="155">
        <f t="shared" si="197"/>
        <v>18</v>
      </c>
      <c r="I458" s="328" t="s">
        <v>1774</v>
      </c>
    </row>
    <row r="459" spans="1:9" s="141" customFormat="1" ht="39" hidden="1">
      <c r="A459" s="122"/>
      <c r="B459" s="148" t="s">
        <v>2151</v>
      </c>
      <c r="C459" s="112" t="s">
        <v>878</v>
      </c>
      <c r="D459" s="999">
        <v>3</v>
      </c>
      <c r="E459" s="115">
        <v>120</v>
      </c>
      <c r="F459" s="190">
        <f>ROUND(D459*E459,0)</f>
        <v>360</v>
      </c>
      <c r="G459" s="190">
        <f t="shared" si="174"/>
        <v>342</v>
      </c>
      <c r="H459" s="190">
        <f t="shared" ref="H459:H461" si="198">ROUND(F459*5/100,0)</f>
        <v>18</v>
      </c>
      <c r="I459" s="328" t="s">
        <v>1774</v>
      </c>
    </row>
    <row r="460" spans="1:9" s="141" customFormat="1" hidden="1">
      <c r="A460" s="122"/>
      <c r="B460" s="148" t="s">
        <v>1278</v>
      </c>
      <c r="C460" s="112" t="s">
        <v>1265</v>
      </c>
      <c r="D460" s="999"/>
      <c r="E460" s="115"/>
      <c r="F460" s="190">
        <f>ROUND(D460*E460,0)</f>
        <v>0</v>
      </c>
      <c r="G460" s="190">
        <f t="shared" si="174"/>
        <v>0</v>
      </c>
      <c r="H460" s="190">
        <f t="shared" si="198"/>
        <v>0</v>
      </c>
      <c r="I460" s="328" t="s">
        <v>1774</v>
      </c>
    </row>
    <row r="461" spans="1:9" s="140" customFormat="1" ht="18" hidden="1" customHeight="1">
      <c r="A461" s="122"/>
      <c r="B461" s="148" t="s">
        <v>1266</v>
      </c>
      <c r="C461" s="112" t="s">
        <v>1267</v>
      </c>
      <c r="D461" s="999"/>
      <c r="E461" s="115"/>
      <c r="F461" s="190">
        <f>ROUND(D461*E461,0)</f>
        <v>0</v>
      </c>
      <c r="G461" s="190">
        <f t="shared" si="174"/>
        <v>0</v>
      </c>
      <c r="H461" s="190">
        <f t="shared" si="198"/>
        <v>0</v>
      </c>
      <c r="I461" s="328" t="s">
        <v>1774</v>
      </c>
    </row>
    <row r="462" spans="1:9" s="141" customFormat="1" ht="18" hidden="1" customHeight="1">
      <c r="A462" s="112" t="s">
        <v>742</v>
      </c>
      <c r="B462" s="148" t="s">
        <v>1268</v>
      </c>
      <c r="C462" s="112"/>
      <c r="D462" s="650"/>
      <c r="E462" s="651"/>
      <c r="F462" s="155">
        <f>SUM(F463:F464)</f>
        <v>217</v>
      </c>
      <c r="G462" s="155">
        <f t="shared" ref="G462:H462" si="199">SUM(G463:G464)</f>
        <v>206</v>
      </c>
      <c r="H462" s="155">
        <f t="shared" si="199"/>
        <v>11</v>
      </c>
      <c r="I462" s="328" t="s">
        <v>1774</v>
      </c>
    </row>
    <row r="463" spans="1:9" s="141" customFormat="1" ht="18" hidden="1" customHeight="1">
      <c r="A463" s="122"/>
      <c r="B463" s="148" t="s">
        <v>2037</v>
      </c>
      <c r="C463" s="112" t="s">
        <v>1265</v>
      </c>
      <c r="D463" s="999">
        <v>6</v>
      </c>
      <c r="E463" s="998">
        <v>26.2</v>
      </c>
      <c r="F463" s="190">
        <f>ROUND(D463*E463,0)</f>
        <v>157</v>
      </c>
      <c r="G463" s="190">
        <f t="shared" si="174"/>
        <v>149</v>
      </c>
      <c r="H463" s="190">
        <f t="shared" ref="H463:H464" si="200">ROUND(F463*5/100,0)</f>
        <v>8</v>
      </c>
      <c r="I463" s="328" t="s">
        <v>1774</v>
      </c>
    </row>
    <row r="464" spans="1:9" s="143" customFormat="1" hidden="1">
      <c r="A464" s="122"/>
      <c r="B464" s="1016" t="s">
        <v>2533</v>
      </c>
      <c r="C464" s="1017" t="s">
        <v>902</v>
      </c>
      <c r="D464" s="999">
        <v>2</v>
      </c>
      <c r="E464" s="998">
        <v>30</v>
      </c>
      <c r="F464" s="190">
        <f>ROUND(D464*E464,0)</f>
        <v>60</v>
      </c>
      <c r="G464" s="190">
        <f t="shared" si="174"/>
        <v>57</v>
      </c>
      <c r="H464" s="190">
        <f t="shared" si="200"/>
        <v>3</v>
      </c>
      <c r="I464" s="328" t="s">
        <v>1774</v>
      </c>
    </row>
    <row r="465" spans="1:9" s="141" customFormat="1" ht="18" hidden="1" customHeight="1">
      <c r="A465" s="112" t="s">
        <v>742</v>
      </c>
      <c r="B465" s="148" t="s">
        <v>1270</v>
      </c>
      <c r="C465" s="112"/>
      <c r="D465" s="650"/>
      <c r="E465" s="651"/>
      <c r="F465" s="155">
        <f>SUM(F466:F467)</f>
        <v>194</v>
      </c>
      <c r="G465" s="155">
        <f t="shared" ref="G465:H465" si="201">SUM(G466:G467)</f>
        <v>184</v>
      </c>
      <c r="H465" s="155">
        <f t="shared" si="201"/>
        <v>10</v>
      </c>
      <c r="I465" s="328" t="s">
        <v>1774</v>
      </c>
    </row>
    <row r="466" spans="1:9" s="164" customFormat="1" ht="26" hidden="1">
      <c r="A466" s="122"/>
      <c r="B466" s="148" t="s">
        <v>1271</v>
      </c>
      <c r="C466" s="112" t="s">
        <v>903</v>
      </c>
      <c r="D466" s="999"/>
      <c r="E466" s="998"/>
      <c r="F466" s="190">
        <f>ROUND(D466*E466,0)</f>
        <v>0</v>
      </c>
      <c r="G466" s="190">
        <f t="shared" si="174"/>
        <v>0</v>
      </c>
      <c r="H466" s="190">
        <f t="shared" ref="H466:H467" si="202">ROUND(F466*5/100,0)</f>
        <v>0</v>
      </c>
      <c r="I466" s="328" t="s">
        <v>1774</v>
      </c>
    </row>
    <row r="467" spans="1:9" s="164" customFormat="1" ht="26" hidden="1">
      <c r="A467" s="122"/>
      <c r="B467" s="148" t="s">
        <v>1272</v>
      </c>
      <c r="C467" s="112" t="s">
        <v>1014</v>
      </c>
      <c r="D467" s="999">
        <v>2</v>
      </c>
      <c r="E467" s="115">
        <v>97</v>
      </c>
      <c r="F467" s="190">
        <f>ROUND(D467*E467,0)</f>
        <v>194</v>
      </c>
      <c r="G467" s="190">
        <f t="shared" si="174"/>
        <v>184</v>
      </c>
      <c r="H467" s="190">
        <f t="shared" si="202"/>
        <v>10</v>
      </c>
      <c r="I467" s="328" t="s">
        <v>1774</v>
      </c>
    </row>
    <row r="468" spans="1:9" s="102" customFormat="1" ht="39">
      <c r="A468" s="119">
        <v>4</v>
      </c>
      <c r="B468" s="222" t="s">
        <v>1273</v>
      </c>
      <c r="C468" s="119"/>
      <c r="D468" s="649"/>
      <c r="E468" s="996"/>
      <c r="F468" s="155">
        <f>SUM(F469:F472)</f>
        <v>1448</v>
      </c>
      <c r="G468" s="155">
        <f t="shared" ref="G468:H468" si="203">SUM(G469:G472)</f>
        <v>1376</v>
      </c>
      <c r="H468" s="212">
        <f t="shared" si="203"/>
        <v>72</v>
      </c>
      <c r="I468" s="553"/>
    </row>
    <row r="469" spans="1:9" s="141" customFormat="1" ht="26" hidden="1">
      <c r="A469" s="122" t="s">
        <v>742</v>
      </c>
      <c r="B469" s="148" t="s">
        <v>1280</v>
      </c>
      <c r="C469" s="112" t="s">
        <v>903</v>
      </c>
      <c r="D469" s="999">
        <v>39</v>
      </c>
      <c r="E469" s="998">
        <v>36</v>
      </c>
      <c r="F469" s="190">
        <f>ROUND(D469*E469,0)</f>
        <v>1404</v>
      </c>
      <c r="G469" s="190">
        <f t="shared" si="174"/>
        <v>1334</v>
      </c>
      <c r="H469" s="190">
        <f t="shared" ref="H469:H472" si="204">ROUND(F469*5/100,0)</f>
        <v>70</v>
      </c>
      <c r="I469" s="328" t="s">
        <v>1774</v>
      </c>
    </row>
    <row r="470" spans="1:9" s="111" customFormat="1" ht="26" hidden="1">
      <c r="A470" s="112" t="s">
        <v>742</v>
      </c>
      <c r="B470" s="148" t="s">
        <v>1773</v>
      </c>
      <c r="C470" s="112" t="s">
        <v>903</v>
      </c>
      <c r="D470" s="650"/>
      <c r="E470" s="651"/>
      <c r="F470" s="155">
        <f>D470*E470</f>
        <v>0</v>
      </c>
      <c r="G470" s="291">
        <f t="shared" si="174"/>
        <v>0</v>
      </c>
      <c r="H470" s="291">
        <f t="shared" si="204"/>
        <v>0</v>
      </c>
      <c r="I470" s="328" t="s">
        <v>1774</v>
      </c>
    </row>
    <row r="471" spans="1:9" s="141" customFormat="1" hidden="1">
      <c r="A471" s="112" t="s">
        <v>742</v>
      </c>
      <c r="B471" s="148" t="s">
        <v>1282</v>
      </c>
      <c r="C471" s="112"/>
      <c r="D471" s="650"/>
      <c r="E471" s="651"/>
      <c r="F471" s="155">
        <f>D471*E471</f>
        <v>0</v>
      </c>
      <c r="G471" s="291">
        <f t="shared" si="174"/>
        <v>0</v>
      </c>
      <c r="H471" s="291">
        <f t="shared" si="204"/>
        <v>0</v>
      </c>
      <c r="I471" s="328" t="s">
        <v>1774</v>
      </c>
    </row>
    <row r="472" spans="1:9" s="111" customFormat="1" ht="18" hidden="1" customHeight="1">
      <c r="A472" s="112" t="s">
        <v>742</v>
      </c>
      <c r="B472" s="148" t="s">
        <v>1283</v>
      </c>
      <c r="C472" s="112" t="s">
        <v>878</v>
      </c>
      <c r="D472" s="650">
        <v>3</v>
      </c>
      <c r="E472" s="250">
        <v>14.7</v>
      </c>
      <c r="F472" s="155">
        <f>ROUND(D472*E472,0)</f>
        <v>44</v>
      </c>
      <c r="G472" s="291">
        <f t="shared" si="174"/>
        <v>42</v>
      </c>
      <c r="H472" s="291">
        <f t="shared" si="204"/>
        <v>2</v>
      </c>
      <c r="I472" s="328" t="s">
        <v>1774</v>
      </c>
    </row>
    <row r="473" spans="1:9" s="102" customFormat="1" ht="18" customHeight="1">
      <c r="A473" s="108" t="s">
        <v>31</v>
      </c>
      <c r="B473" s="992" t="s">
        <v>15</v>
      </c>
      <c r="C473" s="108"/>
      <c r="D473" s="1004"/>
      <c r="E473" s="1004"/>
      <c r="F473" s="139">
        <f>+F474+F503+F520+F535</f>
        <v>16420</v>
      </c>
      <c r="G473" s="139">
        <f>+G474+G503+G520+G535</f>
        <v>15609</v>
      </c>
      <c r="H473" s="411">
        <f>+H474+H503+H520+H535</f>
        <v>811</v>
      </c>
      <c r="I473" s="553"/>
    </row>
    <row r="474" spans="1:9" s="102" customFormat="1" ht="39">
      <c r="A474" s="119">
        <v>1</v>
      </c>
      <c r="B474" s="222" t="s">
        <v>1214</v>
      </c>
      <c r="C474" s="119"/>
      <c r="D474" s="649"/>
      <c r="E474" s="996"/>
      <c r="F474" s="209">
        <f>+F475+F481+F491+F492</f>
        <v>8609</v>
      </c>
      <c r="G474" s="209">
        <f t="shared" ref="G474:H474" si="205">+G475+G481+G491+G492</f>
        <v>8188</v>
      </c>
      <c r="H474" s="211">
        <f t="shared" si="205"/>
        <v>421</v>
      </c>
      <c r="I474" s="553"/>
    </row>
    <row r="475" spans="1:9" ht="18" customHeight="1">
      <c r="A475" s="112" t="s">
        <v>911</v>
      </c>
      <c r="B475" s="148" t="s">
        <v>1215</v>
      </c>
      <c r="C475" s="112"/>
      <c r="D475" s="650"/>
      <c r="E475" s="651"/>
      <c r="F475" s="155">
        <f>SUM(F476:F480)</f>
        <v>1218</v>
      </c>
      <c r="G475" s="155">
        <f t="shared" ref="G475:H475" si="206">SUM(G476:G480)</f>
        <v>1152</v>
      </c>
      <c r="H475" s="212">
        <f t="shared" si="206"/>
        <v>66</v>
      </c>
      <c r="I475" s="899"/>
    </row>
    <row r="476" spans="1:9" s="141" customFormat="1" ht="26" hidden="1">
      <c r="A476" s="112" t="s">
        <v>742</v>
      </c>
      <c r="B476" s="148" t="s">
        <v>1216</v>
      </c>
      <c r="C476" s="112" t="s">
        <v>838</v>
      </c>
      <c r="D476" s="999"/>
      <c r="E476" s="997">
        <v>7.0000000000000007E-2</v>
      </c>
      <c r="F476" s="155">
        <f>ROUND(D476*E476,0)</f>
        <v>0</v>
      </c>
      <c r="G476" s="155">
        <f>F476-H476</f>
        <v>0</v>
      </c>
      <c r="H476" s="155">
        <f>ROUND(F476*5/100,0)</f>
        <v>0</v>
      </c>
      <c r="I476" s="328" t="s">
        <v>1774</v>
      </c>
    </row>
    <row r="477" spans="1:9" s="111" customFormat="1" hidden="1">
      <c r="A477" s="112" t="s">
        <v>742</v>
      </c>
      <c r="B477" s="148" t="s">
        <v>1217</v>
      </c>
      <c r="C477" s="112" t="s">
        <v>1218</v>
      </c>
      <c r="D477" s="999"/>
      <c r="E477" s="115"/>
      <c r="F477" s="155">
        <f>D477*E477</f>
        <v>0</v>
      </c>
      <c r="G477" s="155">
        <f t="shared" ref="G477:G539" si="207">F477-H477</f>
        <v>0</v>
      </c>
      <c r="H477" s="155">
        <f t="shared" ref="H477:H480" si="208">ROUND(F477*5/100,0)</f>
        <v>0</v>
      </c>
      <c r="I477" s="328" t="s">
        <v>1774</v>
      </c>
    </row>
    <row r="478" spans="1:9" s="111" customFormat="1" hidden="1">
      <c r="A478" s="112" t="s">
        <v>742</v>
      </c>
      <c r="B478" s="148" t="s">
        <v>1219</v>
      </c>
      <c r="C478" s="112" t="s">
        <v>903</v>
      </c>
      <c r="D478" s="999">
        <v>10</v>
      </c>
      <c r="E478" s="998">
        <v>46.3</v>
      </c>
      <c r="F478" s="155">
        <f>ROUND(D478*E478,0)</f>
        <v>463</v>
      </c>
      <c r="G478" s="155">
        <f t="shared" si="207"/>
        <v>440</v>
      </c>
      <c r="H478" s="155">
        <f t="shared" si="208"/>
        <v>23</v>
      </c>
      <c r="I478" s="328" t="s">
        <v>1774</v>
      </c>
    </row>
    <row r="479" spans="1:9" s="111" customFormat="1" ht="26" hidden="1">
      <c r="A479" s="112" t="s">
        <v>742</v>
      </c>
      <c r="B479" s="148" t="s">
        <v>1220</v>
      </c>
      <c r="C479" s="112" t="s">
        <v>1034</v>
      </c>
      <c r="D479" s="999">
        <v>45</v>
      </c>
      <c r="E479" s="115">
        <v>3</v>
      </c>
      <c r="F479" s="190">
        <f>D479*E479</f>
        <v>135</v>
      </c>
      <c r="G479" s="190">
        <f t="shared" si="207"/>
        <v>123</v>
      </c>
      <c r="H479" s="190">
        <f>ROUND(F479*5/100,0)+5</f>
        <v>12</v>
      </c>
      <c r="I479" s="328" t="s">
        <v>1774</v>
      </c>
    </row>
    <row r="480" spans="1:9" s="111" customFormat="1" ht="26" hidden="1">
      <c r="A480" s="112" t="s">
        <v>742</v>
      </c>
      <c r="B480" s="148" t="s">
        <v>2045</v>
      </c>
      <c r="C480" s="112" t="s">
        <v>876</v>
      </c>
      <c r="D480" s="999">
        <v>62</v>
      </c>
      <c r="E480" s="115">
        <v>10</v>
      </c>
      <c r="F480" s="155">
        <f>D480*E480</f>
        <v>620</v>
      </c>
      <c r="G480" s="155">
        <f t="shared" si="207"/>
        <v>589</v>
      </c>
      <c r="H480" s="155">
        <f t="shared" si="208"/>
        <v>31</v>
      </c>
      <c r="I480" s="328" t="s">
        <v>1774</v>
      </c>
    </row>
    <row r="481" spans="1:9" s="102" customFormat="1" ht="26">
      <c r="A481" s="112" t="s">
        <v>915</v>
      </c>
      <c r="B481" s="148" t="s">
        <v>1222</v>
      </c>
      <c r="C481" s="112"/>
      <c r="D481" s="650"/>
      <c r="E481" s="651"/>
      <c r="F481" s="155">
        <f>SUM(F482:F484)</f>
        <v>1052</v>
      </c>
      <c r="G481" s="155">
        <f t="shared" ref="G481:H481" si="209">SUM(G482:G484)</f>
        <v>1008</v>
      </c>
      <c r="H481" s="212">
        <f t="shared" si="209"/>
        <v>44</v>
      </c>
      <c r="I481" s="553"/>
    </row>
    <row r="482" spans="1:9" s="111" customFormat="1" hidden="1">
      <c r="A482" s="122" t="s">
        <v>742</v>
      </c>
      <c r="B482" s="148" t="s">
        <v>1223</v>
      </c>
      <c r="C482" s="112" t="s">
        <v>1226</v>
      </c>
      <c r="D482" s="999">
        <v>135</v>
      </c>
      <c r="E482" s="997">
        <v>0.2</v>
      </c>
      <c r="F482" s="155">
        <f>ROUND(D482*E482,0)</f>
        <v>27</v>
      </c>
      <c r="G482" s="155">
        <f t="shared" si="207"/>
        <v>26</v>
      </c>
      <c r="H482" s="155">
        <f t="shared" ref="H482:H483" si="210">ROUND(F482*5/100,0)</f>
        <v>1</v>
      </c>
      <c r="I482" s="328" t="s">
        <v>1774</v>
      </c>
    </row>
    <row r="483" spans="1:9" s="164" customFormat="1" ht="26" hidden="1">
      <c r="A483" s="122" t="s">
        <v>742</v>
      </c>
      <c r="B483" s="148" t="s">
        <v>1224</v>
      </c>
      <c r="C483" s="112" t="s">
        <v>1034</v>
      </c>
      <c r="D483" s="999">
        <v>155</v>
      </c>
      <c r="E483" s="115">
        <v>3</v>
      </c>
      <c r="F483" s="155">
        <f>D483*E483</f>
        <v>465</v>
      </c>
      <c r="G483" s="155">
        <f>F483-H483</f>
        <v>442</v>
      </c>
      <c r="H483" s="155">
        <f t="shared" si="210"/>
        <v>23</v>
      </c>
      <c r="I483" s="328" t="s">
        <v>1774</v>
      </c>
    </row>
    <row r="484" spans="1:9" s="164" customFormat="1" ht="39" hidden="1">
      <c r="A484" s="122" t="s">
        <v>742</v>
      </c>
      <c r="B484" s="148" t="s">
        <v>1225</v>
      </c>
      <c r="C484" s="112"/>
      <c r="D484" s="999"/>
      <c r="E484" s="115"/>
      <c r="F484" s="155">
        <f>+F485+F486+F487</f>
        <v>560</v>
      </c>
      <c r="G484" s="155">
        <f t="shared" ref="G484:H484" si="211">+G485+G486+G487</f>
        <v>540</v>
      </c>
      <c r="H484" s="155">
        <f t="shared" si="211"/>
        <v>20</v>
      </c>
      <c r="I484" s="328" t="s">
        <v>1774</v>
      </c>
    </row>
    <row r="485" spans="1:9" s="141" customFormat="1" hidden="1">
      <c r="A485" s="122"/>
      <c r="B485" s="148" t="s">
        <v>1983</v>
      </c>
      <c r="C485" s="112" t="s">
        <v>1229</v>
      </c>
      <c r="D485" s="999">
        <v>4</v>
      </c>
      <c r="E485" s="115">
        <v>73</v>
      </c>
      <c r="F485" s="155">
        <f t="shared" ref="F485:F486" si="212">ROUND(D485*E485,0)</f>
        <v>292</v>
      </c>
      <c r="G485" s="155">
        <f>F485-H485</f>
        <v>285</v>
      </c>
      <c r="H485" s="155">
        <v>7</v>
      </c>
      <c r="I485" s="328" t="s">
        <v>1774</v>
      </c>
    </row>
    <row r="486" spans="1:9" s="140" customFormat="1" hidden="1">
      <c r="A486" s="122"/>
      <c r="B486" s="148" t="s">
        <v>1985</v>
      </c>
      <c r="C486" s="112" t="s">
        <v>1229</v>
      </c>
      <c r="D486" s="999">
        <v>4</v>
      </c>
      <c r="E486" s="115">
        <v>67</v>
      </c>
      <c r="F486" s="155">
        <f t="shared" si="212"/>
        <v>268</v>
      </c>
      <c r="G486" s="155">
        <f t="shared" ref="G486:G489" si="213">F486-H486</f>
        <v>255</v>
      </c>
      <c r="H486" s="155">
        <f t="shared" ref="H486" si="214">ROUND(F486*5/100,0)</f>
        <v>13</v>
      </c>
      <c r="I486" s="328" t="s">
        <v>1774</v>
      </c>
    </row>
    <row r="487" spans="1:9" s="143" customFormat="1" hidden="1">
      <c r="A487" s="122"/>
      <c r="B487" s="148" t="s">
        <v>1223</v>
      </c>
      <c r="C487" s="112"/>
      <c r="D487" s="999"/>
      <c r="E487" s="115"/>
      <c r="F487" s="155">
        <f>SUM(F488:F490)</f>
        <v>0</v>
      </c>
      <c r="G487" s="155">
        <f t="shared" ref="G487:H487" si="215">SUM(G488:G490)</f>
        <v>0</v>
      </c>
      <c r="H487" s="155">
        <f t="shared" si="215"/>
        <v>0</v>
      </c>
      <c r="I487" s="328" t="s">
        <v>1774</v>
      </c>
    </row>
    <row r="488" spans="1:9" s="141" customFormat="1" ht="26" hidden="1">
      <c r="A488" s="122"/>
      <c r="B488" s="148" t="s">
        <v>2031</v>
      </c>
      <c r="C488" s="112" t="s">
        <v>1018</v>
      </c>
      <c r="D488" s="999"/>
      <c r="E488" s="115"/>
      <c r="F488" s="155">
        <f>ROUND(D488*E488,0)</f>
        <v>0</v>
      </c>
      <c r="G488" s="155">
        <f>F488-H488</f>
        <v>0</v>
      </c>
      <c r="H488" s="155">
        <f t="shared" ref="H488:H489" si="216">ROUND(F488*5/100,0)</f>
        <v>0</v>
      </c>
      <c r="I488" s="328" t="s">
        <v>1774</v>
      </c>
    </row>
    <row r="489" spans="1:9" s="164" customFormat="1" ht="18" hidden="1" customHeight="1">
      <c r="A489" s="122"/>
      <c r="B489" s="148" t="s">
        <v>2044</v>
      </c>
      <c r="C489" s="112" t="s">
        <v>1018</v>
      </c>
      <c r="D489" s="999"/>
      <c r="E489" s="115">
        <v>0.8</v>
      </c>
      <c r="F489" s="155">
        <f t="shared" ref="F489" si="217">ROUND(D489*E489,0)</f>
        <v>0</v>
      </c>
      <c r="G489" s="155">
        <f t="shared" si="213"/>
        <v>0</v>
      </c>
      <c r="H489" s="155">
        <f t="shared" si="216"/>
        <v>0</v>
      </c>
      <c r="I489" s="328" t="s">
        <v>1774</v>
      </c>
    </row>
    <row r="490" spans="1:9" s="111" customFormat="1" ht="18" hidden="1" customHeight="1">
      <c r="A490" s="122"/>
      <c r="B490" s="148" t="s">
        <v>2033</v>
      </c>
      <c r="C490" s="112" t="s">
        <v>2034</v>
      </c>
      <c r="D490" s="999"/>
      <c r="E490" s="115"/>
      <c r="F490" s="155"/>
      <c r="G490" s="155"/>
      <c r="H490" s="155"/>
      <c r="I490" s="328" t="s">
        <v>1774</v>
      </c>
    </row>
    <row r="491" spans="1:9" s="102" customFormat="1" ht="26">
      <c r="A491" s="112" t="s">
        <v>1227</v>
      </c>
      <c r="B491" s="148" t="s">
        <v>1228</v>
      </c>
      <c r="C491" s="112" t="s">
        <v>1229</v>
      </c>
      <c r="D491" s="650">
        <v>1</v>
      </c>
      <c r="E491" s="163">
        <v>76</v>
      </c>
      <c r="F491" s="291">
        <f>ROUND(D491*E491,0)</f>
        <v>76</v>
      </c>
      <c r="G491" s="291">
        <f t="shared" si="207"/>
        <v>72</v>
      </c>
      <c r="H491" s="1033">
        <f>ROUND(F491*5/100,0)</f>
        <v>4</v>
      </c>
      <c r="I491" s="553"/>
    </row>
    <row r="492" spans="1:9" ht="26">
      <c r="A492" s="112" t="s">
        <v>1230</v>
      </c>
      <c r="B492" s="148" t="s">
        <v>1231</v>
      </c>
      <c r="C492" s="112"/>
      <c r="D492" s="650"/>
      <c r="E492" s="651"/>
      <c r="F492" s="155">
        <f>+F493+F498+F501+F502</f>
        <v>6263</v>
      </c>
      <c r="G492" s="155">
        <f>+G493+G498+G501+G502</f>
        <v>5956</v>
      </c>
      <c r="H492" s="212">
        <f>+H493+H498+H501+H502</f>
        <v>307</v>
      </c>
      <c r="I492" s="899"/>
    </row>
    <row r="493" spans="1:9" s="111" customFormat="1" ht="26" hidden="1">
      <c r="A493" s="122" t="s">
        <v>701</v>
      </c>
      <c r="B493" s="148" t="s">
        <v>1232</v>
      </c>
      <c r="C493" s="112"/>
      <c r="D493" s="999"/>
      <c r="E493" s="115"/>
      <c r="F493" s="291">
        <f>SUM(F494:F497)</f>
        <v>4255</v>
      </c>
      <c r="G493" s="291">
        <f t="shared" ref="G493:H493" si="218">SUM(G494:G497)</f>
        <v>4042</v>
      </c>
      <c r="H493" s="291">
        <f t="shared" si="218"/>
        <v>213</v>
      </c>
      <c r="I493" s="328" t="s">
        <v>1774</v>
      </c>
    </row>
    <row r="494" spans="1:9" s="141" customFormat="1" ht="26" hidden="1">
      <c r="A494" s="122"/>
      <c r="B494" s="154" t="s">
        <v>1233</v>
      </c>
      <c r="C494" s="112" t="s">
        <v>1234</v>
      </c>
      <c r="D494" s="999">
        <v>1850</v>
      </c>
      <c r="E494" s="998">
        <v>0.2</v>
      </c>
      <c r="F494" s="155">
        <f>ROUND(D494*E494,0)</f>
        <v>370</v>
      </c>
      <c r="G494" s="155">
        <f t="shared" si="207"/>
        <v>351</v>
      </c>
      <c r="H494" s="155">
        <f t="shared" ref="H494:H501" si="219">ROUND(F494*5/100,0)</f>
        <v>19</v>
      </c>
      <c r="I494" s="328" t="s">
        <v>1774</v>
      </c>
    </row>
    <row r="495" spans="1:9" s="164" customFormat="1" ht="26" hidden="1">
      <c r="A495" s="122"/>
      <c r="B495" s="154" t="s">
        <v>1235</v>
      </c>
      <c r="C495" s="112" t="s">
        <v>1236</v>
      </c>
      <c r="D495" s="999">
        <v>1850</v>
      </c>
      <c r="E495" s="998">
        <v>0.5</v>
      </c>
      <c r="F495" s="155">
        <f>ROUND(D495*E495,0)</f>
        <v>925</v>
      </c>
      <c r="G495" s="155">
        <f t="shared" si="207"/>
        <v>879</v>
      </c>
      <c r="H495" s="155">
        <f t="shared" si="219"/>
        <v>46</v>
      </c>
      <c r="I495" s="328" t="s">
        <v>1774</v>
      </c>
    </row>
    <row r="496" spans="1:9" s="111" customFormat="1" ht="26" hidden="1">
      <c r="A496" s="122"/>
      <c r="B496" s="154" t="s">
        <v>1237</v>
      </c>
      <c r="C496" s="112" t="s">
        <v>1234</v>
      </c>
      <c r="D496" s="999">
        <v>1850</v>
      </c>
      <c r="E496" s="998">
        <v>0.4</v>
      </c>
      <c r="F496" s="155">
        <f>ROUND(D496*E496,0)</f>
        <v>740</v>
      </c>
      <c r="G496" s="155">
        <f t="shared" si="207"/>
        <v>703</v>
      </c>
      <c r="H496" s="155">
        <f t="shared" si="219"/>
        <v>37</v>
      </c>
      <c r="I496" s="328" t="s">
        <v>1774</v>
      </c>
    </row>
    <row r="497" spans="1:9" s="111" customFormat="1" ht="26" hidden="1">
      <c r="A497" s="122"/>
      <c r="B497" s="154" t="s">
        <v>1238</v>
      </c>
      <c r="C497" s="112" t="s">
        <v>1234</v>
      </c>
      <c r="D497" s="999">
        <v>1850</v>
      </c>
      <c r="E497" s="998">
        <v>1.2</v>
      </c>
      <c r="F497" s="155">
        <f>ROUND(D497*E497,0)</f>
        <v>2220</v>
      </c>
      <c r="G497" s="155">
        <f t="shared" si="207"/>
        <v>2109</v>
      </c>
      <c r="H497" s="155">
        <f t="shared" si="219"/>
        <v>111</v>
      </c>
      <c r="I497" s="328" t="s">
        <v>1774</v>
      </c>
    </row>
    <row r="498" spans="1:9" s="111" customFormat="1" ht="39" hidden="1">
      <c r="A498" s="122" t="s">
        <v>701</v>
      </c>
      <c r="B498" s="148" t="s">
        <v>1274</v>
      </c>
      <c r="C498" s="112" t="s">
        <v>903</v>
      </c>
      <c r="D498" s="999">
        <v>8</v>
      </c>
      <c r="E498" s="998">
        <v>47.4</v>
      </c>
      <c r="F498" s="155">
        <f>ROUND(D498*E498,0)</f>
        <v>379</v>
      </c>
      <c r="G498" s="291">
        <f t="shared" si="207"/>
        <v>360</v>
      </c>
      <c r="H498" s="291">
        <f t="shared" si="219"/>
        <v>19</v>
      </c>
      <c r="I498" s="328" t="s">
        <v>1774</v>
      </c>
    </row>
    <row r="499" spans="1:9" s="111" customFormat="1" ht="26" hidden="1">
      <c r="A499" s="122"/>
      <c r="B499" s="154" t="s">
        <v>1275</v>
      </c>
      <c r="C499" s="112"/>
      <c r="D499" s="999"/>
      <c r="E499" s="115"/>
      <c r="F499" s="155">
        <f>D499*E499</f>
        <v>0</v>
      </c>
      <c r="G499" s="155">
        <f t="shared" si="207"/>
        <v>0</v>
      </c>
      <c r="H499" s="155">
        <f t="shared" si="219"/>
        <v>0</v>
      </c>
      <c r="I499" s="328" t="s">
        <v>1774</v>
      </c>
    </row>
    <row r="500" spans="1:9" s="141" customFormat="1" ht="26" hidden="1">
      <c r="A500" s="122"/>
      <c r="B500" s="154" t="s">
        <v>1276</v>
      </c>
      <c r="C500" s="112" t="s">
        <v>903</v>
      </c>
      <c r="D500" s="999"/>
      <c r="E500" s="115"/>
      <c r="F500" s="155">
        <f>D500*E500</f>
        <v>0</v>
      </c>
      <c r="G500" s="155">
        <f t="shared" si="207"/>
        <v>0</v>
      </c>
      <c r="H500" s="155">
        <f t="shared" si="219"/>
        <v>0</v>
      </c>
      <c r="I500" s="328" t="s">
        <v>1774</v>
      </c>
    </row>
    <row r="501" spans="1:9" s="164" customFormat="1" ht="39" hidden="1">
      <c r="A501" s="112" t="s">
        <v>742</v>
      </c>
      <c r="B501" s="148" t="s">
        <v>1239</v>
      </c>
      <c r="C501" s="112" t="s">
        <v>902</v>
      </c>
      <c r="D501" s="999">
        <v>150</v>
      </c>
      <c r="E501" s="115">
        <v>10</v>
      </c>
      <c r="F501" s="190">
        <f>ROUND(D501*E501,0)</f>
        <v>1500</v>
      </c>
      <c r="G501" s="190">
        <f t="shared" si="207"/>
        <v>1425</v>
      </c>
      <c r="H501" s="190">
        <f t="shared" si="219"/>
        <v>75</v>
      </c>
      <c r="I501" s="328" t="s">
        <v>1774</v>
      </c>
    </row>
    <row r="502" spans="1:9" s="164" customFormat="1" ht="18" hidden="1" customHeight="1">
      <c r="A502" s="112" t="s">
        <v>742</v>
      </c>
      <c r="B502" s="148" t="s">
        <v>1240</v>
      </c>
      <c r="C502" s="112" t="s">
        <v>1147</v>
      </c>
      <c r="D502" s="999">
        <v>17</v>
      </c>
      <c r="E502" s="998">
        <v>7.6</v>
      </c>
      <c r="F502" s="190">
        <f>ROUND(D502*E502,0)</f>
        <v>129</v>
      </c>
      <c r="G502" s="190">
        <f t="shared" si="207"/>
        <v>129</v>
      </c>
      <c r="H502" s="190"/>
      <c r="I502" s="328" t="s">
        <v>1774</v>
      </c>
    </row>
    <row r="503" spans="1:9" s="102" customFormat="1" ht="39">
      <c r="A503" s="119">
        <v>2</v>
      </c>
      <c r="B503" s="222" t="s">
        <v>1241</v>
      </c>
      <c r="C503" s="119"/>
      <c r="D503" s="649"/>
      <c r="E503" s="996"/>
      <c r="F503" s="155">
        <f>+F504+F508+F510+F516</f>
        <v>1918</v>
      </c>
      <c r="G503" s="155">
        <f t="shared" ref="G503:H503" si="220">+G504+G508+G510+G516</f>
        <v>1820</v>
      </c>
      <c r="H503" s="212">
        <f t="shared" si="220"/>
        <v>98</v>
      </c>
      <c r="I503" s="553"/>
    </row>
    <row r="504" spans="1:9" s="333" customFormat="1" ht="26">
      <c r="A504" s="112" t="s">
        <v>911</v>
      </c>
      <c r="B504" s="148" t="s">
        <v>1242</v>
      </c>
      <c r="C504" s="112"/>
      <c r="D504" s="650"/>
      <c r="E504" s="651"/>
      <c r="F504" s="155">
        <f>SUM(F505:F507)</f>
        <v>1318</v>
      </c>
      <c r="G504" s="155">
        <f t="shared" ref="G504:H504" si="221">SUM(G505:G507)</f>
        <v>1252</v>
      </c>
      <c r="H504" s="212">
        <f t="shared" si="221"/>
        <v>66</v>
      </c>
      <c r="I504" s="723"/>
    </row>
    <row r="505" spans="1:9" s="141" customFormat="1" hidden="1">
      <c r="A505" s="122"/>
      <c r="B505" s="221" t="s">
        <v>1243</v>
      </c>
      <c r="C505" s="112" t="s">
        <v>838</v>
      </c>
      <c r="D505" s="999"/>
      <c r="E505" s="997">
        <v>0.05</v>
      </c>
      <c r="F505" s="291">
        <f>ROUND(E505*D505,0)</f>
        <v>0</v>
      </c>
      <c r="G505" s="291">
        <f t="shared" si="207"/>
        <v>0</v>
      </c>
      <c r="H505" s="291">
        <f t="shared" ref="H505:H509" si="222">ROUND(F505*5/100,0)</f>
        <v>0</v>
      </c>
      <c r="I505" s="328" t="s">
        <v>1774</v>
      </c>
    </row>
    <row r="506" spans="1:9" s="140" customFormat="1" ht="18" hidden="1" customHeight="1">
      <c r="A506" s="122"/>
      <c r="B506" s="148" t="s">
        <v>2376</v>
      </c>
      <c r="C506" s="112" t="s">
        <v>903</v>
      </c>
      <c r="D506" s="999">
        <v>23</v>
      </c>
      <c r="E506" s="998">
        <v>47.4</v>
      </c>
      <c r="F506" s="291">
        <f>ROUND(E506*D506,0)</f>
        <v>1090</v>
      </c>
      <c r="G506" s="291">
        <f t="shared" si="207"/>
        <v>1035</v>
      </c>
      <c r="H506" s="291">
        <f t="shared" si="222"/>
        <v>55</v>
      </c>
      <c r="I506" s="328" t="s">
        <v>1774</v>
      </c>
    </row>
    <row r="507" spans="1:9" s="141" customFormat="1" ht="26" hidden="1">
      <c r="A507" s="122"/>
      <c r="B507" s="148" t="s">
        <v>1244</v>
      </c>
      <c r="C507" s="112" t="s">
        <v>1245</v>
      </c>
      <c r="D507" s="999">
        <v>152</v>
      </c>
      <c r="E507" s="998">
        <v>1.5</v>
      </c>
      <c r="F507" s="291">
        <f>ROUND(E507*D507,0)</f>
        <v>228</v>
      </c>
      <c r="G507" s="291">
        <f t="shared" si="207"/>
        <v>217</v>
      </c>
      <c r="H507" s="291">
        <f t="shared" si="222"/>
        <v>11</v>
      </c>
      <c r="I507" s="328" t="s">
        <v>1774</v>
      </c>
    </row>
    <row r="508" spans="1:9" ht="26">
      <c r="A508" s="112" t="s">
        <v>915</v>
      </c>
      <c r="B508" s="148" t="s">
        <v>1246</v>
      </c>
      <c r="C508" s="112"/>
      <c r="D508" s="650"/>
      <c r="E508" s="651"/>
      <c r="F508" s="155">
        <f>+F509</f>
        <v>300</v>
      </c>
      <c r="G508" s="155">
        <f t="shared" si="207"/>
        <v>285</v>
      </c>
      <c r="H508" s="212">
        <f t="shared" si="222"/>
        <v>15</v>
      </c>
      <c r="I508" s="553"/>
    </row>
    <row r="509" spans="1:9" s="141" customFormat="1" ht="39" hidden="1">
      <c r="A509" s="122"/>
      <c r="B509" s="148" t="s">
        <v>1247</v>
      </c>
      <c r="C509" s="112" t="s">
        <v>1034</v>
      </c>
      <c r="D509" s="999">
        <v>3</v>
      </c>
      <c r="E509" s="115">
        <v>100</v>
      </c>
      <c r="F509" s="155">
        <f>D509*E509</f>
        <v>300</v>
      </c>
      <c r="G509" s="155">
        <f t="shared" si="207"/>
        <v>285</v>
      </c>
      <c r="H509" s="155">
        <f t="shared" si="222"/>
        <v>15</v>
      </c>
      <c r="I509" s="328" t="s">
        <v>1774</v>
      </c>
    </row>
    <row r="510" spans="1:9" ht="26">
      <c r="A510" s="112" t="s">
        <v>1227</v>
      </c>
      <c r="B510" s="148" t="s">
        <v>1248</v>
      </c>
      <c r="C510" s="112"/>
      <c r="D510" s="650"/>
      <c r="E510" s="651"/>
      <c r="F510" s="155">
        <f t="shared" ref="F510:H510" si="223">+F511+F512+F515</f>
        <v>270</v>
      </c>
      <c r="G510" s="155">
        <f t="shared" si="223"/>
        <v>255</v>
      </c>
      <c r="H510" s="212">
        <f t="shared" si="223"/>
        <v>15</v>
      </c>
      <c r="I510" s="553"/>
    </row>
    <row r="511" spans="1:9" s="141" customFormat="1" ht="26" hidden="1">
      <c r="A511" s="122" t="s">
        <v>742</v>
      </c>
      <c r="B511" s="148" t="s">
        <v>1216</v>
      </c>
      <c r="C511" s="112"/>
      <c r="D511" s="999"/>
      <c r="E511" s="997"/>
      <c r="F511" s="155">
        <f>ROUND(E511*D511,0)</f>
        <v>0</v>
      </c>
      <c r="G511" s="155">
        <f t="shared" si="207"/>
        <v>0</v>
      </c>
      <c r="H511" s="155">
        <f t="shared" ref="H511" si="224">ROUND(F511*5/100,0)</f>
        <v>0</v>
      </c>
      <c r="I511" s="328" t="s">
        <v>1774</v>
      </c>
    </row>
    <row r="512" spans="1:9" s="141" customFormat="1" ht="26" hidden="1">
      <c r="A512" s="122" t="s">
        <v>742</v>
      </c>
      <c r="B512" s="148" t="s">
        <v>1249</v>
      </c>
      <c r="C512" s="112"/>
      <c r="D512" s="999"/>
      <c r="E512" s="115"/>
      <c r="F512" s="291">
        <f t="shared" ref="F512:H512" si="225">+F513+F514</f>
        <v>180</v>
      </c>
      <c r="G512" s="291">
        <f t="shared" si="225"/>
        <v>170</v>
      </c>
      <c r="H512" s="291">
        <f t="shared" si="225"/>
        <v>10</v>
      </c>
      <c r="I512" s="328" t="s">
        <v>1774</v>
      </c>
    </row>
    <row r="513" spans="1:9" s="141" customFormat="1" ht="26" hidden="1">
      <c r="A513" s="122"/>
      <c r="B513" s="222" t="s">
        <v>1250</v>
      </c>
      <c r="C513" s="112" t="s">
        <v>1251</v>
      </c>
      <c r="D513" s="999">
        <v>30</v>
      </c>
      <c r="E513" s="115">
        <v>3</v>
      </c>
      <c r="F513" s="155">
        <f>ROUND(E513*D513,0)</f>
        <v>90</v>
      </c>
      <c r="G513" s="155">
        <f t="shared" si="207"/>
        <v>85</v>
      </c>
      <c r="H513" s="155">
        <f t="shared" ref="H513:H519" si="226">ROUND(F513*5/100,0)</f>
        <v>5</v>
      </c>
      <c r="I513" s="328" t="s">
        <v>1774</v>
      </c>
    </row>
    <row r="514" spans="1:9" s="141" customFormat="1" ht="39" hidden="1">
      <c r="A514" s="122"/>
      <c r="B514" s="222" t="s">
        <v>1252</v>
      </c>
      <c r="C514" s="112" t="s">
        <v>1251</v>
      </c>
      <c r="D514" s="999">
        <v>30</v>
      </c>
      <c r="E514" s="115">
        <v>3</v>
      </c>
      <c r="F514" s="155">
        <f>ROUND(E514*D514,0)</f>
        <v>90</v>
      </c>
      <c r="G514" s="155">
        <f t="shared" si="207"/>
        <v>85</v>
      </c>
      <c r="H514" s="155">
        <f t="shared" si="226"/>
        <v>5</v>
      </c>
      <c r="I514" s="328" t="s">
        <v>1774</v>
      </c>
    </row>
    <row r="515" spans="1:9" s="141" customFormat="1" ht="26" hidden="1">
      <c r="A515" s="122" t="s">
        <v>742</v>
      </c>
      <c r="B515" s="148" t="s">
        <v>1253</v>
      </c>
      <c r="C515" s="112" t="s">
        <v>1251</v>
      </c>
      <c r="D515" s="999">
        <v>6</v>
      </c>
      <c r="E515" s="115">
        <v>15</v>
      </c>
      <c r="F515" s="155">
        <f>ROUND(E515*D515,0)</f>
        <v>90</v>
      </c>
      <c r="G515" s="155">
        <f t="shared" si="207"/>
        <v>85</v>
      </c>
      <c r="H515" s="155">
        <f t="shared" si="226"/>
        <v>5</v>
      </c>
      <c r="I515" s="328" t="s">
        <v>1774</v>
      </c>
    </row>
    <row r="516" spans="1:9" ht="26">
      <c r="A516" s="112" t="s">
        <v>1230</v>
      </c>
      <c r="B516" s="148" t="s">
        <v>1254</v>
      </c>
      <c r="C516" s="112"/>
      <c r="D516" s="650"/>
      <c r="E516" s="651"/>
      <c r="F516" s="155">
        <f>SUM(F517:F519)</f>
        <v>30</v>
      </c>
      <c r="G516" s="155">
        <f t="shared" si="207"/>
        <v>28</v>
      </c>
      <c r="H516" s="212">
        <f t="shared" si="226"/>
        <v>2</v>
      </c>
      <c r="I516" s="553"/>
    </row>
    <row r="517" spans="1:9" s="141" customFormat="1" ht="39" hidden="1">
      <c r="A517" s="122"/>
      <c r="B517" s="1008" t="s">
        <v>1255</v>
      </c>
      <c r="C517" s="1009"/>
      <c r="D517" s="999"/>
      <c r="E517" s="115"/>
      <c r="F517" s="155">
        <f>D517*E517</f>
        <v>0</v>
      </c>
      <c r="G517" s="155">
        <f t="shared" si="207"/>
        <v>0</v>
      </c>
      <c r="H517" s="155">
        <f t="shared" si="226"/>
        <v>0</v>
      </c>
      <c r="I517" s="328" t="s">
        <v>1774</v>
      </c>
    </row>
    <row r="518" spans="1:9" s="141" customFormat="1" hidden="1">
      <c r="A518" s="122"/>
      <c r="B518" s="1008" t="s">
        <v>1256</v>
      </c>
      <c r="C518" s="1009"/>
      <c r="D518" s="999"/>
      <c r="E518" s="115"/>
      <c r="F518" s="155">
        <f>D518*E518</f>
        <v>0</v>
      </c>
      <c r="G518" s="155">
        <f t="shared" si="207"/>
        <v>0</v>
      </c>
      <c r="H518" s="155">
        <f t="shared" si="226"/>
        <v>0</v>
      </c>
      <c r="I518" s="328" t="s">
        <v>1774</v>
      </c>
    </row>
    <row r="519" spans="1:9" s="141" customFormat="1" ht="26" hidden="1">
      <c r="A519" s="122"/>
      <c r="B519" s="1008" t="s">
        <v>1257</v>
      </c>
      <c r="C519" s="1009" t="s">
        <v>1034</v>
      </c>
      <c r="D519" s="999">
        <v>1</v>
      </c>
      <c r="E519" s="115">
        <v>30</v>
      </c>
      <c r="F519" s="155">
        <f>D519*E519</f>
        <v>30</v>
      </c>
      <c r="G519" s="155">
        <f t="shared" si="207"/>
        <v>28</v>
      </c>
      <c r="H519" s="155">
        <f t="shared" si="226"/>
        <v>2</v>
      </c>
      <c r="I519" s="328" t="s">
        <v>1774</v>
      </c>
    </row>
    <row r="520" spans="1:9" ht="39">
      <c r="A520" s="119">
        <v>3</v>
      </c>
      <c r="B520" s="222" t="s">
        <v>1258</v>
      </c>
      <c r="C520" s="119"/>
      <c r="D520" s="649"/>
      <c r="E520" s="996"/>
      <c r="F520" s="155">
        <f>+F521+F525+F529+F532</f>
        <v>3905</v>
      </c>
      <c r="G520" s="155">
        <f>+G521+G525+G529+G532</f>
        <v>3712</v>
      </c>
      <c r="H520" s="212">
        <f t="shared" ref="H520" si="227">+H521+H525+H529+H532</f>
        <v>193</v>
      </c>
      <c r="I520" s="553"/>
    </row>
    <row r="521" spans="1:9" s="141" customFormat="1" hidden="1">
      <c r="A521" s="112" t="s">
        <v>742</v>
      </c>
      <c r="B521" s="148" t="s">
        <v>1259</v>
      </c>
      <c r="C521" s="112"/>
      <c r="D521" s="650"/>
      <c r="E521" s="651"/>
      <c r="F521" s="155">
        <f>SUM(F522:F524)</f>
        <v>3134</v>
      </c>
      <c r="G521" s="155">
        <f t="shared" ref="G521:H521" si="228">SUM(G522:G524)</f>
        <v>2977</v>
      </c>
      <c r="H521" s="155">
        <f t="shared" si="228"/>
        <v>157</v>
      </c>
      <c r="I521" s="328" t="s">
        <v>1774</v>
      </c>
    </row>
    <row r="522" spans="1:9" s="141" customFormat="1" hidden="1">
      <c r="A522" s="124"/>
      <c r="B522" s="148" t="s">
        <v>1277</v>
      </c>
      <c r="C522" s="112" t="s">
        <v>903</v>
      </c>
      <c r="D522" s="999">
        <v>7</v>
      </c>
      <c r="E522" s="115">
        <v>26.2</v>
      </c>
      <c r="F522" s="190">
        <f>ROUND(D522*E522,0)</f>
        <v>183</v>
      </c>
      <c r="G522" s="190">
        <f t="shared" si="207"/>
        <v>174</v>
      </c>
      <c r="H522" s="190">
        <f t="shared" ref="H522:H524" si="229">ROUND(F522*5/100,0)</f>
        <v>9</v>
      </c>
      <c r="I522" s="328" t="s">
        <v>1774</v>
      </c>
    </row>
    <row r="523" spans="1:9" s="141" customFormat="1" ht="39" hidden="1">
      <c r="A523" s="124"/>
      <c r="B523" s="148" t="s">
        <v>1260</v>
      </c>
      <c r="C523" s="112" t="s">
        <v>1261</v>
      </c>
      <c r="D523" s="999">
        <v>47</v>
      </c>
      <c r="E523" s="115">
        <v>13</v>
      </c>
      <c r="F523" s="190">
        <f>ROUND(D523*E523,0)</f>
        <v>611</v>
      </c>
      <c r="G523" s="190">
        <f t="shared" si="207"/>
        <v>580</v>
      </c>
      <c r="H523" s="190">
        <f t="shared" si="229"/>
        <v>31</v>
      </c>
      <c r="I523" s="328" t="s">
        <v>1774</v>
      </c>
    </row>
    <row r="524" spans="1:9" s="141" customFormat="1" ht="39" hidden="1">
      <c r="A524" s="124"/>
      <c r="B524" s="148" t="s">
        <v>1262</v>
      </c>
      <c r="C524" s="112" t="s">
        <v>1261</v>
      </c>
      <c r="D524" s="650">
        <v>180</v>
      </c>
      <c r="E524" s="115">
        <v>13</v>
      </c>
      <c r="F524" s="190">
        <f>ROUND(D524*E524,0)</f>
        <v>2340</v>
      </c>
      <c r="G524" s="190">
        <f t="shared" si="207"/>
        <v>2223</v>
      </c>
      <c r="H524" s="190">
        <f t="shared" si="229"/>
        <v>117</v>
      </c>
      <c r="I524" s="328" t="s">
        <v>1774</v>
      </c>
    </row>
    <row r="525" spans="1:9" s="141" customFormat="1" ht="26" hidden="1">
      <c r="A525" s="112" t="s">
        <v>742</v>
      </c>
      <c r="B525" s="148" t="s">
        <v>1263</v>
      </c>
      <c r="C525" s="112"/>
      <c r="D525" s="650"/>
      <c r="E525" s="651"/>
      <c r="F525" s="155">
        <f>SUM(F526:F528)</f>
        <v>360</v>
      </c>
      <c r="G525" s="155">
        <f t="shared" ref="G525:H525" si="230">SUM(G526:G528)</f>
        <v>342</v>
      </c>
      <c r="H525" s="155">
        <f t="shared" si="230"/>
        <v>18</v>
      </c>
      <c r="I525" s="328" t="s">
        <v>1774</v>
      </c>
    </row>
    <row r="526" spans="1:9" s="141" customFormat="1" ht="39" hidden="1">
      <c r="A526" s="122"/>
      <c r="B526" s="148" t="s">
        <v>2151</v>
      </c>
      <c r="C526" s="112" t="s">
        <v>878</v>
      </c>
      <c r="D526" s="999">
        <v>3</v>
      </c>
      <c r="E526" s="997">
        <v>120</v>
      </c>
      <c r="F526" s="190">
        <f>ROUND(D526*E526,0)</f>
        <v>360</v>
      </c>
      <c r="G526" s="190">
        <f t="shared" si="207"/>
        <v>342</v>
      </c>
      <c r="H526" s="190">
        <f t="shared" ref="H526:H528" si="231">ROUND(F526*5/100,0)</f>
        <v>18</v>
      </c>
      <c r="I526" s="328" t="s">
        <v>1774</v>
      </c>
    </row>
    <row r="527" spans="1:9" s="141" customFormat="1" hidden="1">
      <c r="A527" s="122"/>
      <c r="B527" s="148" t="s">
        <v>1278</v>
      </c>
      <c r="C527" s="112" t="s">
        <v>1265</v>
      </c>
      <c r="D527" s="999"/>
      <c r="E527" s="115"/>
      <c r="F527" s="190">
        <f>ROUND(D527*E527,0)</f>
        <v>0</v>
      </c>
      <c r="G527" s="190">
        <f t="shared" si="207"/>
        <v>0</v>
      </c>
      <c r="H527" s="190">
        <f t="shared" si="231"/>
        <v>0</v>
      </c>
      <c r="I527" s="328" t="s">
        <v>1774</v>
      </c>
    </row>
    <row r="528" spans="1:9" s="141" customFormat="1" ht="26" hidden="1">
      <c r="A528" s="122"/>
      <c r="B528" s="148" t="s">
        <v>1266</v>
      </c>
      <c r="C528" s="112" t="s">
        <v>1267</v>
      </c>
      <c r="D528" s="999"/>
      <c r="E528" s="115"/>
      <c r="F528" s="190">
        <f>ROUND(D528*E528,0)</f>
        <v>0</v>
      </c>
      <c r="G528" s="190">
        <f t="shared" si="207"/>
        <v>0</v>
      </c>
      <c r="H528" s="190">
        <f t="shared" si="231"/>
        <v>0</v>
      </c>
      <c r="I528" s="328" t="s">
        <v>1774</v>
      </c>
    </row>
    <row r="529" spans="1:9" s="141" customFormat="1" hidden="1">
      <c r="A529" s="112" t="s">
        <v>742</v>
      </c>
      <c r="B529" s="148" t="s">
        <v>1268</v>
      </c>
      <c r="C529" s="112"/>
      <c r="D529" s="650"/>
      <c r="E529" s="651"/>
      <c r="F529" s="155">
        <f>SUM(F530:F531)</f>
        <v>217</v>
      </c>
      <c r="G529" s="155">
        <f t="shared" ref="G529:H529" si="232">SUM(G530:G531)</f>
        <v>206</v>
      </c>
      <c r="H529" s="155">
        <f t="shared" si="232"/>
        <v>11</v>
      </c>
      <c r="I529" s="328" t="s">
        <v>1774</v>
      </c>
    </row>
    <row r="530" spans="1:9" s="141" customFormat="1" hidden="1">
      <c r="A530" s="122"/>
      <c r="B530" s="148" t="s">
        <v>2037</v>
      </c>
      <c r="C530" s="112" t="s">
        <v>1265</v>
      </c>
      <c r="D530" s="999">
        <v>6</v>
      </c>
      <c r="E530" s="998">
        <v>26.2</v>
      </c>
      <c r="F530" s="190">
        <f>ROUND(D530*E530,0)</f>
        <v>157</v>
      </c>
      <c r="G530" s="190">
        <f t="shared" si="207"/>
        <v>149</v>
      </c>
      <c r="H530" s="190">
        <f t="shared" ref="H530:H531" si="233">ROUND(F530*5/100,0)</f>
        <v>8</v>
      </c>
      <c r="I530" s="328" t="s">
        <v>1774</v>
      </c>
    </row>
    <row r="531" spans="1:9" s="141" customFormat="1" hidden="1">
      <c r="A531" s="122"/>
      <c r="B531" s="1016" t="s">
        <v>2533</v>
      </c>
      <c r="C531" s="1017" t="s">
        <v>902</v>
      </c>
      <c r="D531" s="999">
        <v>2</v>
      </c>
      <c r="E531" s="998">
        <v>30</v>
      </c>
      <c r="F531" s="190">
        <f>ROUND(D531*E531,0)</f>
        <v>60</v>
      </c>
      <c r="G531" s="190">
        <f t="shared" si="207"/>
        <v>57</v>
      </c>
      <c r="H531" s="190">
        <f t="shared" si="233"/>
        <v>3</v>
      </c>
      <c r="I531" s="328" t="s">
        <v>1774</v>
      </c>
    </row>
    <row r="532" spans="1:9" s="141" customFormat="1" ht="26" hidden="1">
      <c r="A532" s="112" t="s">
        <v>742</v>
      </c>
      <c r="B532" s="148" t="s">
        <v>1270</v>
      </c>
      <c r="C532" s="112"/>
      <c r="D532" s="650"/>
      <c r="E532" s="651"/>
      <c r="F532" s="155">
        <f>SUM(F533:F534)</f>
        <v>194</v>
      </c>
      <c r="G532" s="155">
        <f t="shared" ref="G532:H532" si="234">SUM(G533:G534)</f>
        <v>187</v>
      </c>
      <c r="H532" s="155">
        <f t="shared" si="234"/>
        <v>7</v>
      </c>
      <c r="I532" s="328" t="s">
        <v>1774</v>
      </c>
    </row>
    <row r="533" spans="1:9" s="141" customFormat="1" ht="26" hidden="1">
      <c r="A533" s="122"/>
      <c r="B533" s="148" t="s">
        <v>1271</v>
      </c>
      <c r="C533" s="112" t="s">
        <v>903</v>
      </c>
      <c r="D533" s="999"/>
      <c r="E533" s="998"/>
      <c r="F533" s="190">
        <f>ROUND(D533*E533,0)</f>
        <v>0</v>
      </c>
      <c r="G533" s="190">
        <f t="shared" si="207"/>
        <v>0</v>
      </c>
      <c r="H533" s="190">
        <f t="shared" ref="H533" si="235">ROUND(F533*5/100,0)</f>
        <v>0</v>
      </c>
      <c r="I533" s="328" t="s">
        <v>1774</v>
      </c>
    </row>
    <row r="534" spans="1:9" s="141" customFormat="1" ht="26" hidden="1">
      <c r="A534" s="122"/>
      <c r="B534" s="148" t="s">
        <v>1272</v>
      </c>
      <c r="C534" s="112" t="s">
        <v>1014</v>
      </c>
      <c r="D534" s="999">
        <v>2</v>
      </c>
      <c r="E534" s="115">
        <v>97</v>
      </c>
      <c r="F534" s="190">
        <f>ROUND(D534*E534,0)</f>
        <v>194</v>
      </c>
      <c r="G534" s="190">
        <f>F534-H534</f>
        <v>187</v>
      </c>
      <c r="H534" s="190">
        <f>ROUND(F534*5/100,0)-3</f>
        <v>7</v>
      </c>
      <c r="I534" s="328" t="s">
        <v>1774</v>
      </c>
    </row>
    <row r="535" spans="1:9" ht="39">
      <c r="A535" s="119">
        <v>4</v>
      </c>
      <c r="B535" s="222" t="s">
        <v>1273</v>
      </c>
      <c r="C535" s="119"/>
      <c r="D535" s="649"/>
      <c r="E535" s="996"/>
      <c r="F535" s="155">
        <f>SUM(F536:F539)</f>
        <v>1988</v>
      </c>
      <c r="G535" s="155">
        <f>SUM(G536:G539)</f>
        <v>1889</v>
      </c>
      <c r="H535" s="212">
        <f t="shared" ref="H535" si="236">SUM(H536:H539)</f>
        <v>99</v>
      </c>
      <c r="I535" s="553"/>
    </row>
    <row r="536" spans="1:9" s="141" customFormat="1" ht="26" hidden="1">
      <c r="A536" s="122" t="s">
        <v>742</v>
      </c>
      <c r="B536" s="148" t="s">
        <v>1280</v>
      </c>
      <c r="C536" s="112" t="s">
        <v>903</v>
      </c>
      <c r="D536" s="999">
        <v>54</v>
      </c>
      <c r="E536" s="115">
        <v>36</v>
      </c>
      <c r="F536" s="190">
        <f>ROUND(D536*E536,0)</f>
        <v>1944</v>
      </c>
      <c r="G536" s="190">
        <f t="shared" si="207"/>
        <v>1847</v>
      </c>
      <c r="H536" s="190">
        <f t="shared" ref="H536:H539" si="237">ROUND(F536*5/100,0)</f>
        <v>97</v>
      </c>
      <c r="I536" s="328" t="s">
        <v>1774</v>
      </c>
    </row>
    <row r="537" spans="1:9" s="141" customFormat="1" ht="26" hidden="1">
      <c r="A537" s="112" t="s">
        <v>742</v>
      </c>
      <c r="B537" s="148" t="s">
        <v>1773</v>
      </c>
      <c r="C537" s="112" t="s">
        <v>903</v>
      </c>
      <c r="D537" s="650"/>
      <c r="E537" s="163"/>
      <c r="F537" s="155">
        <f>D537*E537</f>
        <v>0</v>
      </c>
      <c r="G537" s="291">
        <f t="shared" si="207"/>
        <v>0</v>
      </c>
      <c r="H537" s="291">
        <f t="shared" si="237"/>
        <v>0</v>
      </c>
      <c r="I537" s="328" t="s">
        <v>1774</v>
      </c>
    </row>
    <row r="538" spans="1:9" s="141" customFormat="1" hidden="1">
      <c r="A538" s="112" t="s">
        <v>742</v>
      </c>
      <c r="B538" s="148" t="s">
        <v>1282</v>
      </c>
      <c r="C538" s="112"/>
      <c r="D538" s="650"/>
      <c r="E538" s="651"/>
      <c r="F538" s="155">
        <f>D538*E538</f>
        <v>0</v>
      </c>
      <c r="G538" s="291">
        <f t="shared" si="207"/>
        <v>0</v>
      </c>
      <c r="H538" s="291">
        <f t="shared" si="237"/>
        <v>0</v>
      </c>
      <c r="I538" s="328" t="s">
        <v>1774</v>
      </c>
    </row>
    <row r="539" spans="1:9" s="141" customFormat="1" hidden="1">
      <c r="A539" s="112" t="s">
        <v>742</v>
      </c>
      <c r="B539" s="148" t="s">
        <v>1283</v>
      </c>
      <c r="C539" s="112" t="s">
        <v>878</v>
      </c>
      <c r="D539" s="650">
        <v>3</v>
      </c>
      <c r="E539" s="250">
        <v>14.7</v>
      </c>
      <c r="F539" s="155">
        <f>ROUND(D539*E539,0)</f>
        <v>44</v>
      </c>
      <c r="G539" s="291">
        <f t="shared" si="207"/>
        <v>42</v>
      </c>
      <c r="H539" s="291">
        <f t="shared" si="237"/>
        <v>2</v>
      </c>
      <c r="I539" s="328" t="s">
        <v>1774</v>
      </c>
    </row>
    <row r="540" spans="1:9" ht="18" customHeight="1">
      <c r="A540" s="108" t="s">
        <v>80</v>
      </c>
      <c r="B540" s="992" t="s">
        <v>13</v>
      </c>
      <c r="C540" s="108"/>
      <c r="D540" s="1004"/>
      <c r="E540" s="1004"/>
      <c r="F540" s="139">
        <f>+F541+F570+F587+F602</f>
        <v>6691</v>
      </c>
      <c r="G540" s="139">
        <f>+G541+G570+G587+G602</f>
        <v>6359</v>
      </c>
      <c r="H540" s="411">
        <f>+H541+H570+H587+H602</f>
        <v>332</v>
      </c>
      <c r="I540" s="553"/>
    </row>
    <row r="541" spans="1:9" ht="39">
      <c r="A541" s="119">
        <v>1</v>
      </c>
      <c r="B541" s="222" t="s">
        <v>1214</v>
      </c>
      <c r="C541" s="119"/>
      <c r="D541" s="649"/>
      <c r="E541" s="996"/>
      <c r="F541" s="209">
        <f>+F542+F548+F558+F559</f>
        <v>3230</v>
      </c>
      <c r="G541" s="209">
        <f t="shared" ref="G541:H541" si="238">+G542+G548+G558+G559</f>
        <v>3073</v>
      </c>
      <c r="H541" s="211">
        <f t="shared" si="238"/>
        <v>157</v>
      </c>
      <c r="I541" s="553"/>
    </row>
    <row r="542" spans="1:9" ht="18" customHeight="1">
      <c r="A542" s="112" t="s">
        <v>911</v>
      </c>
      <c r="B542" s="148" t="s">
        <v>1215</v>
      </c>
      <c r="C542" s="112"/>
      <c r="D542" s="650"/>
      <c r="E542" s="651"/>
      <c r="F542" s="155">
        <f>SUM(F543:F547)</f>
        <v>435</v>
      </c>
      <c r="G542" s="155">
        <f t="shared" ref="G542:H542" si="239">SUM(G543:G547)</f>
        <v>403</v>
      </c>
      <c r="H542" s="212">
        <f t="shared" si="239"/>
        <v>32</v>
      </c>
      <c r="I542" s="553"/>
    </row>
    <row r="543" spans="1:9" s="141" customFormat="1" ht="26" hidden="1">
      <c r="A543" s="112" t="s">
        <v>742</v>
      </c>
      <c r="B543" s="148" t="s">
        <v>1216</v>
      </c>
      <c r="C543" s="112" t="s">
        <v>838</v>
      </c>
      <c r="D543" s="999"/>
      <c r="E543" s="997"/>
      <c r="F543" s="155">
        <f>ROUND(D543*E543,0)</f>
        <v>0</v>
      </c>
      <c r="G543" s="155">
        <f>F543-H543</f>
        <v>0</v>
      </c>
      <c r="H543" s="155">
        <f>ROUND(F543*5/100,0)</f>
        <v>0</v>
      </c>
      <c r="I543" s="328" t="s">
        <v>1774</v>
      </c>
    </row>
    <row r="544" spans="1:9" s="141" customFormat="1" hidden="1">
      <c r="A544" s="112" t="s">
        <v>742</v>
      </c>
      <c r="B544" s="148" t="s">
        <v>1217</v>
      </c>
      <c r="C544" s="112" t="s">
        <v>1218</v>
      </c>
      <c r="D544" s="999"/>
      <c r="E544" s="115"/>
      <c r="F544" s="155">
        <f>D544*E544</f>
        <v>0</v>
      </c>
      <c r="G544" s="155">
        <f t="shared" ref="G544:G606" si="240">F544-H544</f>
        <v>0</v>
      </c>
      <c r="H544" s="155">
        <f t="shared" ref="H544:H546" si="241">ROUND(F544*5/100,0)</f>
        <v>0</v>
      </c>
      <c r="I544" s="328" t="s">
        <v>1774</v>
      </c>
    </row>
    <row r="545" spans="1:9" s="141" customFormat="1" hidden="1">
      <c r="A545" s="112" t="s">
        <v>742</v>
      </c>
      <c r="B545" s="148" t="s">
        <v>1219</v>
      </c>
      <c r="C545" s="112" t="s">
        <v>903</v>
      </c>
      <c r="D545" s="999">
        <v>4</v>
      </c>
      <c r="E545" s="998">
        <v>46.3</v>
      </c>
      <c r="F545" s="155">
        <f>ROUND(D545*E545,0)</f>
        <v>185</v>
      </c>
      <c r="G545" s="155">
        <f t="shared" si="240"/>
        <v>176</v>
      </c>
      <c r="H545" s="155">
        <f t="shared" si="241"/>
        <v>9</v>
      </c>
      <c r="I545" s="328" t="s">
        <v>1774</v>
      </c>
    </row>
    <row r="546" spans="1:9" s="141" customFormat="1" ht="26" hidden="1">
      <c r="A546" s="112" t="s">
        <v>742</v>
      </c>
      <c r="B546" s="148" t="s">
        <v>1220</v>
      </c>
      <c r="C546" s="112" t="s">
        <v>1034</v>
      </c>
      <c r="D546" s="999">
        <v>10</v>
      </c>
      <c r="E546" s="115">
        <v>3</v>
      </c>
      <c r="F546" s="190">
        <f>D546*E546</f>
        <v>30</v>
      </c>
      <c r="G546" s="190">
        <f t="shared" si="240"/>
        <v>28</v>
      </c>
      <c r="H546" s="190">
        <f t="shared" si="241"/>
        <v>2</v>
      </c>
      <c r="I546" s="328" t="s">
        <v>1774</v>
      </c>
    </row>
    <row r="547" spans="1:9" s="141" customFormat="1" ht="26" hidden="1">
      <c r="A547" s="112" t="s">
        <v>742</v>
      </c>
      <c r="B547" s="148" t="s">
        <v>2046</v>
      </c>
      <c r="C547" s="112" t="s">
        <v>876</v>
      </c>
      <c r="D547" s="999">
        <v>22</v>
      </c>
      <c r="E547" s="115">
        <v>10</v>
      </c>
      <c r="F547" s="155">
        <f>D547*E547</f>
        <v>220</v>
      </c>
      <c r="G547" s="155">
        <f>F547-H547</f>
        <v>199</v>
      </c>
      <c r="H547" s="155">
        <f>ROUND(F547*5/100,0)+10</f>
        <v>21</v>
      </c>
      <c r="I547" s="328" t="s">
        <v>1774</v>
      </c>
    </row>
    <row r="548" spans="1:9" ht="26">
      <c r="A548" s="112" t="s">
        <v>915</v>
      </c>
      <c r="B548" s="148" t="s">
        <v>1222</v>
      </c>
      <c r="C548" s="112"/>
      <c r="D548" s="650"/>
      <c r="E548" s="651"/>
      <c r="F548" s="155">
        <f>SUM(F549:F551)</f>
        <v>776</v>
      </c>
      <c r="G548" s="155">
        <f t="shared" ref="G548:H548" si="242">SUM(G549:G551)</f>
        <v>740</v>
      </c>
      <c r="H548" s="212">
        <f t="shared" si="242"/>
        <v>36</v>
      </c>
      <c r="I548" s="553"/>
    </row>
    <row r="549" spans="1:9" s="141" customFormat="1" hidden="1">
      <c r="A549" s="122" t="s">
        <v>742</v>
      </c>
      <c r="B549" s="148" t="s">
        <v>2152</v>
      </c>
      <c r="C549" s="112" t="s">
        <v>1226</v>
      </c>
      <c r="D549" s="999">
        <v>20</v>
      </c>
      <c r="E549" s="997">
        <v>0.2</v>
      </c>
      <c r="F549" s="155">
        <f>ROUND(D549*E549,0)</f>
        <v>4</v>
      </c>
      <c r="G549" s="155">
        <f t="shared" si="240"/>
        <v>4</v>
      </c>
      <c r="H549" s="155">
        <f t="shared" ref="H549:H550" si="243">ROUND(F549*5/100,0)</f>
        <v>0</v>
      </c>
      <c r="I549" s="328" t="s">
        <v>1774</v>
      </c>
    </row>
    <row r="550" spans="1:9" s="141" customFormat="1" ht="26" hidden="1">
      <c r="A550" s="122" t="s">
        <v>742</v>
      </c>
      <c r="B550" s="148" t="s">
        <v>1224</v>
      </c>
      <c r="C550" s="112" t="s">
        <v>1034</v>
      </c>
      <c r="D550" s="999">
        <v>60</v>
      </c>
      <c r="E550" s="115">
        <v>3</v>
      </c>
      <c r="F550" s="155">
        <f>D550*E550</f>
        <v>180</v>
      </c>
      <c r="G550" s="155">
        <f>F550-H550</f>
        <v>171</v>
      </c>
      <c r="H550" s="155">
        <f t="shared" si="243"/>
        <v>9</v>
      </c>
      <c r="I550" s="328" t="s">
        <v>1774</v>
      </c>
    </row>
    <row r="551" spans="1:9" s="141" customFormat="1" ht="39" hidden="1">
      <c r="A551" s="122" t="s">
        <v>742</v>
      </c>
      <c r="B551" s="148" t="s">
        <v>1225</v>
      </c>
      <c r="C551" s="112"/>
      <c r="D551" s="999"/>
      <c r="E551" s="115"/>
      <c r="F551" s="155">
        <f>+F552+F553+F554</f>
        <v>592</v>
      </c>
      <c r="G551" s="155">
        <f t="shared" ref="G551:H551" si="244">+G552+G553+G554</f>
        <v>565</v>
      </c>
      <c r="H551" s="155">
        <f t="shared" si="244"/>
        <v>27</v>
      </c>
      <c r="I551" s="328" t="s">
        <v>1774</v>
      </c>
    </row>
    <row r="552" spans="1:9" s="141" customFormat="1" hidden="1">
      <c r="A552" s="122"/>
      <c r="B552" s="148" t="s">
        <v>1983</v>
      </c>
      <c r="C552" s="112" t="s">
        <v>1229</v>
      </c>
      <c r="D552" s="999">
        <v>4</v>
      </c>
      <c r="E552" s="115">
        <v>80</v>
      </c>
      <c r="F552" s="155">
        <f t="shared" ref="F552:F553" si="245">ROUND(D552*E552,0)</f>
        <v>320</v>
      </c>
      <c r="G552" s="155">
        <f t="shared" ref="G552:G556" si="246">F552-H552</f>
        <v>304</v>
      </c>
      <c r="H552" s="155">
        <f t="shared" ref="H552" si="247">ROUND(F552*5/100,0)</f>
        <v>16</v>
      </c>
      <c r="I552" s="328" t="s">
        <v>1774</v>
      </c>
    </row>
    <row r="553" spans="1:9" s="141" customFormat="1" hidden="1">
      <c r="A553" s="122"/>
      <c r="B553" s="148" t="s">
        <v>1985</v>
      </c>
      <c r="C553" s="112" t="s">
        <v>1229</v>
      </c>
      <c r="D553" s="999">
        <v>4</v>
      </c>
      <c r="E553" s="115">
        <v>68</v>
      </c>
      <c r="F553" s="155">
        <f t="shared" si="245"/>
        <v>272</v>
      </c>
      <c r="G553" s="155">
        <f t="shared" si="246"/>
        <v>261</v>
      </c>
      <c r="H553" s="155">
        <v>11</v>
      </c>
      <c r="I553" s="328" t="s">
        <v>1774</v>
      </c>
    </row>
    <row r="554" spans="1:9" s="141" customFormat="1" hidden="1">
      <c r="A554" s="122"/>
      <c r="B554" s="148" t="s">
        <v>1223</v>
      </c>
      <c r="C554" s="112"/>
      <c r="D554" s="999"/>
      <c r="E554" s="115"/>
      <c r="F554" s="155">
        <f>SUM(F555:F557)</f>
        <v>0</v>
      </c>
      <c r="G554" s="155">
        <f t="shared" ref="G554:H554" si="248">SUM(G555:G557)</f>
        <v>0</v>
      </c>
      <c r="H554" s="155">
        <f t="shared" si="248"/>
        <v>0</v>
      </c>
      <c r="I554" s="328" t="s">
        <v>1774</v>
      </c>
    </row>
    <row r="555" spans="1:9" s="141" customFormat="1" ht="26" hidden="1">
      <c r="A555" s="122"/>
      <c r="B555" s="148" t="s">
        <v>2031</v>
      </c>
      <c r="C555" s="112" t="s">
        <v>1018</v>
      </c>
      <c r="D555" s="999"/>
      <c r="E555" s="115"/>
      <c r="F555" s="155">
        <f>ROUND(D555*E555,0)</f>
        <v>0</v>
      </c>
      <c r="G555" s="155">
        <f>F555-H555</f>
        <v>0</v>
      </c>
      <c r="H555" s="155">
        <f t="shared" ref="H555:H556" si="249">ROUND(F555*5/100,0)</f>
        <v>0</v>
      </c>
      <c r="I555" s="328" t="s">
        <v>1774</v>
      </c>
    </row>
    <row r="556" spans="1:9" s="141" customFormat="1" ht="26" hidden="1">
      <c r="A556" s="122"/>
      <c r="B556" s="148" t="s">
        <v>2044</v>
      </c>
      <c r="C556" s="112" t="s">
        <v>1018</v>
      </c>
      <c r="D556" s="999"/>
      <c r="E556" s="115">
        <v>0.8</v>
      </c>
      <c r="F556" s="155">
        <f t="shared" ref="F556" si="250">ROUND(D556*E556,0)</f>
        <v>0</v>
      </c>
      <c r="G556" s="155">
        <f t="shared" si="246"/>
        <v>0</v>
      </c>
      <c r="H556" s="155">
        <f t="shared" si="249"/>
        <v>0</v>
      </c>
      <c r="I556" s="328" t="s">
        <v>1774</v>
      </c>
    </row>
    <row r="557" spans="1:9" s="141" customFormat="1" hidden="1">
      <c r="A557" s="122"/>
      <c r="B557" s="148" t="s">
        <v>2033</v>
      </c>
      <c r="C557" s="112" t="s">
        <v>2034</v>
      </c>
      <c r="D557" s="999"/>
      <c r="E557" s="115"/>
      <c r="F557" s="155"/>
      <c r="G557" s="155"/>
      <c r="H557" s="155"/>
      <c r="I557" s="328" t="s">
        <v>1774</v>
      </c>
    </row>
    <row r="558" spans="1:9" ht="26">
      <c r="A558" s="112" t="s">
        <v>1227</v>
      </c>
      <c r="B558" s="148" t="s">
        <v>1228</v>
      </c>
      <c r="C558" s="112" t="s">
        <v>1229</v>
      </c>
      <c r="D558" s="650">
        <v>1</v>
      </c>
      <c r="E558" s="651">
        <v>76</v>
      </c>
      <c r="F558" s="291">
        <f>ROUND(D558*E558,0)</f>
        <v>76</v>
      </c>
      <c r="G558" s="291">
        <f t="shared" si="240"/>
        <v>72</v>
      </c>
      <c r="H558" s="1033">
        <f>ROUND(F558*5/100,0)</f>
        <v>4</v>
      </c>
      <c r="I558" s="553"/>
    </row>
    <row r="559" spans="1:9" ht="26">
      <c r="A559" s="112" t="s">
        <v>1230</v>
      </c>
      <c r="B559" s="148" t="s">
        <v>1231</v>
      </c>
      <c r="C559" s="112"/>
      <c r="D559" s="650"/>
      <c r="E559" s="651"/>
      <c r="F559" s="155">
        <f>+F560+F565+F568+F569</f>
        <v>1943</v>
      </c>
      <c r="G559" s="155">
        <f>+G560+G565+G568+G569</f>
        <v>1858</v>
      </c>
      <c r="H559" s="212">
        <f>+H560+H565+H568+H569</f>
        <v>85</v>
      </c>
      <c r="I559" s="553"/>
    </row>
    <row r="560" spans="1:9" s="141" customFormat="1" ht="26" hidden="1">
      <c r="A560" s="122" t="s">
        <v>701</v>
      </c>
      <c r="B560" s="148" t="s">
        <v>1232</v>
      </c>
      <c r="C560" s="112"/>
      <c r="D560" s="999"/>
      <c r="E560" s="115"/>
      <c r="F560" s="291">
        <f>SUM(F561:F564)</f>
        <v>1495</v>
      </c>
      <c r="G560" s="291">
        <f t="shared" ref="G560:H560" si="251">SUM(G561:G564)</f>
        <v>1433</v>
      </c>
      <c r="H560" s="291">
        <f t="shared" si="251"/>
        <v>62</v>
      </c>
      <c r="I560" s="328" t="s">
        <v>1774</v>
      </c>
    </row>
    <row r="561" spans="1:9" s="141" customFormat="1" ht="26" hidden="1">
      <c r="A561" s="122"/>
      <c r="B561" s="154" t="s">
        <v>1233</v>
      </c>
      <c r="C561" s="112" t="s">
        <v>1234</v>
      </c>
      <c r="D561" s="999">
        <v>650</v>
      </c>
      <c r="E561" s="998">
        <v>0.2</v>
      </c>
      <c r="F561" s="155">
        <f>ROUND(D561*E561,0)</f>
        <v>130</v>
      </c>
      <c r="G561" s="155">
        <f t="shared" si="240"/>
        <v>123</v>
      </c>
      <c r="H561" s="155">
        <f t="shared" ref="H561:H569" si="252">ROUND(F561*5/100,0)</f>
        <v>7</v>
      </c>
      <c r="I561" s="328" t="s">
        <v>1774</v>
      </c>
    </row>
    <row r="562" spans="1:9" s="141" customFormat="1" ht="26" hidden="1">
      <c r="A562" s="122"/>
      <c r="B562" s="154" t="s">
        <v>1235</v>
      </c>
      <c r="C562" s="112" t="s">
        <v>1236</v>
      </c>
      <c r="D562" s="999">
        <v>650</v>
      </c>
      <c r="E562" s="998">
        <v>0.5</v>
      </c>
      <c r="F562" s="155">
        <f>ROUND(D562*E562,0)</f>
        <v>325</v>
      </c>
      <c r="G562" s="155">
        <f t="shared" si="240"/>
        <v>309</v>
      </c>
      <c r="H562" s="155">
        <f t="shared" si="252"/>
        <v>16</v>
      </c>
      <c r="I562" s="328" t="s">
        <v>1774</v>
      </c>
    </row>
    <row r="563" spans="1:9" s="141" customFormat="1" ht="26" hidden="1">
      <c r="A563" s="122"/>
      <c r="B563" s="154" t="s">
        <v>1237</v>
      </c>
      <c r="C563" s="112" t="s">
        <v>1234</v>
      </c>
      <c r="D563" s="999">
        <v>650</v>
      </c>
      <c r="E563" s="998">
        <v>0.4</v>
      </c>
      <c r="F563" s="155">
        <f>ROUND(D563*E563,0)</f>
        <v>260</v>
      </c>
      <c r="G563" s="155">
        <f t="shared" si="240"/>
        <v>260</v>
      </c>
      <c r="H563" s="155"/>
      <c r="I563" s="328" t="s">
        <v>1774</v>
      </c>
    </row>
    <row r="564" spans="1:9" s="141" customFormat="1" ht="26" hidden="1">
      <c r="A564" s="122"/>
      <c r="B564" s="154" t="s">
        <v>1238</v>
      </c>
      <c r="C564" s="112" t="s">
        <v>1234</v>
      </c>
      <c r="D564" s="999">
        <v>650</v>
      </c>
      <c r="E564" s="998">
        <v>1.2</v>
      </c>
      <c r="F564" s="155">
        <f>ROUND(D564*E564,0)</f>
        <v>780</v>
      </c>
      <c r="G564" s="155">
        <f t="shared" si="240"/>
        <v>741</v>
      </c>
      <c r="H564" s="155">
        <f t="shared" si="252"/>
        <v>39</v>
      </c>
      <c r="I564" s="328" t="s">
        <v>1774</v>
      </c>
    </row>
    <row r="565" spans="1:9" s="141" customFormat="1" ht="39" hidden="1">
      <c r="A565" s="122" t="s">
        <v>701</v>
      </c>
      <c r="B565" s="148" t="s">
        <v>1274</v>
      </c>
      <c r="C565" s="112" t="s">
        <v>903</v>
      </c>
      <c r="D565" s="999">
        <v>2</v>
      </c>
      <c r="E565" s="998">
        <v>47.4</v>
      </c>
      <c r="F565" s="155">
        <f>ROUND(D565*E565,0)</f>
        <v>95</v>
      </c>
      <c r="G565" s="155">
        <f>F565-H565</f>
        <v>90</v>
      </c>
      <c r="H565" s="155">
        <f t="shared" si="252"/>
        <v>5</v>
      </c>
      <c r="I565" s="328" t="s">
        <v>1774</v>
      </c>
    </row>
    <row r="566" spans="1:9" s="141" customFormat="1" ht="26" hidden="1">
      <c r="A566" s="122"/>
      <c r="B566" s="154" t="s">
        <v>1275</v>
      </c>
      <c r="C566" s="112"/>
      <c r="D566" s="999"/>
      <c r="E566" s="115"/>
      <c r="F566" s="155">
        <f>D566*E566</f>
        <v>0</v>
      </c>
      <c r="G566" s="155">
        <f t="shared" si="240"/>
        <v>0</v>
      </c>
      <c r="H566" s="155">
        <f t="shared" si="252"/>
        <v>0</v>
      </c>
      <c r="I566" s="328" t="s">
        <v>1774</v>
      </c>
    </row>
    <row r="567" spans="1:9" s="141" customFormat="1" ht="26" hidden="1">
      <c r="A567" s="122"/>
      <c r="B567" s="154" t="s">
        <v>1276</v>
      </c>
      <c r="C567" s="112" t="s">
        <v>903</v>
      </c>
      <c r="D567" s="999"/>
      <c r="E567" s="115"/>
      <c r="F567" s="155">
        <f>D567*E567</f>
        <v>0</v>
      </c>
      <c r="G567" s="155">
        <f t="shared" si="240"/>
        <v>0</v>
      </c>
      <c r="H567" s="155">
        <f t="shared" si="252"/>
        <v>0</v>
      </c>
      <c r="I567" s="328" t="s">
        <v>1774</v>
      </c>
    </row>
    <row r="568" spans="1:9" s="141" customFormat="1" ht="39" hidden="1">
      <c r="A568" s="112" t="s">
        <v>742</v>
      </c>
      <c r="B568" s="148" t="s">
        <v>1239</v>
      </c>
      <c r="C568" s="112" t="s">
        <v>902</v>
      </c>
      <c r="D568" s="999">
        <v>30</v>
      </c>
      <c r="E568" s="115">
        <v>10</v>
      </c>
      <c r="F568" s="190">
        <f>ROUND(D568*E568,0)</f>
        <v>300</v>
      </c>
      <c r="G568" s="190">
        <f t="shared" si="240"/>
        <v>285</v>
      </c>
      <c r="H568" s="190">
        <f t="shared" si="252"/>
        <v>15</v>
      </c>
      <c r="I568" s="328" t="s">
        <v>1774</v>
      </c>
    </row>
    <row r="569" spans="1:9" s="141" customFormat="1" ht="26" hidden="1">
      <c r="A569" s="112" t="s">
        <v>742</v>
      </c>
      <c r="B569" s="148" t="s">
        <v>1240</v>
      </c>
      <c r="C569" s="112" t="s">
        <v>1147</v>
      </c>
      <c r="D569" s="999">
        <v>7</v>
      </c>
      <c r="E569" s="998">
        <v>7.6</v>
      </c>
      <c r="F569" s="190">
        <f>ROUND(D569*E569,0)</f>
        <v>53</v>
      </c>
      <c r="G569" s="190">
        <f t="shared" si="240"/>
        <v>50</v>
      </c>
      <c r="H569" s="190">
        <f t="shared" si="252"/>
        <v>3</v>
      </c>
      <c r="I569" s="328" t="s">
        <v>1774</v>
      </c>
    </row>
    <row r="570" spans="1:9" ht="39">
      <c r="A570" s="119">
        <v>2</v>
      </c>
      <c r="B570" s="222" t="s">
        <v>1241</v>
      </c>
      <c r="C570" s="119"/>
      <c r="D570" s="649"/>
      <c r="E570" s="996"/>
      <c r="F570" s="155">
        <f>+F571+F575+F577+F583</f>
        <v>897</v>
      </c>
      <c r="G570" s="155">
        <f t="shared" ref="G570:H570" si="253">+G571+G575+G577+G583</f>
        <v>850</v>
      </c>
      <c r="H570" s="212">
        <f t="shared" si="253"/>
        <v>47</v>
      </c>
      <c r="I570" s="553"/>
    </row>
    <row r="571" spans="1:9" ht="26">
      <c r="A571" s="112" t="s">
        <v>911</v>
      </c>
      <c r="B571" s="148" t="s">
        <v>1242</v>
      </c>
      <c r="C571" s="112"/>
      <c r="D571" s="650"/>
      <c r="E571" s="651"/>
      <c r="F571" s="155">
        <f>SUM(F572:F574)</f>
        <v>327</v>
      </c>
      <c r="G571" s="155">
        <f t="shared" ref="G571:H571" si="254">SUM(G572:G574)</f>
        <v>310</v>
      </c>
      <c r="H571" s="212">
        <f t="shared" si="254"/>
        <v>17</v>
      </c>
      <c r="I571" s="553"/>
    </row>
    <row r="572" spans="1:9" s="141" customFormat="1" hidden="1">
      <c r="A572" s="122"/>
      <c r="B572" s="221" t="s">
        <v>1243</v>
      </c>
      <c r="C572" s="112" t="s">
        <v>838</v>
      </c>
      <c r="D572" s="999"/>
      <c r="E572" s="997"/>
      <c r="F572" s="291">
        <f>ROUND(E572*D572,0)</f>
        <v>0</v>
      </c>
      <c r="G572" s="291">
        <f t="shared" si="240"/>
        <v>0</v>
      </c>
      <c r="H572" s="291">
        <f t="shared" ref="H572:H576" si="255">ROUND(F572*5/100,0)</f>
        <v>0</v>
      </c>
      <c r="I572" s="328" t="s">
        <v>1774</v>
      </c>
    </row>
    <row r="573" spans="1:9" s="141" customFormat="1" hidden="1">
      <c r="A573" s="122"/>
      <c r="B573" s="148" t="s">
        <v>2376</v>
      </c>
      <c r="C573" s="112" t="s">
        <v>903</v>
      </c>
      <c r="D573" s="999">
        <v>5</v>
      </c>
      <c r="E573" s="998">
        <v>47.4</v>
      </c>
      <c r="F573" s="291">
        <f>ROUND(E573*D573,0)</f>
        <v>237</v>
      </c>
      <c r="G573" s="291">
        <f t="shared" si="240"/>
        <v>225</v>
      </c>
      <c r="H573" s="291">
        <f t="shared" si="255"/>
        <v>12</v>
      </c>
      <c r="I573" s="328" t="s">
        <v>1774</v>
      </c>
    </row>
    <row r="574" spans="1:9" s="141" customFormat="1" ht="26" hidden="1">
      <c r="A574" s="122"/>
      <c r="B574" s="148" t="s">
        <v>1244</v>
      </c>
      <c r="C574" s="112" t="s">
        <v>1245</v>
      </c>
      <c r="D574" s="999">
        <v>60</v>
      </c>
      <c r="E574" s="998">
        <v>1.5</v>
      </c>
      <c r="F574" s="291">
        <f>ROUND(E574*D574,0)</f>
        <v>90</v>
      </c>
      <c r="G574" s="291">
        <f t="shared" si="240"/>
        <v>85</v>
      </c>
      <c r="H574" s="291">
        <f t="shared" si="255"/>
        <v>5</v>
      </c>
      <c r="I574" s="328" t="s">
        <v>1774</v>
      </c>
    </row>
    <row r="575" spans="1:9" ht="26">
      <c r="A575" s="112" t="s">
        <v>915</v>
      </c>
      <c r="B575" s="148" t="s">
        <v>1246</v>
      </c>
      <c r="C575" s="112"/>
      <c r="D575" s="650"/>
      <c r="E575" s="651"/>
      <c r="F575" s="155">
        <f>+F576</f>
        <v>300</v>
      </c>
      <c r="G575" s="155">
        <f t="shared" si="240"/>
        <v>285</v>
      </c>
      <c r="H575" s="212">
        <f t="shared" si="255"/>
        <v>15</v>
      </c>
      <c r="I575" s="553"/>
    </row>
    <row r="576" spans="1:9" s="141" customFormat="1" ht="39" hidden="1">
      <c r="A576" s="122"/>
      <c r="B576" s="148" t="s">
        <v>1247</v>
      </c>
      <c r="C576" s="112" t="s">
        <v>1034</v>
      </c>
      <c r="D576" s="999">
        <v>3</v>
      </c>
      <c r="E576" s="115">
        <v>100</v>
      </c>
      <c r="F576" s="155">
        <f>D576*E576</f>
        <v>300</v>
      </c>
      <c r="G576" s="155">
        <f t="shared" si="240"/>
        <v>285</v>
      </c>
      <c r="H576" s="155">
        <f t="shared" si="255"/>
        <v>15</v>
      </c>
      <c r="I576" s="328" t="s">
        <v>1774</v>
      </c>
    </row>
    <row r="577" spans="1:9" ht="26">
      <c r="A577" s="112" t="s">
        <v>1227</v>
      </c>
      <c r="B577" s="148" t="s">
        <v>1248</v>
      </c>
      <c r="C577" s="112"/>
      <c r="D577" s="650"/>
      <c r="E577" s="163"/>
      <c r="F577" s="155">
        <f t="shared" ref="F577:H577" si="256">+F578+F579+F582</f>
        <v>240</v>
      </c>
      <c r="G577" s="155">
        <f t="shared" si="256"/>
        <v>227</v>
      </c>
      <c r="H577" s="212">
        <f t="shared" si="256"/>
        <v>13</v>
      </c>
      <c r="I577" s="553"/>
    </row>
    <row r="578" spans="1:9" s="141" customFormat="1" ht="26" hidden="1">
      <c r="A578" s="122" t="s">
        <v>742</v>
      </c>
      <c r="B578" s="148" t="s">
        <v>1216</v>
      </c>
      <c r="C578" s="112" t="s">
        <v>838</v>
      </c>
      <c r="D578" s="999"/>
      <c r="E578" s="997"/>
      <c r="F578" s="155">
        <f>ROUND(E578*D578,0)</f>
        <v>0</v>
      </c>
      <c r="G578" s="155">
        <f t="shared" si="240"/>
        <v>0</v>
      </c>
      <c r="H578" s="155">
        <f t="shared" ref="H578" si="257">ROUND(F578*5/100,0)</f>
        <v>0</v>
      </c>
      <c r="I578" s="328" t="s">
        <v>1774</v>
      </c>
    </row>
    <row r="579" spans="1:9" s="141" customFormat="1" ht="26" hidden="1">
      <c r="A579" s="122" t="s">
        <v>742</v>
      </c>
      <c r="B579" s="148" t="s">
        <v>1249</v>
      </c>
      <c r="C579" s="112"/>
      <c r="D579" s="999"/>
      <c r="E579" s="115"/>
      <c r="F579" s="291">
        <f t="shared" ref="F579:H579" si="258">+F580+F581</f>
        <v>150</v>
      </c>
      <c r="G579" s="291">
        <f t="shared" si="258"/>
        <v>142</v>
      </c>
      <c r="H579" s="291">
        <f t="shared" si="258"/>
        <v>8</v>
      </c>
      <c r="I579" s="328" t="s">
        <v>1774</v>
      </c>
    </row>
    <row r="580" spans="1:9" s="141" customFormat="1" ht="26" hidden="1">
      <c r="A580" s="122"/>
      <c r="B580" s="222" t="s">
        <v>1250</v>
      </c>
      <c r="C580" s="112" t="s">
        <v>1251</v>
      </c>
      <c r="D580" s="999">
        <v>25</v>
      </c>
      <c r="E580" s="115">
        <v>3</v>
      </c>
      <c r="F580" s="155">
        <f>ROUND(E580*D580,0)</f>
        <v>75</v>
      </c>
      <c r="G580" s="155">
        <f t="shared" si="240"/>
        <v>71</v>
      </c>
      <c r="H580" s="155">
        <f t="shared" ref="H580:H586" si="259">ROUND(F580*5/100,0)</f>
        <v>4</v>
      </c>
      <c r="I580" s="328" t="s">
        <v>1774</v>
      </c>
    </row>
    <row r="581" spans="1:9" s="141" customFormat="1" ht="39" hidden="1">
      <c r="A581" s="122"/>
      <c r="B581" s="222" t="s">
        <v>1252</v>
      </c>
      <c r="C581" s="112" t="s">
        <v>1251</v>
      </c>
      <c r="D581" s="999">
        <v>25</v>
      </c>
      <c r="E581" s="115">
        <v>3</v>
      </c>
      <c r="F581" s="155">
        <f>ROUND(E581*D581,0)</f>
        <v>75</v>
      </c>
      <c r="G581" s="155">
        <f t="shared" si="240"/>
        <v>71</v>
      </c>
      <c r="H581" s="155">
        <f t="shared" si="259"/>
        <v>4</v>
      </c>
      <c r="I581" s="328" t="s">
        <v>1774</v>
      </c>
    </row>
    <row r="582" spans="1:9" s="141" customFormat="1" ht="26" hidden="1">
      <c r="A582" s="122" t="s">
        <v>742</v>
      </c>
      <c r="B582" s="148" t="s">
        <v>1253</v>
      </c>
      <c r="C582" s="112" t="s">
        <v>1251</v>
      </c>
      <c r="D582" s="999">
        <v>6</v>
      </c>
      <c r="E582" s="115">
        <v>15</v>
      </c>
      <c r="F582" s="155">
        <f>ROUND(E582*D582,0)</f>
        <v>90</v>
      </c>
      <c r="G582" s="155">
        <f t="shared" si="240"/>
        <v>85</v>
      </c>
      <c r="H582" s="155">
        <f t="shared" si="259"/>
        <v>5</v>
      </c>
      <c r="I582" s="328" t="s">
        <v>1774</v>
      </c>
    </row>
    <row r="583" spans="1:9" ht="26">
      <c r="A583" s="112" t="s">
        <v>1230</v>
      </c>
      <c r="B583" s="148" t="s">
        <v>1254</v>
      </c>
      <c r="C583" s="112"/>
      <c r="D583" s="650"/>
      <c r="E583" s="651"/>
      <c r="F583" s="155">
        <f>SUM(F584:F586)</f>
        <v>30</v>
      </c>
      <c r="G583" s="155">
        <f t="shared" si="240"/>
        <v>28</v>
      </c>
      <c r="H583" s="212">
        <f t="shared" si="259"/>
        <v>2</v>
      </c>
      <c r="I583" s="553"/>
    </row>
    <row r="584" spans="1:9" s="141" customFormat="1" ht="39" hidden="1">
      <c r="A584" s="122"/>
      <c r="B584" s="1008" t="s">
        <v>1255</v>
      </c>
      <c r="C584" s="1009"/>
      <c r="D584" s="999"/>
      <c r="E584" s="115"/>
      <c r="F584" s="155">
        <f>D584*E584</f>
        <v>0</v>
      </c>
      <c r="G584" s="155">
        <f t="shared" si="240"/>
        <v>0</v>
      </c>
      <c r="H584" s="155">
        <f t="shared" si="259"/>
        <v>0</v>
      </c>
      <c r="I584" s="328" t="s">
        <v>1774</v>
      </c>
    </row>
    <row r="585" spans="1:9" s="141" customFormat="1" hidden="1">
      <c r="A585" s="122"/>
      <c r="B585" s="1008" t="s">
        <v>1256</v>
      </c>
      <c r="C585" s="1009"/>
      <c r="D585" s="999"/>
      <c r="E585" s="115"/>
      <c r="F585" s="155">
        <f>D585*E585</f>
        <v>0</v>
      </c>
      <c r="G585" s="155">
        <f t="shared" si="240"/>
        <v>0</v>
      </c>
      <c r="H585" s="155">
        <f t="shared" si="259"/>
        <v>0</v>
      </c>
      <c r="I585" s="328" t="s">
        <v>1774</v>
      </c>
    </row>
    <row r="586" spans="1:9" s="141" customFormat="1" ht="26" hidden="1">
      <c r="A586" s="122"/>
      <c r="B586" s="1008" t="s">
        <v>1257</v>
      </c>
      <c r="C586" s="1009" t="s">
        <v>1034</v>
      </c>
      <c r="D586" s="999">
        <v>1</v>
      </c>
      <c r="E586" s="115">
        <v>30</v>
      </c>
      <c r="F586" s="155">
        <f>D586*E586</f>
        <v>30</v>
      </c>
      <c r="G586" s="155">
        <f t="shared" si="240"/>
        <v>28</v>
      </c>
      <c r="H586" s="155">
        <f t="shared" si="259"/>
        <v>2</v>
      </c>
      <c r="I586" s="328" t="s">
        <v>1774</v>
      </c>
    </row>
    <row r="587" spans="1:9" ht="39">
      <c r="A587" s="119">
        <v>3</v>
      </c>
      <c r="B587" s="222" t="s">
        <v>1258</v>
      </c>
      <c r="C587" s="119"/>
      <c r="D587" s="649"/>
      <c r="E587" s="996"/>
      <c r="F587" s="155">
        <f>+F588+F592+F596+F599</f>
        <v>1656</v>
      </c>
      <c r="G587" s="155">
        <f t="shared" ref="G587:H587" si="260">+G588+G592+G596+G599</f>
        <v>1573</v>
      </c>
      <c r="H587" s="212">
        <f t="shared" si="260"/>
        <v>83</v>
      </c>
      <c r="I587" s="553"/>
    </row>
    <row r="588" spans="1:9" s="141" customFormat="1" hidden="1">
      <c r="A588" s="112" t="s">
        <v>742</v>
      </c>
      <c r="B588" s="148" t="s">
        <v>1259</v>
      </c>
      <c r="C588" s="112"/>
      <c r="D588" s="650"/>
      <c r="E588" s="651"/>
      <c r="F588" s="155">
        <f>SUM(F589:F591)</f>
        <v>963</v>
      </c>
      <c r="G588" s="155">
        <f t="shared" ref="G588:H588" si="261">SUM(G589:G591)</f>
        <v>915</v>
      </c>
      <c r="H588" s="155">
        <f t="shared" si="261"/>
        <v>48</v>
      </c>
      <c r="I588" s="328" t="s">
        <v>1774</v>
      </c>
    </row>
    <row r="589" spans="1:9" s="141" customFormat="1" hidden="1">
      <c r="A589" s="124"/>
      <c r="B589" s="148" t="s">
        <v>1277</v>
      </c>
      <c r="C589" s="112" t="s">
        <v>903</v>
      </c>
      <c r="D589" s="999">
        <v>3</v>
      </c>
      <c r="E589" s="997">
        <v>26.2</v>
      </c>
      <c r="F589" s="190">
        <f>ROUND(D589*E589,0)</f>
        <v>79</v>
      </c>
      <c r="G589" s="190">
        <f t="shared" si="240"/>
        <v>75</v>
      </c>
      <c r="H589" s="190">
        <f t="shared" ref="H589:H591" si="262">ROUND(F589*5/100,0)</f>
        <v>4</v>
      </c>
      <c r="I589" s="328" t="s">
        <v>1774</v>
      </c>
    </row>
    <row r="590" spans="1:9" s="141" customFormat="1" ht="39" hidden="1">
      <c r="A590" s="124"/>
      <c r="B590" s="148" t="s">
        <v>1260</v>
      </c>
      <c r="C590" s="112" t="s">
        <v>1261</v>
      </c>
      <c r="D590" s="999">
        <v>28</v>
      </c>
      <c r="E590" s="115">
        <v>13</v>
      </c>
      <c r="F590" s="190">
        <f>ROUND(D590*E590,0)</f>
        <v>364</v>
      </c>
      <c r="G590" s="190">
        <f t="shared" si="240"/>
        <v>346</v>
      </c>
      <c r="H590" s="190">
        <f t="shared" si="262"/>
        <v>18</v>
      </c>
      <c r="I590" s="328" t="s">
        <v>1774</v>
      </c>
    </row>
    <row r="591" spans="1:9" s="141" customFormat="1" ht="39" hidden="1">
      <c r="A591" s="124"/>
      <c r="B591" s="148" t="s">
        <v>1262</v>
      </c>
      <c r="C591" s="112" t="s">
        <v>1261</v>
      </c>
      <c r="D591" s="650">
        <v>40</v>
      </c>
      <c r="E591" s="115">
        <v>13</v>
      </c>
      <c r="F591" s="190">
        <f>ROUND(D591*E591,0)</f>
        <v>520</v>
      </c>
      <c r="G591" s="190">
        <f t="shared" si="240"/>
        <v>494</v>
      </c>
      <c r="H591" s="190">
        <f t="shared" si="262"/>
        <v>26</v>
      </c>
      <c r="I591" s="328" t="s">
        <v>1774</v>
      </c>
    </row>
    <row r="592" spans="1:9" s="141" customFormat="1" ht="26" hidden="1">
      <c r="A592" s="112" t="s">
        <v>742</v>
      </c>
      <c r="B592" s="148" t="s">
        <v>1263</v>
      </c>
      <c r="C592" s="112"/>
      <c r="D592" s="650"/>
      <c r="E592" s="651"/>
      <c r="F592" s="155">
        <f>SUM(F593:F595)</f>
        <v>360</v>
      </c>
      <c r="G592" s="155">
        <f t="shared" ref="G592:H592" si="263">SUM(G593:G595)</f>
        <v>342</v>
      </c>
      <c r="H592" s="155">
        <f t="shared" si="263"/>
        <v>18</v>
      </c>
      <c r="I592" s="328" t="s">
        <v>1774</v>
      </c>
    </row>
    <row r="593" spans="1:9" s="141" customFormat="1" ht="39" hidden="1">
      <c r="A593" s="122"/>
      <c r="B593" s="148" t="s">
        <v>2151</v>
      </c>
      <c r="C593" s="112" t="s">
        <v>878</v>
      </c>
      <c r="D593" s="999">
        <v>3</v>
      </c>
      <c r="E593" s="997">
        <v>120</v>
      </c>
      <c r="F593" s="190">
        <v>360</v>
      </c>
      <c r="G593" s="190">
        <v>342</v>
      </c>
      <c r="H593" s="190">
        <v>18</v>
      </c>
      <c r="I593" s="328" t="s">
        <v>1774</v>
      </c>
    </row>
    <row r="594" spans="1:9" s="141" customFormat="1" hidden="1">
      <c r="A594" s="122"/>
      <c r="B594" s="148" t="s">
        <v>1278</v>
      </c>
      <c r="C594" s="112" t="s">
        <v>1265</v>
      </c>
      <c r="D594" s="999"/>
      <c r="E594" s="115"/>
      <c r="F594" s="190">
        <f>ROUND(D594*E594,0)</f>
        <v>0</v>
      </c>
      <c r="G594" s="190">
        <f t="shared" si="240"/>
        <v>0</v>
      </c>
      <c r="H594" s="190">
        <f t="shared" ref="H594:H595" si="264">ROUND(F594*5/100,0)</f>
        <v>0</v>
      </c>
      <c r="I594" s="328" t="s">
        <v>1774</v>
      </c>
    </row>
    <row r="595" spans="1:9" s="141" customFormat="1" ht="26" hidden="1">
      <c r="A595" s="122"/>
      <c r="B595" s="148" t="s">
        <v>1266</v>
      </c>
      <c r="C595" s="112" t="s">
        <v>1267</v>
      </c>
      <c r="D595" s="999"/>
      <c r="E595" s="115"/>
      <c r="F595" s="190">
        <f>ROUND(D595*E595,0)</f>
        <v>0</v>
      </c>
      <c r="G595" s="190">
        <f t="shared" si="240"/>
        <v>0</v>
      </c>
      <c r="H595" s="190">
        <f t="shared" si="264"/>
        <v>0</v>
      </c>
      <c r="I595" s="328" t="s">
        <v>1774</v>
      </c>
    </row>
    <row r="596" spans="1:9" s="141" customFormat="1" hidden="1">
      <c r="A596" s="112" t="s">
        <v>742</v>
      </c>
      <c r="B596" s="148" t="s">
        <v>1268</v>
      </c>
      <c r="C596" s="112"/>
      <c r="D596" s="650"/>
      <c r="E596" s="651"/>
      <c r="F596" s="155">
        <f>SUM(F597:F598)</f>
        <v>139</v>
      </c>
      <c r="G596" s="155">
        <f t="shared" ref="G596:H596" si="265">SUM(G597:G598)</f>
        <v>132</v>
      </c>
      <c r="H596" s="155">
        <f t="shared" si="265"/>
        <v>7</v>
      </c>
      <c r="I596" s="328" t="s">
        <v>1774</v>
      </c>
    </row>
    <row r="597" spans="1:9" s="141" customFormat="1" hidden="1">
      <c r="A597" s="122"/>
      <c r="B597" s="148" t="s">
        <v>2037</v>
      </c>
      <c r="C597" s="112" t="s">
        <v>1265</v>
      </c>
      <c r="D597" s="999">
        <v>3</v>
      </c>
      <c r="E597" s="998">
        <v>26.2</v>
      </c>
      <c r="F597" s="190">
        <f>ROUND(D597*E597,0)</f>
        <v>79</v>
      </c>
      <c r="G597" s="190">
        <f t="shared" si="240"/>
        <v>75</v>
      </c>
      <c r="H597" s="190">
        <f t="shared" ref="H597:H598" si="266">ROUND(F597*5/100,0)</f>
        <v>4</v>
      </c>
      <c r="I597" s="328" t="s">
        <v>1774</v>
      </c>
    </row>
    <row r="598" spans="1:9" s="141" customFormat="1" hidden="1">
      <c r="A598" s="122"/>
      <c r="B598" s="1016" t="s">
        <v>2533</v>
      </c>
      <c r="C598" s="1017" t="s">
        <v>902</v>
      </c>
      <c r="D598" s="999">
        <v>2</v>
      </c>
      <c r="E598" s="998">
        <v>30</v>
      </c>
      <c r="F598" s="190">
        <f>ROUND(D598*E598,0)</f>
        <v>60</v>
      </c>
      <c r="G598" s="190">
        <f t="shared" si="240"/>
        <v>57</v>
      </c>
      <c r="H598" s="190">
        <f t="shared" si="266"/>
        <v>3</v>
      </c>
      <c r="I598" s="328" t="s">
        <v>1774</v>
      </c>
    </row>
    <row r="599" spans="1:9" s="141" customFormat="1" ht="26" hidden="1">
      <c r="A599" s="112" t="s">
        <v>742</v>
      </c>
      <c r="B599" s="148" t="s">
        <v>1270</v>
      </c>
      <c r="C599" s="112"/>
      <c r="D599" s="650"/>
      <c r="E599" s="651"/>
      <c r="F599" s="155">
        <f>SUM(F600:F601)</f>
        <v>194</v>
      </c>
      <c r="G599" s="155">
        <f t="shared" ref="G599:H599" si="267">SUM(G600:G601)</f>
        <v>184</v>
      </c>
      <c r="H599" s="155">
        <f t="shared" si="267"/>
        <v>10</v>
      </c>
      <c r="I599" s="328" t="s">
        <v>1774</v>
      </c>
    </row>
    <row r="600" spans="1:9" s="141" customFormat="1" ht="26" hidden="1">
      <c r="A600" s="122"/>
      <c r="B600" s="148" t="s">
        <v>1271</v>
      </c>
      <c r="C600" s="112" t="s">
        <v>903</v>
      </c>
      <c r="D600" s="999"/>
      <c r="E600" s="998"/>
      <c r="F600" s="190">
        <f>ROUND(D600*E600,0)</f>
        <v>0</v>
      </c>
      <c r="G600" s="190">
        <f t="shared" si="240"/>
        <v>0</v>
      </c>
      <c r="H600" s="190">
        <f t="shared" ref="H600:H601" si="268">ROUND(F600*5/100,0)</f>
        <v>0</v>
      </c>
      <c r="I600" s="328" t="s">
        <v>1774</v>
      </c>
    </row>
    <row r="601" spans="1:9" s="141" customFormat="1" ht="26" hidden="1">
      <c r="A601" s="122"/>
      <c r="B601" s="148" t="s">
        <v>1272</v>
      </c>
      <c r="C601" s="112" t="s">
        <v>1014</v>
      </c>
      <c r="D601" s="999">
        <v>2</v>
      </c>
      <c r="E601" s="115">
        <v>97</v>
      </c>
      <c r="F601" s="190">
        <f>ROUND(D601*E601,0)</f>
        <v>194</v>
      </c>
      <c r="G601" s="190">
        <f t="shared" si="240"/>
        <v>184</v>
      </c>
      <c r="H601" s="190">
        <f t="shared" si="268"/>
        <v>10</v>
      </c>
      <c r="I601" s="328" t="s">
        <v>1774</v>
      </c>
    </row>
    <row r="602" spans="1:9" ht="39">
      <c r="A602" s="119">
        <v>4</v>
      </c>
      <c r="B602" s="222" t="s">
        <v>1273</v>
      </c>
      <c r="C602" s="119"/>
      <c r="D602" s="649"/>
      <c r="E602" s="996"/>
      <c r="F602" s="155">
        <f>SUM(F603:F606)</f>
        <v>908</v>
      </c>
      <c r="G602" s="155">
        <f t="shared" ref="G602:H602" si="269">SUM(G603:G606)</f>
        <v>863</v>
      </c>
      <c r="H602" s="212">
        <f t="shared" si="269"/>
        <v>45</v>
      </c>
      <c r="I602" s="553"/>
    </row>
    <row r="603" spans="1:9" s="141" customFormat="1" ht="26" hidden="1">
      <c r="A603" s="122" t="s">
        <v>742</v>
      </c>
      <c r="B603" s="148" t="s">
        <v>1280</v>
      </c>
      <c r="C603" s="112" t="s">
        <v>903</v>
      </c>
      <c r="D603" s="999">
        <v>24</v>
      </c>
      <c r="E603" s="115">
        <v>36</v>
      </c>
      <c r="F603" s="190">
        <f>ROUND(D603*E603,0)</f>
        <v>864</v>
      </c>
      <c r="G603" s="190">
        <f t="shared" si="240"/>
        <v>821</v>
      </c>
      <c r="H603" s="190">
        <f t="shared" ref="H603:H606" si="270">ROUND(F603*5/100,0)</f>
        <v>43</v>
      </c>
      <c r="I603" s="328" t="s">
        <v>1774</v>
      </c>
    </row>
    <row r="604" spans="1:9" s="141" customFormat="1" ht="26" hidden="1">
      <c r="A604" s="112" t="s">
        <v>742</v>
      </c>
      <c r="B604" s="148" t="s">
        <v>1773</v>
      </c>
      <c r="C604" s="112" t="s">
        <v>903</v>
      </c>
      <c r="D604" s="650"/>
      <c r="E604" s="163"/>
      <c r="F604" s="155">
        <f>D604*E604</f>
        <v>0</v>
      </c>
      <c r="G604" s="291">
        <f t="shared" si="240"/>
        <v>0</v>
      </c>
      <c r="H604" s="291">
        <f t="shared" si="270"/>
        <v>0</v>
      </c>
      <c r="I604" s="328" t="s">
        <v>1774</v>
      </c>
    </row>
    <row r="605" spans="1:9" s="141" customFormat="1" hidden="1">
      <c r="A605" s="112" t="s">
        <v>742</v>
      </c>
      <c r="B605" s="148" t="s">
        <v>1282</v>
      </c>
      <c r="C605" s="112"/>
      <c r="D605" s="650"/>
      <c r="E605" s="651"/>
      <c r="F605" s="155">
        <f>D605*E605</f>
        <v>0</v>
      </c>
      <c r="G605" s="291">
        <f t="shared" si="240"/>
        <v>0</v>
      </c>
      <c r="H605" s="291">
        <f t="shared" si="270"/>
        <v>0</v>
      </c>
      <c r="I605" s="328" t="s">
        <v>1774</v>
      </c>
    </row>
    <row r="606" spans="1:9" s="141" customFormat="1" hidden="1">
      <c r="A606" s="112" t="s">
        <v>742</v>
      </c>
      <c r="B606" s="148" t="s">
        <v>1283</v>
      </c>
      <c r="C606" s="112" t="s">
        <v>878</v>
      </c>
      <c r="D606" s="650">
        <v>3</v>
      </c>
      <c r="E606" s="250">
        <v>14.7</v>
      </c>
      <c r="F606" s="155">
        <f>ROUND(D606*E606,0)</f>
        <v>44</v>
      </c>
      <c r="G606" s="291">
        <f t="shared" si="240"/>
        <v>42</v>
      </c>
      <c r="H606" s="291">
        <f t="shared" si="270"/>
        <v>2</v>
      </c>
      <c r="I606" s="328" t="s">
        <v>1774</v>
      </c>
    </row>
    <row r="607" spans="1:9" ht="18" customHeight="1">
      <c r="A607" s="108" t="s">
        <v>81</v>
      </c>
      <c r="B607" s="992" t="s">
        <v>11</v>
      </c>
      <c r="C607" s="108"/>
      <c r="D607" s="1004"/>
      <c r="E607" s="1004"/>
      <c r="F607" s="139">
        <f>+F608+F637+F654+F669</f>
        <v>10514</v>
      </c>
      <c r="G607" s="139">
        <f>+G608+G637+G654+G669</f>
        <v>9993</v>
      </c>
      <c r="H607" s="411">
        <f>+H608+H637+H654+H669</f>
        <v>521</v>
      </c>
      <c r="I607" s="553"/>
    </row>
    <row r="608" spans="1:9" ht="39">
      <c r="A608" s="119">
        <v>1</v>
      </c>
      <c r="B608" s="222" t="s">
        <v>1214</v>
      </c>
      <c r="C608" s="119"/>
      <c r="D608" s="649"/>
      <c r="E608" s="996"/>
      <c r="F608" s="209">
        <f>+F609+F615+F625+F626</f>
        <v>6753</v>
      </c>
      <c r="G608" s="209">
        <f t="shared" ref="G608:H608" si="271">+G609+G615+G625+G626</f>
        <v>6429</v>
      </c>
      <c r="H608" s="211">
        <f t="shared" si="271"/>
        <v>324</v>
      </c>
      <c r="I608" s="553"/>
    </row>
    <row r="609" spans="1:9" ht="18" customHeight="1">
      <c r="A609" s="112" t="s">
        <v>911</v>
      </c>
      <c r="B609" s="148" t="s">
        <v>1215</v>
      </c>
      <c r="C609" s="112"/>
      <c r="D609" s="650"/>
      <c r="E609" s="651"/>
      <c r="F609" s="155">
        <f>SUM(F610:F614)</f>
        <v>450</v>
      </c>
      <c r="G609" s="155">
        <f>SUM(G610:G614)</f>
        <v>432</v>
      </c>
      <c r="H609" s="212">
        <f>SUM(H610:H614)</f>
        <v>18</v>
      </c>
      <c r="I609" s="553"/>
    </row>
    <row r="610" spans="1:9" s="141" customFormat="1" ht="26" hidden="1">
      <c r="A610" s="112" t="s">
        <v>742</v>
      </c>
      <c r="B610" s="148" t="s">
        <v>1216</v>
      </c>
      <c r="C610" s="112" t="s">
        <v>838</v>
      </c>
      <c r="D610" s="999"/>
      <c r="E610" s="997">
        <v>7.0000000000000007E-2</v>
      </c>
      <c r="F610" s="155">
        <f>ROUND(D610*E610,0)</f>
        <v>0</v>
      </c>
      <c r="G610" s="155">
        <f>F610-H610</f>
        <v>0</v>
      </c>
      <c r="H610" s="155">
        <f>ROUND(F610*5/100,0)</f>
        <v>0</v>
      </c>
      <c r="I610" s="328" t="s">
        <v>1774</v>
      </c>
    </row>
    <row r="611" spans="1:9" s="141" customFormat="1" hidden="1">
      <c r="A611" s="112" t="s">
        <v>742</v>
      </c>
      <c r="B611" s="148" t="s">
        <v>1217</v>
      </c>
      <c r="C611" s="112" t="s">
        <v>1218</v>
      </c>
      <c r="D611" s="999"/>
      <c r="E611" s="115"/>
      <c r="F611" s="155">
        <f>D611*E611</f>
        <v>0</v>
      </c>
      <c r="G611" s="155">
        <f t="shared" ref="G611:G673" si="272">F611-H611</f>
        <v>0</v>
      </c>
      <c r="H611" s="155">
        <f t="shared" ref="H611:H614" si="273">ROUND(F611*5/100,0)</f>
        <v>0</v>
      </c>
      <c r="I611" s="328" t="s">
        <v>1774</v>
      </c>
    </row>
    <row r="612" spans="1:9" s="141" customFormat="1" hidden="1">
      <c r="A612" s="112" t="s">
        <v>742</v>
      </c>
      <c r="B612" s="148" t="s">
        <v>1219</v>
      </c>
      <c r="C612" s="112" t="s">
        <v>903</v>
      </c>
      <c r="D612" s="999">
        <v>6</v>
      </c>
      <c r="E612" s="998">
        <v>46.3</v>
      </c>
      <c r="F612" s="155">
        <f>ROUND(D612*E612,0)</f>
        <v>278</v>
      </c>
      <c r="G612" s="155">
        <f>F612-H612</f>
        <v>267</v>
      </c>
      <c r="H612" s="155">
        <f>ROUND(F612*5/100,0)-3</f>
        <v>11</v>
      </c>
      <c r="I612" s="328" t="s">
        <v>1774</v>
      </c>
    </row>
    <row r="613" spans="1:9" s="141" customFormat="1" ht="26" hidden="1">
      <c r="A613" s="112" t="s">
        <v>742</v>
      </c>
      <c r="B613" s="148" t="s">
        <v>1220</v>
      </c>
      <c r="C613" s="112" t="s">
        <v>1034</v>
      </c>
      <c r="D613" s="999">
        <v>24</v>
      </c>
      <c r="E613" s="115">
        <v>3</v>
      </c>
      <c r="F613" s="190">
        <f>D613*E613</f>
        <v>72</v>
      </c>
      <c r="G613" s="190">
        <f t="shared" si="272"/>
        <v>70</v>
      </c>
      <c r="H613" s="190">
        <f>ROUND(F613*5/100,0)-2</f>
        <v>2</v>
      </c>
      <c r="I613" s="328" t="s">
        <v>1774</v>
      </c>
    </row>
    <row r="614" spans="1:9" s="141" customFormat="1" ht="26" hidden="1">
      <c r="A614" s="112" t="s">
        <v>742</v>
      </c>
      <c r="B614" s="148" t="s">
        <v>1221</v>
      </c>
      <c r="C614" s="112" t="s">
        <v>876</v>
      </c>
      <c r="D614" s="999">
        <v>10</v>
      </c>
      <c r="E614" s="115">
        <v>10</v>
      </c>
      <c r="F614" s="155">
        <f>D614*E614</f>
        <v>100</v>
      </c>
      <c r="G614" s="155">
        <f t="shared" si="272"/>
        <v>95</v>
      </c>
      <c r="H614" s="155">
        <f t="shared" si="273"/>
        <v>5</v>
      </c>
      <c r="I614" s="328" t="s">
        <v>1774</v>
      </c>
    </row>
    <row r="615" spans="1:9" ht="26">
      <c r="A615" s="112" t="s">
        <v>915</v>
      </c>
      <c r="B615" s="148" t="s">
        <v>1222</v>
      </c>
      <c r="C615" s="112"/>
      <c r="D615" s="650"/>
      <c r="E615" s="651"/>
      <c r="F615" s="155">
        <f>SUM(F616:F618)</f>
        <v>959</v>
      </c>
      <c r="G615" s="155">
        <f t="shared" ref="G615:H615" si="274">SUM(G616:G618)</f>
        <v>913</v>
      </c>
      <c r="H615" s="212">
        <f t="shared" si="274"/>
        <v>46</v>
      </c>
      <c r="I615" s="553"/>
    </row>
    <row r="616" spans="1:9" s="141" customFormat="1" hidden="1">
      <c r="A616" s="122" t="s">
        <v>742</v>
      </c>
      <c r="B616" s="148" t="s">
        <v>1223</v>
      </c>
      <c r="C616" s="112" t="s">
        <v>1226</v>
      </c>
      <c r="D616" s="999">
        <v>50</v>
      </c>
      <c r="E616" s="997">
        <v>0.2</v>
      </c>
      <c r="F616" s="155">
        <f>ROUND(D616*E616,0)</f>
        <v>10</v>
      </c>
      <c r="G616" s="155">
        <f t="shared" si="272"/>
        <v>9</v>
      </c>
      <c r="H616" s="155">
        <f t="shared" ref="H616:H617" si="275">ROUND(F616*5/100,0)</f>
        <v>1</v>
      </c>
      <c r="I616" s="328" t="s">
        <v>1774</v>
      </c>
    </row>
    <row r="617" spans="1:9" s="141" customFormat="1" ht="26" hidden="1">
      <c r="A617" s="122" t="s">
        <v>742</v>
      </c>
      <c r="B617" s="148" t="s">
        <v>1224</v>
      </c>
      <c r="C617" s="112" t="s">
        <v>1034</v>
      </c>
      <c r="D617" s="999">
        <v>95</v>
      </c>
      <c r="E617" s="115">
        <v>3</v>
      </c>
      <c r="F617" s="155">
        <f>D617*E617</f>
        <v>285</v>
      </c>
      <c r="G617" s="155">
        <f>F617-H617</f>
        <v>271</v>
      </c>
      <c r="H617" s="155">
        <f t="shared" si="275"/>
        <v>14</v>
      </c>
      <c r="I617" s="328" t="s">
        <v>1774</v>
      </c>
    </row>
    <row r="618" spans="1:9" s="141" customFormat="1" ht="39" hidden="1">
      <c r="A618" s="122" t="s">
        <v>742</v>
      </c>
      <c r="B618" s="148" t="s">
        <v>1225</v>
      </c>
      <c r="C618" s="112"/>
      <c r="D618" s="999"/>
      <c r="E618" s="115"/>
      <c r="F618" s="155">
        <f>+F619+F620+F621</f>
        <v>664</v>
      </c>
      <c r="G618" s="155">
        <f t="shared" ref="G618:H618" si="276">+G619+G620+G621</f>
        <v>633</v>
      </c>
      <c r="H618" s="155">
        <f t="shared" si="276"/>
        <v>31</v>
      </c>
      <c r="I618" s="328" t="s">
        <v>1774</v>
      </c>
    </row>
    <row r="619" spans="1:9" s="141" customFormat="1" hidden="1">
      <c r="A619" s="122"/>
      <c r="B619" s="148" t="s">
        <v>1983</v>
      </c>
      <c r="C619" s="112" t="s">
        <v>1229</v>
      </c>
      <c r="D619" s="999">
        <v>4</v>
      </c>
      <c r="E619" s="115">
        <v>86</v>
      </c>
      <c r="F619" s="155">
        <f t="shared" ref="F619:F620" si="277">ROUND(D619*E619,0)</f>
        <v>344</v>
      </c>
      <c r="G619" s="155">
        <f t="shared" ref="G619:G623" si="278">F619-H619</f>
        <v>327</v>
      </c>
      <c r="H619" s="155">
        <f t="shared" ref="H619" si="279">ROUND(F619*5/100,0)</f>
        <v>17</v>
      </c>
      <c r="I619" s="328" t="s">
        <v>1774</v>
      </c>
    </row>
    <row r="620" spans="1:9" s="141" customFormat="1" hidden="1">
      <c r="A620" s="122"/>
      <c r="B620" s="148" t="s">
        <v>1985</v>
      </c>
      <c r="C620" s="112" t="s">
        <v>1229</v>
      </c>
      <c r="D620" s="999">
        <v>4</v>
      </c>
      <c r="E620" s="998">
        <v>80.099999999999994</v>
      </c>
      <c r="F620" s="155">
        <f t="shared" si="277"/>
        <v>320</v>
      </c>
      <c r="G620" s="155">
        <f t="shared" si="278"/>
        <v>306</v>
      </c>
      <c r="H620" s="155">
        <f>ROUND(F620*5/100,0)-2</f>
        <v>14</v>
      </c>
      <c r="I620" s="328" t="s">
        <v>1774</v>
      </c>
    </row>
    <row r="621" spans="1:9" s="141" customFormat="1" hidden="1">
      <c r="A621" s="122"/>
      <c r="B621" s="148" t="s">
        <v>1223</v>
      </c>
      <c r="C621" s="112"/>
      <c r="D621" s="999"/>
      <c r="E621" s="115"/>
      <c r="F621" s="155">
        <f>SUM(F622:F624)</f>
        <v>0</v>
      </c>
      <c r="G621" s="155">
        <f t="shared" ref="G621:H621" si="280">SUM(G622:G624)</f>
        <v>0</v>
      </c>
      <c r="H621" s="155">
        <f t="shared" si="280"/>
        <v>0</v>
      </c>
      <c r="I621" s="328" t="s">
        <v>1774</v>
      </c>
    </row>
    <row r="622" spans="1:9" s="141" customFormat="1" ht="26" hidden="1">
      <c r="A622" s="122"/>
      <c r="B622" s="148" t="s">
        <v>2031</v>
      </c>
      <c r="C622" s="112" t="s">
        <v>1018</v>
      </c>
      <c r="D622" s="999"/>
      <c r="E622" s="115"/>
      <c r="F622" s="155">
        <f>ROUND(D622*E622,0)</f>
        <v>0</v>
      </c>
      <c r="G622" s="155">
        <f>F622-H622</f>
        <v>0</v>
      </c>
      <c r="H622" s="155">
        <f t="shared" ref="H622:H623" si="281">ROUND(F622*5/100,0)</f>
        <v>0</v>
      </c>
      <c r="I622" s="328" t="s">
        <v>1774</v>
      </c>
    </row>
    <row r="623" spans="1:9" s="141" customFormat="1" ht="26" hidden="1">
      <c r="A623" s="122"/>
      <c r="B623" s="148" t="s">
        <v>2044</v>
      </c>
      <c r="C623" s="112" t="s">
        <v>1018</v>
      </c>
      <c r="D623" s="999"/>
      <c r="E623" s="115">
        <v>0.8</v>
      </c>
      <c r="F623" s="155">
        <f t="shared" ref="F623" si="282">ROUND(D623*E623,0)</f>
        <v>0</v>
      </c>
      <c r="G623" s="155">
        <f t="shared" si="278"/>
        <v>0</v>
      </c>
      <c r="H623" s="155">
        <f t="shared" si="281"/>
        <v>0</v>
      </c>
      <c r="I623" s="328" t="s">
        <v>1774</v>
      </c>
    </row>
    <row r="624" spans="1:9" s="141" customFormat="1" hidden="1">
      <c r="A624" s="122"/>
      <c r="B624" s="148" t="s">
        <v>2033</v>
      </c>
      <c r="C624" s="112" t="s">
        <v>2034</v>
      </c>
      <c r="D624" s="999"/>
      <c r="E624" s="115"/>
      <c r="F624" s="155"/>
      <c r="G624" s="155"/>
      <c r="H624" s="155"/>
      <c r="I624" s="328" t="s">
        <v>1774</v>
      </c>
    </row>
    <row r="625" spans="1:9" ht="26">
      <c r="A625" s="112" t="s">
        <v>1227</v>
      </c>
      <c r="B625" s="148" t="s">
        <v>1228</v>
      </c>
      <c r="C625" s="112" t="s">
        <v>1229</v>
      </c>
      <c r="D625" s="650">
        <v>2</v>
      </c>
      <c r="E625" s="163">
        <v>80</v>
      </c>
      <c r="F625" s="291">
        <f>ROUND(D625*E625,0)</f>
        <v>160</v>
      </c>
      <c r="G625" s="291">
        <f t="shared" si="272"/>
        <v>160</v>
      </c>
      <c r="H625" s="1033"/>
      <c r="I625" s="553"/>
    </row>
    <row r="626" spans="1:9" ht="26">
      <c r="A626" s="112" t="s">
        <v>1230</v>
      </c>
      <c r="B626" s="148" t="s">
        <v>1231</v>
      </c>
      <c r="C626" s="112"/>
      <c r="D626" s="650"/>
      <c r="E626" s="651"/>
      <c r="F626" s="155">
        <f>+F627+F632+F635+F636</f>
        <v>5184</v>
      </c>
      <c r="G626" s="155">
        <f>+G627+G632+G635+G636</f>
        <v>4924</v>
      </c>
      <c r="H626" s="212">
        <f>+H627+H632+H635+H636</f>
        <v>260</v>
      </c>
      <c r="I626" s="553"/>
    </row>
    <row r="627" spans="1:9" s="141" customFormat="1" ht="26" hidden="1">
      <c r="A627" s="122" t="s">
        <v>701</v>
      </c>
      <c r="B627" s="148" t="s">
        <v>1232</v>
      </c>
      <c r="C627" s="112"/>
      <c r="D627" s="999"/>
      <c r="E627" s="115"/>
      <c r="F627" s="291">
        <f>SUM(F628:F631)</f>
        <v>4771</v>
      </c>
      <c r="G627" s="291">
        <f t="shared" ref="G627:H627" si="283">SUM(G628:G631)</f>
        <v>4532</v>
      </c>
      <c r="H627" s="291">
        <f t="shared" si="283"/>
        <v>239</v>
      </c>
      <c r="I627" s="328" t="s">
        <v>1774</v>
      </c>
    </row>
    <row r="628" spans="1:9" s="141" customFormat="1" ht="26" hidden="1">
      <c r="A628" s="122"/>
      <c r="B628" s="154" t="s">
        <v>1233</v>
      </c>
      <c r="C628" s="112" t="s">
        <v>1234</v>
      </c>
      <c r="D628" s="999">
        <v>2074</v>
      </c>
      <c r="E628" s="998">
        <v>0.2</v>
      </c>
      <c r="F628" s="155">
        <f>ROUND(D628*E628,0)</f>
        <v>415</v>
      </c>
      <c r="G628" s="155">
        <f t="shared" si="272"/>
        <v>394</v>
      </c>
      <c r="H628" s="155">
        <f t="shared" ref="H628:H636" si="284">ROUND(F628*5/100,0)</f>
        <v>21</v>
      </c>
      <c r="I628" s="328" t="s">
        <v>1774</v>
      </c>
    </row>
    <row r="629" spans="1:9" s="141" customFormat="1" ht="26" hidden="1">
      <c r="A629" s="122"/>
      <c r="B629" s="154" t="s">
        <v>1235</v>
      </c>
      <c r="C629" s="112" t="s">
        <v>1236</v>
      </c>
      <c r="D629" s="999">
        <v>2074</v>
      </c>
      <c r="E629" s="998">
        <v>0.5</v>
      </c>
      <c r="F629" s="155">
        <f>ROUND(D629*E629,0)</f>
        <v>1037</v>
      </c>
      <c r="G629" s="155">
        <f t="shared" si="272"/>
        <v>985</v>
      </c>
      <c r="H629" s="155">
        <f t="shared" si="284"/>
        <v>52</v>
      </c>
      <c r="I629" s="328" t="s">
        <v>1774</v>
      </c>
    </row>
    <row r="630" spans="1:9" s="141" customFormat="1" ht="26" hidden="1">
      <c r="A630" s="122"/>
      <c r="B630" s="154" t="s">
        <v>1237</v>
      </c>
      <c r="C630" s="112" t="s">
        <v>1234</v>
      </c>
      <c r="D630" s="999">
        <v>2074</v>
      </c>
      <c r="E630" s="998">
        <v>0.4</v>
      </c>
      <c r="F630" s="155">
        <f>ROUND(D630*E630,0)</f>
        <v>830</v>
      </c>
      <c r="G630" s="155">
        <f t="shared" si="272"/>
        <v>788</v>
      </c>
      <c r="H630" s="155">
        <f t="shared" si="284"/>
        <v>42</v>
      </c>
      <c r="I630" s="328" t="s">
        <v>1774</v>
      </c>
    </row>
    <row r="631" spans="1:9" s="141" customFormat="1" ht="26" hidden="1">
      <c r="A631" s="122"/>
      <c r="B631" s="154" t="s">
        <v>1238</v>
      </c>
      <c r="C631" s="112" t="s">
        <v>1234</v>
      </c>
      <c r="D631" s="999">
        <v>2074</v>
      </c>
      <c r="E631" s="998">
        <v>1.2</v>
      </c>
      <c r="F631" s="155">
        <f>ROUND(D631*E631,0)</f>
        <v>2489</v>
      </c>
      <c r="G631" s="155">
        <f t="shared" si="272"/>
        <v>2365</v>
      </c>
      <c r="H631" s="155">
        <f t="shared" si="284"/>
        <v>124</v>
      </c>
      <c r="I631" s="328" t="s">
        <v>1774</v>
      </c>
    </row>
    <row r="632" spans="1:9" s="141" customFormat="1" ht="39" hidden="1">
      <c r="A632" s="122" t="s">
        <v>701</v>
      </c>
      <c r="B632" s="148" t="s">
        <v>1274</v>
      </c>
      <c r="C632" s="112" t="s">
        <v>903</v>
      </c>
      <c r="D632" s="999">
        <v>5</v>
      </c>
      <c r="E632" s="998">
        <v>47.4</v>
      </c>
      <c r="F632" s="155">
        <f>ROUND(D632*E632,0)</f>
        <v>237</v>
      </c>
      <c r="G632" s="155">
        <f t="shared" si="272"/>
        <v>225</v>
      </c>
      <c r="H632" s="155">
        <f t="shared" si="284"/>
        <v>12</v>
      </c>
      <c r="I632" s="328" t="s">
        <v>1774</v>
      </c>
    </row>
    <row r="633" spans="1:9" s="141" customFormat="1" ht="26" hidden="1">
      <c r="A633" s="122"/>
      <c r="B633" s="154" t="s">
        <v>1275</v>
      </c>
      <c r="C633" s="112"/>
      <c r="D633" s="999"/>
      <c r="E633" s="115"/>
      <c r="F633" s="155">
        <f>D633*E633</f>
        <v>0</v>
      </c>
      <c r="G633" s="155">
        <f t="shared" si="272"/>
        <v>0</v>
      </c>
      <c r="H633" s="155">
        <f t="shared" si="284"/>
        <v>0</v>
      </c>
      <c r="I633" s="328" t="s">
        <v>1774</v>
      </c>
    </row>
    <row r="634" spans="1:9" s="141" customFormat="1" ht="26" hidden="1">
      <c r="A634" s="122"/>
      <c r="B634" s="154" t="s">
        <v>1276</v>
      </c>
      <c r="C634" s="112" t="s">
        <v>903</v>
      </c>
      <c r="D634" s="999"/>
      <c r="E634" s="115"/>
      <c r="F634" s="155">
        <f>D634*E634</f>
        <v>0</v>
      </c>
      <c r="G634" s="155">
        <f t="shared" si="272"/>
        <v>0</v>
      </c>
      <c r="H634" s="155">
        <f t="shared" si="284"/>
        <v>0</v>
      </c>
      <c r="I634" s="328" t="s">
        <v>1774</v>
      </c>
    </row>
    <row r="635" spans="1:9" s="141" customFormat="1" ht="39" hidden="1">
      <c r="A635" s="112" t="s">
        <v>742</v>
      </c>
      <c r="B635" s="148" t="s">
        <v>1239</v>
      </c>
      <c r="C635" s="112" t="s">
        <v>902</v>
      </c>
      <c r="D635" s="999">
        <v>10</v>
      </c>
      <c r="E635" s="115">
        <v>10</v>
      </c>
      <c r="F635" s="190">
        <f>ROUND(D635*E635,0)</f>
        <v>100</v>
      </c>
      <c r="G635" s="190">
        <f t="shared" si="272"/>
        <v>95</v>
      </c>
      <c r="H635" s="190">
        <f t="shared" si="284"/>
        <v>5</v>
      </c>
      <c r="I635" s="328" t="s">
        <v>1774</v>
      </c>
    </row>
    <row r="636" spans="1:9" s="141" customFormat="1" ht="26" hidden="1">
      <c r="A636" s="112" t="s">
        <v>742</v>
      </c>
      <c r="B636" s="148" t="s">
        <v>1240</v>
      </c>
      <c r="C636" s="112" t="s">
        <v>1147</v>
      </c>
      <c r="D636" s="999">
        <v>10</v>
      </c>
      <c r="E636" s="998">
        <v>7.6</v>
      </c>
      <c r="F636" s="190">
        <f>ROUND(D636*E636,0)</f>
        <v>76</v>
      </c>
      <c r="G636" s="190">
        <f t="shared" si="272"/>
        <v>72</v>
      </c>
      <c r="H636" s="190">
        <f t="shared" si="284"/>
        <v>4</v>
      </c>
      <c r="I636" s="328" t="s">
        <v>1774</v>
      </c>
    </row>
    <row r="637" spans="1:9" ht="39">
      <c r="A637" s="119">
        <v>2</v>
      </c>
      <c r="B637" s="222" t="s">
        <v>1241</v>
      </c>
      <c r="C637" s="119"/>
      <c r="D637" s="649"/>
      <c r="E637" s="996"/>
      <c r="F637" s="155">
        <f>+F638+F642+F644+F650</f>
        <v>862</v>
      </c>
      <c r="G637" s="155">
        <f t="shared" ref="G637:H637" si="285">+G638+G642+G644+G650</f>
        <v>818</v>
      </c>
      <c r="H637" s="212">
        <f t="shared" si="285"/>
        <v>44</v>
      </c>
      <c r="I637" s="553"/>
    </row>
    <row r="638" spans="1:9" ht="26">
      <c r="A638" s="112" t="s">
        <v>911</v>
      </c>
      <c r="B638" s="148" t="s">
        <v>1242</v>
      </c>
      <c r="C638" s="112"/>
      <c r="D638" s="650"/>
      <c r="E638" s="651"/>
      <c r="F638" s="155">
        <f>SUM(F639:F641)</f>
        <v>522</v>
      </c>
      <c r="G638" s="155">
        <f t="shared" ref="G638:H638" si="286">SUM(G639:G641)</f>
        <v>496</v>
      </c>
      <c r="H638" s="212">
        <f t="shared" si="286"/>
        <v>26</v>
      </c>
      <c r="I638" s="553"/>
    </row>
    <row r="639" spans="1:9" s="141" customFormat="1" hidden="1">
      <c r="A639" s="122"/>
      <c r="B639" s="221" t="s">
        <v>1243</v>
      </c>
      <c r="C639" s="112" t="s">
        <v>838</v>
      </c>
      <c r="D639" s="999"/>
      <c r="E639" s="997">
        <v>0.05</v>
      </c>
      <c r="F639" s="291">
        <f>ROUND(E639*D639,0)</f>
        <v>0</v>
      </c>
      <c r="G639" s="291">
        <f t="shared" si="272"/>
        <v>0</v>
      </c>
      <c r="H639" s="291">
        <f t="shared" ref="H639:H643" si="287">ROUND(F639*5/100,0)</f>
        <v>0</v>
      </c>
      <c r="I639" s="328" t="s">
        <v>1774</v>
      </c>
    </row>
    <row r="640" spans="1:9" s="141" customFormat="1" hidden="1">
      <c r="A640" s="122"/>
      <c r="B640" s="148" t="s">
        <v>2376</v>
      </c>
      <c r="C640" s="112" t="s">
        <v>903</v>
      </c>
      <c r="D640" s="999">
        <v>8</v>
      </c>
      <c r="E640" s="998">
        <v>47.4</v>
      </c>
      <c r="F640" s="291">
        <f>ROUND(E640*D640,0)</f>
        <v>379</v>
      </c>
      <c r="G640" s="291">
        <f t="shared" si="272"/>
        <v>360</v>
      </c>
      <c r="H640" s="291">
        <f t="shared" si="287"/>
        <v>19</v>
      </c>
      <c r="I640" s="328" t="s">
        <v>1774</v>
      </c>
    </row>
    <row r="641" spans="1:9" s="141" customFormat="1" ht="26" hidden="1">
      <c r="A641" s="122"/>
      <c r="B641" s="148" t="s">
        <v>1244</v>
      </c>
      <c r="C641" s="112" t="s">
        <v>1245</v>
      </c>
      <c r="D641" s="999">
        <v>95</v>
      </c>
      <c r="E641" s="998">
        <v>1.5</v>
      </c>
      <c r="F641" s="291">
        <f>ROUND(E641*D641,0)</f>
        <v>143</v>
      </c>
      <c r="G641" s="291">
        <f t="shared" si="272"/>
        <v>136</v>
      </c>
      <c r="H641" s="291">
        <f t="shared" si="287"/>
        <v>7</v>
      </c>
      <c r="I641" s="328" t="s">
        <v>1774</v>
      </c>
    </row>
    <row r="642" spans="1:9" ht="26">
      <c r="A642" s="112" t="s">
        <v>915</v>
      </c>
      <c r="B642" s="148" t="s">
        <v>1246</v>
      </c>
      <c r="C642" s="112"/>
      <c r="D642" s="650"/>
      <c r="E642" s="651"/>
      <c r="F642" s="155">
        <f>+F643</f>
        <v>100</v>
      </c>
      <c r="G642" s="155">
        <f t="shared" si="272"/>
        <v>95</v>
      </c>
      <c r="H642" s="212">
        <f t="shared" si="287"/>
        <v>5</v>
      </c>
      <c r="I642" s="553"/>
    </row>
    <row r="643" spans="1:9" s="141" customFormat="1" ht="39" hidden="1">
      <c r="A643" s="122"/>
      <c r="B643" s="148" t="s">
        <v>1247</v>
      </c>
      <c r="C643" s="112" t="s">
        <v>1034</v>
      </c>
      <c r="D643" s="999">
        <v>1</v>
      </c>
      <c r="E643" s="115">
        <v>100</v>
      </c>
      <c r="F643" s="155">
        <f>D643*E643</f>
        <v>100</v>
      </c>
      <c r="G643" s="155">
        <f t="shared" si="272"/>
        <v>95</v>
      </c>
      <c r="H643" s="155">
        <f t="shared" si="287"/>
        <v>5</v>
      </c>
      <c r="I643" s="328" t="s">
        <v>1774</v>
      </c>
    </row>
    <row r="644" spans="1:9" ht="26">
      <c r="A644" s="112" t="s">
        <v>1227</v>
      </c>
      <c r="B644" s="148" t="s">
        <v>1248</v>
      </c>
      <c r="C644" s="112"/>
      <c r="D644" s="650"/>
      <c r="E644" s="651"/>
      <c r="F644" s="155">
        <f t="shared" ref="F644:H644" si="288">+F645+F646+F649</f>
        <v>210</v>
      </c>
      <c r="G644" s="155">
        <f t="shared" si="288"/>
        <v>199</v>
      </c>
      <c r="H644" s="212">
        <f t="shared" si="288"/>
        <v>11</v>
      </c>
      <c r="I644" s="553"/>
    </row>
    <row r="645" spans="1:9" s="141" customFormat="1" ht="26" hidden="1">
      <c r="A645" s="122" t="s">
        <v>742</v>
      </c>
      <c r="B645" s="148" t="s">
        <v>1216</v>
      </c>
      <c r="C645" s="112"/>
      <c r="D645" s="999"/>
      <c r="E645" s="997"/>
      <c r="F645" s="155">
        <f>ROUND(E645*D645,0)</f>
        <v>0</v>
      </c>
      <c r="G645" s="155">
        <f t="shared" si="272"/>
        <v>0</v>
      </c>
      <c r="H645" s="155">
        <f t="shared" ref="H645" si="289">ROUND(F645*5/100,0)</f>
        <v>0</v>
      </c>
      <c r="I645" s="328" t="s">
        <v>1774</v>
      </c>
    </row>
    <row r="646" spans="1:9" s="141" customFormat="1" ht="26" hidden="1">
      <c r="A646" s="122" t="s">
        <v>742</v>
      </c>
      <c r="B646" s="148" t="s">
        <v>1249</v>
      </c>
      <c r="C646" s="112"/>
      <c r="D646" s="999"/>
      <c r="E646" s="115"/>
      <c r="F646" s="291">
        <f t="shared" ref="F646:H646" si="290">+F647+F648</f>
        <v>120</v>
      </c>
      <c r="G646" s="291">
        <f t="shared" si="290"/>
        <v>114</v>
      </c>
      <c r="H646" s="291">
        <f t="shared" si="290"/>
        <v>6</v>
      </c>
      <c r="I646" s="328" t="s">
        <v>1774</v>
      </c>
    </row>
    <row r="647" spans="1:9" s="141" customFormat="1" ht="26" hidden="1">
      <c r="A647" s="122"/>
      <c r="B647" s="222" t="s">
        <v>1250</v>
      </c>
      <c r="C647" s="112" t="s">
        <v>1251</v>
      </c>
      <c r="D647" s="999">
        <v>20</v>
      </c>
      <c r="E647" s="115">
        <v>3</v>
      </c>
      <c r="F647" s="155">
        <f>ROUND(E647*D647,0)</f>
        <v>60</v>
      </c>
      <c r="G647" s="155">
        <f t="shared" si="272"/>
        <v>57</v>
      </c>
      <c r="H647" s="155">
        <f t="shared" ref="H647:H653" si="291">ROUND(F647*5/100,0)</f>
        <v>3</v>
      </c>
      <c r="I647" s="328" t="s">
        <v>1774</v>
      </c>
    </row>
    <row r="648" spans="1:9" s="141" customFormat="1" ht="39" hidden="1">
      <c r="A648" s="122"/>
      <c r="B648" s="222" t="s">
        <v>1252</v>
      </c>
      <c r="C648" s="112" t="s">
        <v>1251</v>
      </c>
      <c r="D648" s="999">
        <v>20</v>
      </c>
      <c r="E648" s="115">
        <v>3</v>
      </c>
      <c r="F648" s="155">
        <f>ROUND(E648*D648,0)</f>
        <v>60</v>
      </c>
      <c r="G648" s="155">
        <f t="shared" si="272"/>
        <v>57</v>
      </c>
      <c r="H648" s="155">
        <f t="shared" si="291"/>
        <v>3</v>
      </c>
      <c r="I648" s="328" t="s">
        <v>1774</v>
      </c>
    </row>
    <row r="649" spans="1:9" s="141" customFormat="1" ht="26" hidden="1">
      <c r="A649" s="122" t="s">
        <v>742</v>
      </c>
      <c r="B649" s="148" t="s">
        <v>1253</v>
      </c>
      <c r="C649" s="112" t="s">
        <v>1251</v>
      </c>
      <c r="D649" s="999">
        <v>6</v>
      </c>
      <c r="E649" s="115">
        <v>15</v>
      </c>
      <c r="F649" s="155">
        <f>ROUND(E649*D649,0)</f>
        <v>90</v>
      </c>
      <c r="G649" s="155">
        <f t="shared" si="272"/>
        <v>85</v>
      </c>
      <c r="H649" s="155">
        <f t="shared" si="291"/>
        <v>5</v>
      </c>
      <c r="I649" s="328" t="s">
        <v>1774</v>
      </c>
    </row>
    <row r="650" spans="1:9" ht="26">
      <c r="A650" s="112" t="s">
        <v>1230</v>
      </c>
      <c r="B650" s="148" t="s">
        <v>1254</v>
      </c>
      <c r="C650" s="112"/>
      <c r="D650" s="650"/>
      <c r="E650" s="651"/>
      <c r="F650" s="155">
        <f>SUM(F651:F653)</f>
        <v>30</v>
      </c>
      <c r="G650" s="155">
        <f t="shared" si="272"/>
        <v>28</v>
      </c>
      <c r="H650" s="212">
        <f t="shared" si="291"/>
        <v>2</v>
      </c>
      <c r="I650" s="553"/>
    </row>
    <row r="651" spans="1:9" s="141" customFormat="1" ht="39" hidden="1">
      <c r="A651" s="122"/>
      <c r="B651" s="1008" t="s">
        <v>1255</v>
      </c>
      <c r="C651" s="1009"/>
      <c r="D651" s="999"/>
      <c r="E651" s="115"/>
      <c r="F651" s="155">
        <f>D651*E651</f>
        <v>0</v>
      </c>
      <c r="G651" s="155">
        <f t="shared" si="272"/>
        <v>0</v>
      </c>
      <c r="H651" s="155">
        <f t="shared" si="291"/>
        <v>0</v>
      </c>
      <c r="I651" s="328" t="s">
        <v>1774</v>
      </c>
    </row>
    <row r="652" spans="1:9" s="141" customFormat="1" hidden="1">
      <c r="A652" s="122"/>
      <c r="B652" s="1008" t="s">
        <v>1256</v>
      </c>
      <c r="C652" s="1009"/>
      <c r="D652" s="999"/>
      <c r="E652" s="115"/>
      <c r="F652" s="155">
        <f>D652*E652</f>
        <v>0</v>
      </c>
      <c r="G652" s="155">
        <f t="shared" si="272"/>
        <v>0</v>
      </c>
      <c r="H652" s="155">
        <f t="shared" si="291"/>
        <v>0</v>
      </c>
      <c r="I652" s="328" t="s">
        <v>1774</v>
      </c>
    </row>
    <row r="653" spans="1:9" s="141" customFormat="1" ht="26" hidden="1">
      <c r="A653" s="122"/>
      <c r="B653" s="1008" t="s">
        <v>1257</v>
      </c>
      <c r="C653" s="1009" t="s">
        <v>1034</v>
      </c>
      <c r="D653" s="999">
        <v>1</v>
      </c>
      <c r="E653" s="115">
        <v>30</v>
      </c>
      <c r="F653" s="155">
        <f>D653*E653</f>
        <v>30</v>
      </c>
      <c r="G653" s="155">
        <f t="shared" si="272"/>
        <v>28</v>
      </c>
      <c r="H653" s="155">
        <f t="shared" si="291"/>
        <v>2</v>
      </c>
      <c r="I653" s="328" t="s">
        <v>1774</v>
      </c>
    </row>
    <row r="654" spans="1:9" ht="39">
      <c r="A654" s="119">
        <v>3</v>
      </c>
      <c r="B654" s="222" t="s">
        <v>1258</v>
      </c>
      <c r="C654" s="119"/>
      <c r="D654" s="649"/>
      <c r="E654" s="996"/>
      <c r="F654" s="155">
        <f>+F655+F659+F663+F666</f>
        <v>1487</v>
      </c>
      <c r="G654" s="155">
        <f t="shared" ref="G654:H654" si="292">+G655+G659+G663+G666</f>
        <v>1412</v>
      </c>
      <c r="H654" s="212">
        <f t="shared" si="292"/>
        <v>75</v>
      </c>
      <c r="I654" s="553"/>
    </row>
    <row r="655" spans="1:9" s="141" customFormat="1" hidden="1">
      <c r="A655" s="112" t="s">
        <v>742</v>
      </c>
      <c r="B655" s="148" t="s">
        <v>1259</v>
      </c>
      <c r="C655" s="112"/>
      <c r="D655" s="650"/>
      <c r="E655" s="651"/>
      <c r="F655" s="155">
        <f>SUM(F656:F658)</f>
        <v>742</v>
      </c>
      <c r="G655" s="155">
        <f t="shared" ref="G655:H655" si="293">SUM(G656:G658)</f>
        <v>705</v>
      </c>
      <c r="H655" s="155">
        <f t="shared" si="293"/>
        <v>37</v>
      </c>
      <c r="I655" s="328" t="s">
        <v>1774</v>
      </c>
    </row>
    <row r="656" spans="1:9" s="141" customFormat="1" hidden="1">
      <c r="A656" s="124"/>
      <c r="B656" s="148" t="s">
        <v>1277</v>
      </c>
      <c r="C656" s="112" t="s">
        <v>903</v>
      </c>
      <c r="D656" s="999">
        <v>3</v>
      </c>
      <c r="E656" s="997">
        <v>26.2</v>
      </c>
      <c r="F656" s="190">
        <f>ROUND(D656*E656,0)</f>
        <v>79</v>
      </c>
      <c r="G656" s="190">
        <f t="shared" si="272"/>
        <v>75</v>
      </c>
      <c r="H656" s="190">
        <f t="shared" ref="H656:H658" si="294">ROUND(F656*5/100,0)</f>
        <v>4</v>
      </c>
      <c r="I656" s="328" t="s">
        <v>1774</v>
      </c>
    </row>
    <row r="657" spans="1:9" s="141" customFormat="1" ht="39" hidden="1">
      <c r="A657" s="124"/>
      <c r="B657" s="148" t="s">
        <v>1260</v>
      </c>
      <c r="C657" s="112" t="s">
        <v>1261</v>
      </c>
      <c r="D657" s="999">
        <v>38</v>
      </c>
      <c r="E657" s="115">
        <v>13</v>
      </c>
      <c r="F657" s="190">
        <f>ROUND(D657*E657,0)</f>
        <v>494</v>
      </c>
      <c r="G657" s="190">
        <f t="shared" si="272"/>
        <v>469</v>
      </c>
      <c r="H657" s="190">
        <f t="shared" si="294"/>
        <v>25</v>
      </c>
      <c r="I657" s="328" t="s">
        <v>1774</v>
      </c>
    </row>
    <row r="658" spans="1:9" s="141" customFormat="1" ht="39" hidden="1">
      <c r="A658" s="124"/>
      <c r="B658" s="148" t="s">
        <v>1262</v>
      </c>
      <c r="C658" s="112" t="s">
        <v>1261</v>
      </c>
      <c r="D658" s="650">
        <v>13</v>
      </c>
      <c r="E658" s="115">
        <v>13</v>
      </c>
      <c r="F658" s="190">
        <f>ROUND(D658*E658,0)</f>
        <v>169</v>
      </c>
      <c r="G658" s="190">
        <f t="shared" si="272"/>
        <v>161</v>
      </c>
      <c r="H658" s="190">
        <f t="shared" si="294"/>
        <v>8</v>
      </c>
      <c r="I658" s="328" t="s">
        <v>1774</v>
      </c>
    </row>
    <row r="659" spans="1:9" s="143" customFormat="1" ht="26" hidden="1">
      <c r="A659" s="112" t="s">
        <v>742</v>
      </c>
      <c r="B659" s="148" t="s">
        <v>1263</v>
      </c>
      <c r="C659" s="112"/>
      <c r="D659" s="650"/>
      <c r="E659" s="651"/>
      <c r="F659" s="155">
        <f>SUM(F660:F662)</f>
        <v>360</v>
      </c>
      <c r="G659" s="155">
        <f t="shared" ref="G659:H659" si="295">SUM(G660:G662)</f>
        <v>342</v>
      </c>
      <c r="H659" s="155">
        <f t="shared" si="295"/>
        <v>18</v>
      </c>
      <c r="I659" s="328" t="s">
        <v>1774</v>
      </c>
    </row>
    <row r="660" spans="1:9" s="141" customFormat="1" ht="39" hidden="1">
      <c r="A660" s="122"/>
      <c r="B660" s="148" t="s">
        <v>2151</v>
      </c>
      <c r="C660" s="112" t="s">
        <v>878</v>
      </c>
      <c r="D660" s="999">
        <v>3</v>
      </c>
      <c r="E660" s="997">
        <v>120</v>
      </c>
      <c r="F660" s="190">
        <f>ROUND(D660*E660,0)</f>
        <v>360</v>
      </c>
      <c r="G660" s="190">
        <f t="shared" si="272"/>
        <v>342</v>
      </c>
      <c r="H660" s="190">
        <f t="shared" ref="H660:H662" si="296">ROUND(F660*5/100,0)</f>
        <v>18</v>
      </c>
      <c r="I660" s="328" t="s">
        <v>1774</v>
      </c>
    </row>
    <row r="661" spans="1:9" s="141" customFormat="1" hidden="1">
      <c r="A661" s="122"/>
      <c r="B661" s="148" t="s">
        <v>1278</v>
      </c>
      <c r="C661" s="112" t="s">
        <v>1265</v>
      </c>
      <c r="D661" s="999"/>
      <c r="E661" s="115"/>
      <c r="F661" s="190">
        <f>ROUND(D661*E661,0)</f>
        <v>0</v>
      </c>
      <c r="G661" s="190">
        <f t="shared" si="272"/>
        <v>0</v>
      </c>
      <c r="H661" s="190">
        <f t="shared" si="296"/>
        <v>0</v>
      </c>
      <c r="I661" s="328" t="s">
        <v>1774</v>
      </c>
    </row>
    <row r="662" spans="1:9" s="140" customFormat="1" ht="18" hidden="1" customHeight="1">
      <c r="A662" s="122"/>
      <c r="B662" s="148" t="s">
        <v>1266</v>
      </c>
      <c r="C662" s="112" t="s">
        <v>1267</v>
      </c>
      <c r="D662" s="999"/>
      <c r="E662" s="115"/>
      <c r="F662" s="190">
        <f>ROUND(D662*E662,0)</f>
        <v>0</v>
      </c>
      <c r="G662" s="190">
        <f t="shared" si="272"/>
        <v>0</v>
      </c>
      <c r="H662" s="190">
        <f t="shared" si="296"/>
        <v>0</v>
      </c>
      <c r="I662" s="328" t="s">
        <v>1774</v>
      </c>
    </row>
    <row r="663" spans="1:9" s="141" customFormat="1" ht="18" hidden="1" customHeight="1">
      <c r="A663" s="112" t="s">
        <v>742</v>
      </c>
      <c r="B663" s="148" t="s">
        <v>1268</v>
      </c>
      <c r="C663" s="112"/>
      <c r="D663" s="650"/>
      <c r="E663" s="651"/>
      <c r="F663" s="155">
        <f>SUM(F664:F665)</f>
        <v>191</v>
      </c>
      <c r="G663" s="155">
        <f t="shared" ref="G663:H663" si="297">SUM(G664:G665)</f>
        <v>181</v>
      </c>
      <c r="H663" s="155">
        <f t="shared" si="297"/>
        <v>10</v>
      </c>
      <c r="I663" s="328" t="s">
        <v>1774</v>
      </c>
    </row>
    <row r="664" spans="1:9" s="141" customFormat="1" ht="18" hidden="1" customHeight="1">
      <c r="A664" s="122"/>
      <c r="B664" s="148" t="s">
        <v>2037</v>
      </c>
      <c r="C664" s="112" t="s">
        <v>1265</v>
      </c>
      <c r="D664" s="999">
        <v>5</v>
      </c>
      <c r="E664" s="998">
        <v>26.2</v>
      </c>
      <c r="F664" s="190">
        <f>ROUND(D664*E664,0)</f>
        <v>131</v>
      </c>
      <c r="G664" s="190">
        <f t="shared" si="272"/>
        <v>124</v>
      </c>
      <c r="H664" s="190">
        <f t="shared" ref="H664:H665" si="298">ROUND(F664*5/100,0)</f>
        <v>7</v>
      </c>
      <c r="I664" s="328" t="s">
        <v>1774</v>
      </c>
    </row>
    <row r="665" spans="1:9" s="143" customFormat="1" hidden="1">
      <c r="A665" s="122"/>
      <c r="B665" s="1016" t="s">
        <v>2533</v>
      </c>
      <c r="C665" s="1017" t="s">
        <v>902</v>
      </c>
      <c r="D665" s="999">
        <v>2</v>
      </c>
      <c r="E665" s="998">
        <v>30</v>
      </c>
      <c r="F665" s="190">
        <f>ROUND(D665*E665,0)</f>
        <v>60</v>
      </c>
      <c r="G665" s="190">
        <f t="shared" si="272"/>
        <v>57</v>
      </c>
      <c r="H665" s="190">
        <f t="shared" si="298"/>
        <v>3</v>
      </c>
      <c r="I665" s="328" t="s">
        <v>1774</v>
      </c>
    </row>
    <row r="666" spans="1:9" s="141" customFormat="1" ht="18" hidden="1" customHeight="1">
      <c r="A666" s="112" t="s">
        <v>742</v>
      </c>
      <c r="B666" s="148" t="s">
        <v>1270</v>
      </c>
      <c r="C666" s="112"/>
      <c r="D666" s="650"/>
      <c r="E666" s="651"/>
      <c r="F666" s="155">
        <f>SUM(F667:F668)</f>
        <v>194</v>
      </c>
      <c r="G666" s="155">
        <f t="shared" ref="G666:H666" si="299">SUM(G667:G668)</f>
        <v>184</v>
      </c>
      <c r="H666" s="155">
        <f t="shared" si="299"/>
        <v>10</v>
      </c>
      <c r="I666" s="328" t="s">
        <v>1774</v>
      </c>
    </row>
    <row r="667" spans="1:9" s="164" customFormat="1" ht="26" hidden="1">
      <c r="A667" s="122"/>
      <c r="B667" s="148" t="s">
        <v>1271</v>
      </c>
      <c r="C667" s="112" t="s">
        <v>903</v>
      </c>
      <c r="D667" s="999"/>
      <c r="E667" s="998"/>
      <c r="F667" s="190">
        <f>ROUND(D667*E667,0)</f>
        <v>0</v>
      </c>
      <c r="G667" s="190">
        <f t="shared" si="272"/>
        <v>0</v>
      </c>
      <c r="H667" s="190">
        <f t="shared" ref="H667:H668" si="300">ROUND(F667*5/100,0)</f>
        <v>0</v>
      </c>
      <c r="I667" s="328" t="s">
        <v>1774</v>
      </c>
    </row>
    <row r="668" spans="1:9" s="164" customFormat="1" ht="26" hidden="1">
      <c r="A668" s="122"/>
      <c r="B668" s="148" t="s">
        <v>1272</v>
      </c>
      <c r="C668" s="112" t="s">
        <v>1014</v>
      </c>
      <c r="D668" s="999">
        <v>2</v>
      </c>
      <c r="E668" s="115">
        <v>97</v>
      </c>
      <c r="F668" s="190">
        <f>ROUND(D668*E668,0)</f>
        <v>194</v>
      </c>
      <c r="G668" s="190">
        <f t="shared" si="272"/>
        <v>184</v>
      </c>
      <c r="H668" s="190">
        <f t="shared" si="300"/>
        <v>10</v>
      </c>
      <c r="I668" s="328" t="s">
        <v>1774</v>
      </c>
    </row>
    <row r="669" spans="1:9" s="102" customFormat="1" ht="39">
      <c r="A669" s="119">
        <v>4</v>
      </c>
      <c r="B669" s="222" t="s">
        <v>1273</v>
      </c>
      <c r="C669" s="119"/>
      <c r="D669" s="649"/>
      <c r="E669" s="996"/>
      <c r="F669" s="155">
        <f>SUM(F670:F673)</f>
        <v>1412</v>
      </c>
      <c r="G669" s="155">
        <f t="shared" ref="G669:H669" si="301">SUM(G670:G673)</f>
        <v>1334</v>
      </c>
      <c r="H669" s="212">
        <f t="shared" si="301"/>
        <v>78</v>
      </c>
      <c r="I669" s="553"/>
    </row>
    <row r="670" spans="1:9" s="141" customFormat="1" ht="26" hidden="1">
      <c r="A670" s="122" t="s">
        <v>742</v>
      </c>
      <c r="B670" s="148" t="s">
        <v>1280</v>
      </c>
      <c r="C670" s="112" t="s">
        <v>903</v>
      </c>
      <c r="D670" s="999">
        <v>38</v>
      </c>
      <c r="E670" s="115">
        <v>36</v>
      </c>
      <c r="F670" s="190">
        <f>ROUND(D670*E670,0)</f>
        <v>1368</v>
      </c>
      <c r="G670" s="190">
        <f t="shared" si="272"/>
        <v>1292</v>
      </c>
      <c r="H670" s="190">
        <f>ROUND(F670*5/100,0)+8</f>
        <v>76</v>
      </c>
      <c r="I670" s="328" t="s">
        <v>1774</v>
      </c>
    </row>
    <row r="671" spans="1:9" s="111" customFormat="1" ht="26" hidden="1">
      <c r="A671" s="112" t="s">
        <v>742</v>
      </c>
      <c r="B671" s="148" t="s">
        <v>1773</v>
      </c>
      <c r="C671" s="112" t="s">
        <v>903</v>
      </c>
      <c r="D671" s="650"/>
      <c r="E671" s="163"/>
      <c r="F671" s="155">
        <f>D671*E671</f>
        <v>0</v>
      </c>
      <c r="G671" s="291">
        <f t="shared" si="272"/>
        <v>0</v>
      </c>
      <c r="H671" s="291">
        <f t="shared" ref="H671:H673" si="302">ROUND(F671*5/100,0)</f>
        <v>0</v>
      </c>
      <c r="I671" s="328" t="s">
        <v>1774</v>
      </c>
    </row>
    <row r="672" spans="1:9" s="141" customFormat="1" hidden="1">
      <c r="A672" s="112" t="s">
        <v>742</v>
      </c>
      <c r="B672" s="148" t="s">
        <v>1282</v>
      </c>
      <c r="C672" s="112"/>
      <c r="D672" s="650"/>
      <c r="E672" s="651"/>
      <c r="F672" s="155">
        <f>D672*E672</f>
        <v>0</v>
      </c>
      <c r="G672" s="291">
        <f t="shared" si="272"/>
        <v>0</v>
      </c>
      <c r="H672" s="291">
        <f t="shared" si="302"/>
        <v>0</v>
      </c>
      <c r="I672" s="328" t="s">
        <v>1774</v>
      </c>
    </row>
    <row r="673" spans="1:11" s="141" customFormat="1" hidden="1">
      <c r="A673" s="258" t="s">
        <v>742</v>
      </c>
      <c r="B673" s="625" t="s">
        <v>1283</v>
      </c>
      <c r="C673" s="258" t="s">
        <v>878</v>
      </c>
      <c r="D673" s="1005">
        <v>3</v>
      </c>
      <c r="E673" s="253">
        <v>14.7</v>
      </c>
      <c r="F673" s="267">
        <f>ROUND(D673*E673,0)</f>
        <v>44</v>
      </c>
      <c r="G673" s="1020">
        <f t="shared" si="272"/>
        <v>42</v>
      </c>
      <c r="H673" s="1020">
        <f t="shared" si="302"/>
        <v>2</v>
      </c>
      <c r="I673" s="477" t="s">
        <v>1774</v>
      </c>
    </row>
    <row r="674" spans="1:11" ht="6.75" customHeight="1">
      <c r="A674" s="105"/>
      <c r="B674" s="105"/>
      <c r="C674" s="864"/>
      <c r="D674" s="893"/>
      <c r="E674" s="105"/>
      <c r="F674" s="105"/>
      <c r="G674" s="105"/>
      <c r="I674" s="105"/>
    </row>
    <row r="675" spans="1:11" ht="15" customHeight="1">
      <c r="A675" s="1800" t="s">
        <v>2492</v>
      </c>
      <c r="B675" s="1800"/>
      <c r="C675" s="1800"/>
      <c r="D675" s="1800"/>
      <c r="E675" s="1800"/>
      <c r="F675" s="1800"/>
      <c r="G675" s="1800"/>
      <c r="H675" s="1903"/>
      <c r="I675" s="1800"/>
      <c r="J675" s="481"/>
      <c r="K675" s="481"/>
    </row>
    <row r="676" spans="1:11" ht="52.5" customHeight="1">
      <c r="A676" s="1801" t="s">
        <v>2047</v>
      </c>
      <c r="B676" s="1801"/>
      <c r="C676" s="1801"/>
      <c r="D676" s="1801"/>
      <c r="E676" s="1801"/>
      <c r="F676" s="1801"/>
      <c r="G676" s="1801"/>
      <c r="H676" s="1668"/>
      <c r="I676" s="1801"/>
      <c r="J676" s="101"/>
      <c r="K676" s="101"/>
    </row>
    <row r="677" spans="1:11" ht="23.25" customHeight="1">
      <c r="A677" s="1801" t="s">
        <v>2048</v>
      </c>
      <c r="B677" s="1801"/>
      <c r="C677" s="1801"/>
      <c r="D677" s="1801"/>
      <c r="E677" s="1801"/>
      <c r="F677" s="1801"/>
      <c r="G677" s="1801"/>
      <c r="H677" s="1668"/>
      <c r="I677" s="1801"/>
      <c r="J677" s="101"/>
      <c r="K677" s="101"/>
    </row>
    <row r="678" spans="1:11" ht="40.5" customHeight="1">
      <c r="A678" s="1801" t="s">
        <v>2049</v>
      </c>
      <c r="B678" s="1801"/>
      <c r="C678" s="1801"/>
      <c r="D678" s="1801"/>
      <c r="E678" s="1801"/>
      <c r="F678" s="1801"/>
      <c r="G678" s="1801"/>
      <c r="H678" s="1668"/>
      <c r="I678" s="1801"/>
      <c r="J678" s="101"/>
      <c r="K678" s="101"/>
    </row>
    <row r="679" spans="1:11" ht="27.75" customHeight="1">
      <c r="A679" s="1801" t="s">
        <v>2050</v>
      </c>
      <c r="B679" s="1801"/>
      <c r="C679" s="1801"/>
      <c r="D679" s="1801"/>
      <c r="E679" s="1801"/>
      <c r="F679" s="1801"/>
      <c r="G679" s="1801"/>
      <c r="H679" s="1668"/>
      <c r="I679" s="1801"/>
      <c r="J679" s="101"/>
      <c r="K679" s="101"/>
    </row>
    <row r="680" spans="1:11" ht="90" customHeight="1">
      <c r="A680" s="1801" t="s">
        <v>2051</v>
      </c>
      <c r="B680" s="1801"/>
      <c r="C680" s="1801"/>
      <c r="D680" s="1801"/>
      <c r="E680" s="1801"/>
      <c r="F680" s="1801"/>
      <c r="G680" s="1801"/>
      <c r="H680" s="1668"/>
      <c r="I680" s="1801"/>
      <c r="J680" s="101"/>
      <c r="K680" s="101"/>
    </row>
    <row r="681" spans="1:11" ht="42.75" customHeight="1">
      <c r="A681" s="1801" t="s">
        <v>2052</v>
      </c>
      <c r="B681" s="1801"/>
      <c r="C681" s="1801"/>
      <c r="D681" s="1801"/>
      <c r="E681" s="1801"/>
      <c r="F681" s="1801"/>
      <c r="G681" s="1801"/>
      <c r="H681" s="1668"/>
      <c r="I681" s="1801"/>
      <c r="J681" s="101"/>
      <c r="K681" s="101"/>
    </row>
    <row r="682" spans="1:11" ht="29.25" customHeight="1">
      <c r="A682" s="1801" t="s">
        <v>2053</v>
      </c>
      <c r="B682" s="1801"/>
      <c r="C682" s="1801"/>
      <c r="D682" s="1801"/>
      <c r="E682" s="1801"/>
      <c r="F682" s="1801"/>
      <c r="G682" s="1801"/>
      <c r="H682" s="1668"/>
      <c r="I682" s="1801"/>
      <c r="J682" s="101"/>
      <c r="K682" s="101"/>
    </row>
    <row r="683" spans="1:11" ht="25.5" customHeight="1">
      <c r="A683" s="1801" t="s">
        <v>2054</v>
      </c>
      <c r="B683" s="1801"/>
      <c r="C683" s="1801"/>
      <c r="D683" s="1801"/>
      <c r="E683" s="1801"/>
      <c r="F683" s="1801"/>
      <c r="G683" s="1801"/>
      <c r="H683" s="1902"/>
      <c r="I683" s="1801"/>
      <c r="J683" s="101"/>
      <c r="K683" s="101"/>
    </row>
    <row r="685" spans="1:11">
      <c r="F685" s="1898"/>
      <c r="G685" s="1898"/>
      <c r="H685" s="1899"/>
      <c r="I685" s="1898"/>
    </row>
    <row r="686" spans="1:11">
      <c r="F686" s="334"/>
      <c r="G686" s="1898"/>
      <c r="H686" s="1899"/>
      <c r="I686" s="334"/>
    </row>
    <row r="687" spans="1:11">
      <c r="F687" s="334"/>
      <c r="G687" s="334"/>
      <c r="H687" s="476"/>
      <c r="I687" s="334"/>
    </row>
    <row r="688" spans="1:11">
      <c r="F688" s="334"/>
      <c r="G688" s="334"/>
      <c r="H688" s="476"/>
      <c r="I688" s="334"/>
    </row>
    <row r="689" spans="3:9">
      <c r="C689" s="331"/>
      <c r="D689" s="331"/>
      <c r="F689" s="334"/>
      <c r="G689" s="334"/>
      <c r="H689" s="476"/>
      <c r="I689" s="334"/>
    </row>
    <row r="690" spans="3:9">
      <c r="C690" s="331"/>
      <c r="D690" s="331"/>
      <c r="F690" s="1898"/>
      <c r="G690" s="1898"/>
      <c r="H690" s="1899"/>
      <c r="I690" s="1898"/>
    </row>
    <row r="691" spans="3:9">
      <c r="C691" s="331"/>
      <c r="D691" s="331"/>
      <c r="F691" s="334"/>
      <c r="G691" s="334"/>
      <c r="H691" s="476"/>
      <c r="I691" s="334"/>
    </row>
    <row r="692" spans="3:9" ht="38.25" customHeight="1">
      <c r="C692" s="331"/>
      <c r="D692" s="331"/>
      <c r="F692" s="1900"/>
      <c r="G692" s="1900"/>
      <c r="H692" s="1901"/>
    </row>
    <row r="693" spans="3:9">
      <c r="C693" s="331"/>
      <c r="D693" s="331"/>
    </row>
    <row r="694" spans="3:9">
      <c r="C694" s="331"/>
      <c r="D694" s="331"/>
    </row>
    <row r="695" spans="3:9">
      <c r="C695" s="331"/>
      <c r="D695" s="331"/>
    </row>
    <row r="696" spans="3:9">
      <c r="C696" s="331"/>
      <c r="D696" s="331"/>
    </row>
    <row r="697" spans="3:9">
      <c r="C697" s="331"/>
      <c r="D697" s="331"/>
    </row>
    <row r="698" spans="3:9">
      <c r="C698" s="331"/>
      <c r="D698" s="331"/>
    </row>
    <row r="699" spans="3:9">
      <c r="C699" s="331"/>
      <c r="D699" s="331"/>
    </row>
    <row r="700" spans="3:9">
      <c r="C700" s="331"/>
      <c r="D700" s="331"/>
    </row>
  </sheetData>
  <autoFilter ref="A6:I673">
    <filterColumn colId="8">
      <filters blank="1"/>
    </filterColumn>
  </autoFilter>
  <mergeCells count="26">
    <mergeCell ref="G686:H686"/>
    <mergeCell ref="F690:I690"/>
    <mergeCell ref="F692:H692"/>
    <mergeCell ref="G4:G5"/>
    <mergeCell ref="A679:I679"/>
    <mergeCell ref="A680:I680"/>
    <mergeCell ref="A681:I681"/>
    <mergeCell ref="A682:I682"/>
    <mergeCell ref="A683:I683"/>
    <mergeCell ref="F685:I685"/>
    <mergeCell ref="I4:I5"/>
    <mergeCell ref="A676:I676"/>
    <mergeCell ref="A677:I677"/>
    <mergeCell ref="A678:I678"/>
    <mergeCell ref="A675:I675"/>
    <mergeCell ref="A1:B1"/>
    <mergeCell ref="A2:I2"/>
    <mergeCell ref="A3:I3"/>
    <mergeCell ref="A4:A5"/>
    <mergeCell ref="B4:B5"/>
    <mergeCell ref="C4:C5"/>
    <mergeCell ref="D4:D5"/>
    <mergeCell ref="E4:E5"/>
    <mergeCell ref="F4:F5"/>
    <mergeCell ref="H4:H5"/>
    <mergeCell ref="G1:I1"/>
  </mergeCells>
  <pageMargins left="0.5" right="0.2" top="0.5" bottom="0.5" header="0.3" footer="0.3"/>
  <pageSetup paperSize="9" scale="85" orientation="portrait" r:id="rId1"/>
  <headerFooter>
    <oddFooter>&amp;C&amp;8&amp;P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202"/>
  <sheetViews>
    <sheetView workbookViewId="0">
      <selection activeCell="F6" sqref="F6:F10"/>
    </sheetView>
  </sheetViews>
  <sheetFormatPr defaultColWidth="9.08203125" defaultRowHeight="13"/>
  <cols>
    <col min="1" max="1" width="7.4140625" style="8" customWidth="1"/>
    <col min="2" max="2" width="48.9140625" style="8" customWidth="1"/>
    <col min="3" max="3" width="13.33203125" style="8" customWidth="1"/>
    <col min="4" max="4" width="10.33203125" style="8" hidden="1" customWidth="1"/>
    <col min="5" max="5" width="9.9140625" style="8" hidden="1" customWidth="1"/>
    <col min="6" max="8" width="7.9140625" style="8" hidden="1" customWidth="1"/>
    <col min="9" max="9" width="9.6640625" style="8" hidden="1" customWidth="1"/>
    <col min="10" max="10" width="19.4140625" style="8" customWidth="1"/>
    <col min="11" max="11" width="37.4140625" style="8" customWidth="1"/>
    <col min="12" max="16384" width="9.08203125" style="8"/>
  </cols>
  <sheetData>
    <row r="1" spans="1:10" ht="21" customHeight="1">
      <c r="A1" s="1714" t="s">
        <v>2794</v>
      </c>
      <c r="B1" s="1714"/>
      <c r="C1" s="1714"/>
      <c r="D1" s="1714"/>
      <c r="E1" s="1714"/>
      <c r="F1" s="1714"/>
      <c r="G1" s="1714"/>
      <c r="H1" s="1714"/>
      <c r="I1" s="1714"/>
      <c r="J1" s="1714"/>
    </row>
    <row r="2" spans="1:10" ht="18" hidden="1" customHeight="1">
      <c r="A2" s="1794"/>
      <c r="B2" s="1794"/>
      <c r="C2" s="7"/>
      <c r="D2" s="7"/>
      <c r="E2" s="7"/>
      <c r="F2" s="7"/>
      <c r="G2" s="7"/>
      <c r="H2" s="7"/>
      <c r="I2" s="1798" t="s">
        <v>2103</v>
      </c>
      <c r="J2" s="1798"/>
    </row>
    <row r="3" spans="1:10" ht="18" customHeight="1">
      <c r="A3" s="1714" t="s">
        <v>1284</v>
      </c>
      <c r="B3" s="1714"/>
      <c r="C3" s="1714"/>
      <c r="D3" s="1714"/>
      <c r="E3" s="1714"/>
      <c r="F3" s="1714"/>
      <c r="G3" s="1714"/>
      <c r="H3" s="1714"/>
      <c r="I3" s="1714"/>
      <c r="J3" s="1714"/>
    </row>
    <row r="4" spans="1:10" ht="36.75" customHeight="1">
      <c r="A4" s="1714" t="s">
        <v>2071</v>
      </c>
      <c r="B4" s="1714"/>
      <c r="C4" s="1714"/>
      <c r="D4" s="1714"/>
      <c r="E4" s="1714"/>
      <c r="F4" s="1714"/>
      <c r="G4" s="1714"/>
      <c r="H4" s="1714"/>
      <c r="I4" s="1714"/>
      <c r="J4" s="1714"/>
    </row>
    <row r="5" spans="1:10" s="35" customFormat="1" ht="36.75" customHeight="1">
      <c r="A5" s="1716" t="e">
        <f>#REF!</f>
        <v>#REF!</v>
      </c>
      <c r="B5" s="1716"/>
      <c r="C5" s="1716"/>
      <c r="D5" s="1716"/>
      <c r="E5" s="1716"/>
      <c r="F5" s="1716"/>
      <c r="G5" s="1716"/>
      <c r="H5" s="1716"/>
      <c r="I5" s="1716"/>
      <c r="J5" s="1716"/>
    </row>
    <row r="6" spans="1:10" ht="18" customHeight="1">
      <c r="A6" s="1773" t="s">
        <v>3</v>
      </c>
      <c r="B6" s="1773"/>
      <c r="C6" s="1773"/>
      <c r="D6" s="1773"/>
      <c r="E6" s="1773"/>
      <c r="F6" s="1773"/>
      <c r="G6" s="1773"/>
      <c r="H6" s="1773"/>
      <c r="I6" s="1773"/>
      <c r="J6" s="1773"/>
    </row>
    <row r="7" spans="1:10" ht="18" customHeight="1">
      <c r="A7" s="1778" t="s">
        <v>4</v>
      </c>
      <c r="B7" s="1778" t="s">
        <v>5</v>
      </c>
      <c r="C7" s="1727" t="s">
        <v>2537</v>
      </c>
      <c r="D7" s="658"/>
      <c r="E7" s="1044"/>
      <c r="F7" s="1778" t="s">
        <v>724</v>
      </c>
      <c r="G7" s="1778"/>
      <c r="H7" s="1778"/>
      <c r="I7" s="1778" t="s">
        <v>727</v>
      </c>
      <c r="J7" s="1778" t="s">
        <v>33</v>
      </c>
    </row>
    <row r="8" spans="1:10" ht="28.5" customHeight="1">
      <c r="A8" s="1778"/>
      <c r="B8" s="1778"/>
      <c r="C8" s="1821"/>
      <c r="D8" s="65" t="s">
        <v>720</v>
      </c>
      <c r="E8" s="65" t="s">
        <v>6</v>
      </c>
      <c r="F8" s="65" t="s">
        <v>719</v>
      </c>
      <c r="G8" s="65" t="s">
        <v>720</v>
      </c>
      <c r="H8" s="65" t="s">
        <v>6</v>
      </c>
      <c r="I8" s="1778"/>
      <c r="J8" s="1778"/>
    </row>
    <row r="9" spans="1:10" s="485" customFormat="1" ht="18" hidden="1" customHeight="1">
      <c r="A9" s="484">
        <v>1</v>
      </c>
      <c r="B9" s="484">
        <v>2</v>
      </c>
      <c r="C9" s="484" t="s">
        <v>14</v>
      </c>
      <c r="D9" s="484" t="s">
        <v>16</v>
      </c>
      <c r="E9" s="484" t="s">
        <v>77</v>
      </c>
      <c r="F9" s="484" t="s">
        <v>20</v>
      </c>
      <c r="G9" s="484" t="s">
        <v>22</v>
      </c>
      <c r="H9" s="484" t="s">
        <v>69</v>
      </c>
      <c r="I9" s="484" t="s">
        <v>20</v>
      </c>
      <c r="J9" s="484" t="s">
        <v>22</v>
      </c>
    </row>
    <row r="10" spans="1:10" ht="27" customHeight="1">
      <c r="A10" s="29"/>
      <c r="B10" s="29" t="s">
        <v>7</v>
      </c>
      <c r="C10" s="23">
        <f t="shared" ref="C10:I10" si="0">+C11+C24</f>
        <v>317362</v>
      </c>
      <c r="D10" s="23">
        <f t="shared" si="0"/>
        <v>409865.28499999997</v>
      </c>
      <c r="E10" s="23">
        <f t="shared" si="0"/>
        <v>727227.28499999992</v>
      </c>
      <c r="F10" s="23">
        <f t="shared" si="0"/>
        <v>0</v>
      </c>
      <c r="G10" s="23">
        <f t="shared" si="0"/>
        <v>2387</v>
      </c>
      <c r="H10" s="23">
        <f t="shared" si="0"/>
        <v>2387</v>
      </c>
      <c r="I10" s="23">
        <f t="shared" si="0"/>
        <v>727227.28499999992</v>
      </c>
      <c r="J10" s="29"/>
    </row>
    <row r="11" spans="1:10" ht="36" customHeight="1">
      <c r="A11" s="29" t="s">
        <v>8</v>
      </c>
      <c r="B11" s="54" t="s">
        <v>1285</v>
      </c>
      <c r="C11" s="23">
        <f t="shared" ref="C11:H11" si="1">+C12+C15</f>
        <v>317362</v>
      </c>
      <c r="D11" s="23">
        <f>+D12+D15</f>
        <v>391724.28499999997</v>
      </c>
      <c r="E11" s="23">
        <f>+E12+E15</f>
        <v>709086.28499999992</v>
      </c>
      <c r="F11" s="23">
        <f t="shared" si="1"/>
        <v>0</v>
      </c>
      <c r="G11" s="23">
        <f t="shared" si="1"/>
        <v>2387</v>
      </c>
      <c r="H11" s="23">
        <f t="shared" si="1"/>
        <v>2387</v>
      </c>
      <c r="I11" s="23">
        <f>+I12+I15</f>
        <v>709086.28499999992</v>
      </c>
      <c r="J11" s="1046" t="s">
        <v>2104</v>
      </c>
    </row>
    <row r="12" spans="1:10" s="35" customFormat="1" ht="48.75" hidden="1" customHeight="1">
      <c r="A12" s="125" t="s">
        <v>10</v>
      </c>
      <c r="B12" s="394" t="s">
        <v>733</v>
      </c>
      <c r="C12" s="391"/>
      <c r="D12" s="391">
        <f>SUM(D13:D14)</f>
        <v>14759</v>
      </c>
      <c r="E12" s="391">
        <f>SUM(E13:E14)</f>
        <v>14759</v>
      </c>
      <c r="F12" s="391">
        <f t="shared" ref="F12:H12" si="2">+F13</f>
        <v>0</v>
      </c>
      <c r="G12" s="391">
        <f t="shared" si="2"/>
        <v>539</v>
      </c>
      <c r="H12" s="391">
        <f t="shared" si="2"/>
        <v>539</v>
      </c>
      <c r="I12" s="391">
        <f>SUM(I13:I14)</f>
        <v>14759</v>
      </c>
      <c r="J12" s="900"/>
    </row>
    <row r="13" spans="1:10" ht="48.75" hidden="1" customHeight="1">
      <c r="A13" s="13"/>
      <c r="B13" s="12" t="s">
        <v>893</v>
      </c>
      <c r="C13" s="20"/>
      <c r="D13" s="20">
        <f>+'9.1-SN'!G10</f>
        <v>10959</v>
      </c>
      <c r="E13" s="44">
        <f>+D13+C13</f>
        <v>10959</v>
      </c>
      <c r="F13" s="44"/>
      <c r="G13" s="44">
        <f>+'[2]9.1'!H9</f>
        <v>539</v>
      </c>
      <c r="H13" s="44">
        <f>+G13+F13</f>
        <v>539</v>
      </c>
      <c r="I13" s="44">
        <f>+E13</f>
        <v>10959</v>
      </c>
      <c r="J13" s="165"/>
    </row>
    <row r="14" spans="1:10" ht="48.75" hidden="1" customHeight="1">
      <c r="A14" s="13"/>
      <c r="B14" s="638" t="s">
        <v>1576</v>
      </c>
      <c r="C14" s="20"/>
      <c r="D14" s="20">
        <f>+'9.1-SN'!G61</f>
        <v>3800</v>
      </c>
      <c r="E14" s="44">
        <f t="shared" ref="E14" si="3">+D14+C14</f>
        <v>3800</v>
      </c>
      <c r="F14" s="44"/>
      <c r="G14" s="44"/>
      <c r="H14" s="44"/>
      <c r="I14" s="44">
        <f t="shared" ref="I14" si="4">+E14</f>
        <v>3800</v>
      </c>
      <c r="J14" s="165"/>
    </row>
    <row r="15" spans="1:10" s="35" customFormat="1" ht="27.75" customHeight="1">
      <c r="A15" s="125" t="s">
        <v>12</v>
      </c>
      <c r="B15" s="394" t="s">
        <v>736</v>
      </c>
      <c r="C15" s="391">
        <f>SUM(C16:C23)</f>
        <v>317362</v>
      </c>
      <c r="D15" s="713">
        <f>SUM(D16:D23)</f>
        <v>376965.28499999997</v>
      </c>
      <c r="E15" s="713">
        <f>SUM(E16:E23)</f>
        <v>694327.28499999992</v>
      </c>
      <c r="F15" s="713">
        <f t="shared" ref="F15:I15" si="5">SUM(F16:F23)</f>
        <v>0</v>
      </c>
      <c r="G15" s="713">
        <f t="shared" si="5"/>
        <v>1848</v>
      </c>
      <c r="H15" s="713">
        <f t="shared" si="5"/>
        <v>1848</v>
      </c>
      <c r="I15" s="713">
        <f t="shared" si="5"/>
        <v>694327.28499999992</v>
      </c>
      <c r="J15" s="900"/>
    </row>
    <row r="16" spans="1:10" ht="48.75" hidden="1" customHeight="1">
      <c r="A16" s="13"/>
      <c r="B16" s="12" t="s">
        <v>25</v>
      </c>
      <c r="C16" s="20"/>
      <c r="D16" s="20">
        <f>VLOOKUP(B16,'9.1-SN'!$B$64:$G$153,6,0)</f>
        <v>2894</v>
      </c>
      <c r="E16" s="44">
        <f>+D16+C16</f>
        <v>2894</v>
      </c>
      <c r="F16" s="44"/>
      <c r="G16" s="44"/>
      <c r="H16" s="44"/>
      <c r="I16" s="44">
        <f>+E16</f>
        <v>2894</v>
      </c>
      <c r="J16" s="165"/>
    </row>
    <row r="17" spans="1:11" ht="48.75" hidden="1" customHeight="1">
      <c r="A17" s="13"/>
      <c r="B17" s="12" t="s">
        <v>23</v>
      </c>
      <c r="C17" s="20"/>
      <c r="D17" s="20">
        <f>VLOOKUP(B17,'9.1-SN'!$B$64:$G$153,6,0)</f>
        <v>12511</v>
      </c>
      <c r="E17" s="44">
        <f t="shared" ref="E17:E23" si="6">+D17+C17</f>
        <v>12511</v>
      </c>
      <c r="F17" s="44"/>
      <c r="G17" s="44"/>
      <c r="H17" s="44"/>
      <c r="I17" s="44">
        <f t="shared" ref="I17:I23" si="7">+E17</f>
        <v>12511</v>
      </c>
      <c r="J17" s="165"/>
    </row>
    <row r="18" spans="1:11" ht="48.75" hidden="1" customHeight="1">
      <c r="A18" s="13"/>
      <c r="B18" s="12" t="s">
        <v>21</v>
      </c>
      <c r="C18" s="20"/>
      <c r="D18" s="20">
        <f>VLOOKUP(B18,'9.1-SN'!$B$64:$G$153,6,0)</f>
        <v>11234</v>
      </c>
      <c r="E18" s="44">
        <f t="shared" si="6"/>
        <v>11234</v>
      </c>
      <c r="F18" s="44"/>
      <c r="G18" s="44"/>
      <c r="H18" s="44"/>
      <c r="I18" s="44">
        <f t="shared" si="7"/>
        <v>11234</v>
      </c>
      <c r="J18" s="165"/>
    </row>
    <row r="19" spans="1:11" ht="27" customHeight="1">
      <c r="A19" s="13"/>
      <c r="B19" s="12" t="s">
        <v>19</v>
      </c>
      <c r="C19" s="20">
        <f>VLOOKUP(B19,'9.1-ĐT'!$C$10:$H$91,6,0)</f>
        <v>39670</v>
      </c>
      <c r="D19" s="20">
        <f>VLOOKUP(B19,'9.1-SN'!$B$64:$G$153,6,0)</f>
        <v>45397.095000000001</v>
      </c>
      <c r="E19" s="44">
        <f t="shared" si="6"/>
        <v>85067.095000000001</v>
      </c>
      <c r="F19" s="44"/>
      <c r="G19" s="44"/>
      <c r="H19" s="44"/>
      <c r="I19" s="44">
        <f t="shared" si="7"/>
        <v>85067.095000000001</v>
      </c>
      <c r="J19" s="165"/>
    </row>
    <row r="20" spans="1:11" ht="48.75" hidden="1" customHeight="1">
      <c r="A20" s="13"/>
      <c r="B20" s="12" t="s">
        <v>17</v>
      </c>
      <c r="C20" s="20"/>
      <c r="D20" s="20">
        <f>VLOOKUP(B20,'9.1-SN'!$B$64:$G$153,6,0)</f>
        <v>72851</v>
      </c>
      <c r="E20" s="44">
        <f t="shared" si="6"/>
        <v>72851</v>
      </c>
      <c r="F20" s="44"/>
      <c r="G20" s="44"/>
      <c r="H20" s="44"/>
      <c r="I20" s="44">
        <f t="shared" si="7"/>
        <v>72851</v>
      </c>
      <c r="J20" s="165"/>
    </row>
    <row r="21" spans="1:11" ht="32.25" customHeight="1">
      <c r="A21" s="13"/>
      <c r="B21" s="12" t="s">
        <v>15</v>
      </c>
      <c r="C21" s="20">
        <f>VLOOKUP(B21,'9.1-ĐT'!$C$10:$H$91,6,0)</f>
        <v>29753</v>
      </c>
      <c r="D21" s="20">
        <f>VLOOKUP(B21,'9.1-SN'!$B$64:$G$153,6,0)</f>
        <v>75426.142500000002</v>
      </c>
      <c r="E21" s="44">
        <f t="shared" si="6"/>
        <v>105179.1425</v>
      </c>
      <c r="F21" s="44"/>
      <c r="G21" s="44">
        <v>450</v>
      </c>
      <c r="H21" s="44">
        <f>+F21+G21</f>
        <v>450</v>
      </c>
      <c r="I21" s="44">
        <f t="shared" si="7"/>
        <v>105179.1425</v>
      </c>
      <c r="J21" s="165"/>
    </row>
    <row r="22" spans="1:11" ht="32.25" customHeight="1">
      <c r="A22" s="13"/>
      <c r="B22" s="12" t="s">
        <v>13</v>
      </c>
      <c r="C22" s="20">
        <f>VLOOKUP(B22,'9.1-ĐT'!$C$10:$H$91,6,0)</f>
        <v>158681</v>
      </c>
      <c r="D22" s="20">
        <f>VLOOKUP(B22,'9.1-SN'!$B$64:$G$153,6,0)</f>
        <v>66823</v>
      </c>
      <c r="E22" s="44">
        <f t="shared" si="6"/>
        <v>225504</v>
      </c>
      <c r="F22" s="44"/>
      <c r="G22" s="44">
        <v>75</v>
      </c>
      <c r="H22" s="44">
        <f t="shared" ref="H22:H23" si="8">+F22+G22</f>
        <v>75</v>
      </c>
      <c r="I22" s="44">
        <f t="shared" si="7"/>
        <v>225504</v>
      </c>
      <c r="J22" s="165"/>
    </row>
    <row r="23" spans="1:11" ht="32.25" customHeight="1">
      <c r="A23" s="41"/>
      <c r="B23" s="705" t="s">
        <v>11</v>
      </c>
      <c r="C23" s="706">
        <f>VLOOKUP(B23,'9.1-ĐT'!$C$10:$H$91,6,0)</f>
        <v>89258</v>
      </c>
      <c r="D23" s="706">
        <f>VLOOKUP(B23,'9.1-SN'!$B$64:$G$153,6,0)</f>
        <v>89829.047500000001</v>
      </c>
      <c r="E23" s="45">
        <f t="shared" si="6"/>
        <v>179087.04749999999</v>
      </c>
      <c r="F23" s="45"/>
      <c r="G23" s="45">
        <v>1323</v>
      </c>
      <c r="H23" s="45">
        <f t="shared" si="8"/>
        <v>1323</v>
      </c>
      <c r="I23" s="45">
        <f t="shared" si="7"/>
        <v>179087.04749999999</v>
      </c>
      <c r="J23" s="468"/>
    </row>
    <row r="24" spans="1:11" s="30" customFormat="1" ht="39" hidden="1" customHeight="1">
      <c r="A24" s="1168" t="s">
        <v>26</v>
      </c>
      <c r="B24" s="1169" t="s">
        <v>1286</v>
      </c>
      <c r="C24" s="1170"/>
      <c r="D24" s="1170">
        <f t="shared" ref="D24:I24" si="9">+D25+D29</f>
        <v>18141</v>
      </c>
      <c r="E24" s="1170">
        <f t="shared" si="9"/>
        <v>18141</v>
      </c>
      <c r="F24" s="1170">
        <f t="shared" si="9"/>
        <v>0</v>
      </c>
      <c r="G24" s="1170">
        <f t="shared" si="9"/>
        <v>0</v>
      </c>
      <c r="H24" s="1170">
        <f t="shared" si="9"/>
        <v>0</v>
      </c>
      <c r="I24" s="1170">
        <f t="shared" si="9"/>
        <v>18141</v>
      </c>
      <c r="J24" s="1171" t="s">
        <v>2070</v>
      </c>
      <c r="K24" s="30" t="s">
        <v>1599</v>
      </c>
    </row>
    <row r="25" spans="1:11" s="35" customFormat="1" ht="18" hidden="1" customHeight="1">
      <c r="A25" s="125" t="s">
        <v>10</v>
      </c>
      <c r="B25" s="394" t="s">
        <v>733</v>
      </c>
      <c r="C25" s="391"/>
      <c r="D25" s="391">
        <f>SUM(D26:D28)</f>
        <v>6714</v>
      </c>
      <c r="E25" s="391">
        <f>SUM(E26:E28)</f>
        <v>6714</v>
      </c>
      <c r="F25" s="391">
        <f t="shared" ref="F25:H25" si="10">+F26</f>
        <v>0</v>
      </c>
      <c r="G25" s="391">
        <f t="shared" si="10"/>
        <v>0</v>
      </c>
      <c r="H25" s="391">
        <f t="shared" si="10"/>
        <v>0</v>
      </c>
      <c r="I25" s="391">
        <f>SUM(I26:I28)</f>
        <v>6714</v>
      </c>
      <c r="J25" s="900"/>
    </row>
    <row r="26" spans="1:11" ht="18" hidden="1" customHeight="1">
      <c r="A26" s="13"/>
      <c r="B26" s="12" t="s">
        <v>893</v>
      </c>
      <c r="C26" s="20"/>
      <c r="D26" s="20">
        <f>VLOOKUP(B26,'9.2-SN'!$B$10:$G$150,6,0)</f>
        <v>4073</v>
      </c>
      <c r="E26" s="44">
        <f>+D26+C26</f>
        <v>4073</v>
      </c>
      <c r="F26" s="44"/>
      <c r="G26" s="44">
        <f>I26-D26</f>
        <v>0</v>
      </c>
      <c r="H26" s="44">
        <f>+G26+F26</f>
        <v>0</v>
      </c>
      <c r="I26" s="44">
        <f>+E26</f>
        <v>4073</v>
      </c>
      <c r="J26" s="165"/>
    </row>
    <row r="27" spans="1:11" ht="18" hidden="1" customHeight="1">
      <c r="A27" s="13"/>
      <c r="B27" s="638" t="s">
        <v>1309</v>
      </c>
      <c r="C27" s="20"/>
      <c r="D27" s="20">
        <f>VLOOKUP(B27,'9.2-SN'!$B$10:$G$150,6,0)</f>
        <v>1654</v>
      </c>
      <c r="E27" s="44">
        <f t="shared" ref="E27:E28" si="11">+D27+C27</f>
        <v>1654</v>
      </c>
      <c r="F27" s="44"/>
      <c r="G27" s="44"/>
      <c r="H27" s="44"/>
      <c r="I27" s="44">
        <f t="shared" ref="I27:I28" si="12">+E27</f>
        <v>1654</v>
      </c>
      <c r="J27" s="165"/>
    </row>
    <row r="28" spans="1:11" ht="18" hidden="1" customHeight="1">
      <c r="A28" s="13"/>
      <c r="B28" s="638" t="s">
        <v>1723</v>
      </c>
      <c r="C28" s="20"/>
      <c r="D28" s="20">
        <f>VLOOKUP(B28,'9.2-SN'!$B$10:$G$150,6,0)</f>
        <v>987</v>
      </c>
      <c r="E28" s="44">
        <f t="shared" si="11"/>
        <v>987</v>
      </c>
      <c r="F28" s="44"/>
      <c r="G28" s="44"/>
      <c r="H28" s="44"/>
      <c r="I28" s="44">
        <f t="shared" si="12"/>
        <v>987</v>
      </c>
      <c r="J28" s="165"/>
    </row>
    <row r="29" spans="1:11" s="35" customFormat="1" ht="18" hidden="1" customHeight="1">
      <c r="A29" s="125" t="s">
        <v>12</v>
      </c>
      <c r="B29" s="394" t="s">
        <v>736</v>
      </c>
      <c r="C29" s="391"/>
      <c r="D29" s="713">
        <f>SUM(D30:D37)</f>
        <v>11427</v>
      </c>
      <c r="E29" s="713">
        <f t="shared" ref="E29:I29" si="13">SUM(E30:E37)</f>
        <v>11427</v>
      </c>
      <c r="F29" s="713">
        <f t="shared" si="13"/>
        <v>0</v>
      </c>
      <c r="G29" s="713">
        <f t="shared" si="13"/>
        <v>0</v>
      </c>
      <c r="H29" s="713">
        <f t="shared" si="13"/>
        <v>0</v>
      </c>
      <c r="I29" s="713">
        <f t="shared" si="13"/>
        <v>11427</v>
      </c>
      <c r="J29" s="900"/>
    </row>
    <row r="30" spans="1:11" s="30" customFormat="1" ht="18" hidden="1" customHeight="1">
      <c r="A30" s="13" t="s">
        <v>10</v>
      </c>
      <c r="B30" s="12" t="s">
        <v>25</v>
      </c>
      <c r="C30" s="20"/>
      <c r="D30" s="20">
        <f>VLOOKUP(B30,'9.2-SN'!$B$10:$G$150,6,0)</f>
        <v>424</v>
      </c>
      <c r="E30" s="20">
        <f>+D30+C30</f>
        <v>424</v>
      </c>
      <c r="F30" s="20"/>
      <c r="G30" s="20"/>
      <c r="H30" s="20">
        <f>+F30+G30</f>
        <v>0</v>
      </c>
      <c r="I30" s="20">
        <f>+H30+E30</f>
        <v>424</v>
      </c>
      <c r="J30" s="165"/>
    </row>
    <row r="31" spans="1:11" s="30" customFormat="1" ht="18" hidden="1" customHeight="1">
      <c r="A31" s="13" t="s">
        <v>12</v>
      </c>
      <c r="B31" s="12" t="s">
        <v>23</v>
      </c>
      <c r="C31" s="20"/>
      <c r="D31" s="20">
        <f>VLOOKUP(B31,'9.2-SN'!$B$10:$G$150,6,0)</f>
        <v>798</v>
      </c>
      <c r="E31" s="44">
        <f t="shared" ref="E31:E37" si="14">+D31+C31</f>
        <v>798</v>
      </c>
      <c r="F31" s="44"/>
      <c r="G31" s="44">
        <f>I31-D31</f>
        <v>0</v>
      </c>
      <c r="H31" s="44">
        <f t="shared" ref="H31" si="15">+G31+F31</f>
        <v>0</v>
      </c>
      <c r="I31" s="20">
        <f>+E31</f>
        <v>798</v>
      </c>
      <c r="J31" s="165"/>
    </row>
    <row r="32" spans="1:11" s="30" customFormat="1" ht="18" hidden="1" customHeight="1">
      <c r="A32" s="13" t="s">
        <v>14</v>
      </c>
      <c r="B32" s="12" t="s">
        <v>21</v>
      </c>
      <c r="C32" s="20"/>
      <c r="D32" s="20">
        <f>VLOOKUP(B32,'9.2-SN'!$B$10:$G$150,6,0)</f>
        <v>487</v>
      </c>
      <c r="E32" s="20">
        <f t="shared" si="14"/>
        <v>487</v>
      </c>
      <c r="F32" s="20"/>
      <c r="G32" s="20"/>
      <c r="H32" s="20">
        <f t="shared" ref="H32:H35" si="16">+F32+G32</f>
        <v>0</v>
      </c>
      <c r="I32" s="20">
        <f t="shared" ref="I32:I37" si="17">+E32</f>
        <v>487</v>
      </c>
      <c r="J32" s="165"/>
    </row>
    <row r="33" spans="1:10" s="30" customFormat="1" ht="18" hidden="1" customHeight="1">
      <c r="A33" s="13" t="s">
        <v>16</v>
      </c>
      <c r="B33" s="12" t="s">
        <v>19</v>
      </c>
      <c r="C33" s="20"/>
      <c r="D33" s="20">
        <f>VLOOKUP(B33,'9.2-SN'!$B$10:$G$150,6,0)</f>
        <v>1247</v>
      </c>
      <c r="E33" s="44">
        <f t="shared" si="14"/>
        <v>1247</v>
      </c>
      <c r="F33" s="44"/>
      <c r="G33" s="44">
        <f>I33-D33</f>
        <v>0</v>
      </c>
      <c r="H33" s="44">
        <f t="shared" ref="H33:H34" si="18">+G33+F33</f>
        <v>0</v>
      </c>
      <c r="I33" s="20">
        <f t="shared" si="17"/>
        <v>1247</v>
      </c>
      <c r="J33" s="165"/>
    </row>
    <row r="34" spans="1:10" s="30" customFormat="1" ht="18" hidden="1" customHeight="1">
      <c r="A34" s="13" t="s">
        <v>18</v>
      </c>
      <c r="B34" s="12" t="s">
        <v>17</v>
      </c>
      <c r="C34" s="20"/>
      <c r="D34" s="20">
        <f>VLOOKUP(B34,'9.2-SN'!$B$10:$G$150,6,0)</f>
        <v>2798</v>
      </c>
      <c r="E34" s="44">
        <f t="shared" si="14"/>
        <v>2798</v>
      </c>
      <c r="F34" s="44"/>
      <c r="G34" s="44">
        <f>I34-D34</f>
        <v>0</v>
      </c>
      <c r="H34" s="44">
        <f t="shared" si="18"/>
        <v>0</v>
      </c>
      <c r="I34" s="20">
        <f t="shared" si="17"/>
        <v>2798</v>
      </c>
      <c r="J34" s="165"/>
    </row>
    <row r="35" spans="1:10" s="30" customFormat="1" ht="18" hidden="1" customHeight="1">
      <c r="A35" s="13" t="s">
        <v>20</v>
      </c>
      <c r="B35" s="12" t="s">
        <v>15</v>
      </c>
      <c r="C35" s="20"/>
      <c r="D35" s="20">
        <f>VLOOKUP(B35,'9.2-SN'!$B$10:$G$150,6,0)</f>
        <v>3055</v>
      </c>
      <c r="E35" s="20">
        <f t="shared" si="14"/>
        <v>3055</v>
      </c>
      <c r="F35" s="20"/>
      <c r="G35" s="20"/>
      <c r="H35" s="20">
        <f t="shared" si="16"/>
        <v>0</v>
      </c>
      <c r="I35" s="20">
        <f t="shared" si="17"/>
        <v>3055</v>
      </c>
      <c r="J35" s="165"/>
    </row>
    <row r="36" spans="1:10" s="30" customFormat="1" ht="18" hidden="1" customHeight="1">
      <c r="A36" s="13" t="s">
        <v>22</v>
      </c>
      <c r="B36" s="12" t="s">
        <v>13</v>
      </c>
      <c r="C36" s="20"/>
      <c r="D36" s="20">
        <f>VLOOKUP(B36,'9.2-SN'!$B$10:$G$150,6,0)</f>
        <v>1601</v>
      </c>
      <c r="E36" s="44">
        <f t="shared" si="14"/>
        <v>1601</v>
      </c>
      <c r="F36" s="44"/>
      <c r="G36" s="44">
        <f>I36-D36</f>
        <v>0</v>
      </c>
      <c r="H36" s="44">
        <f t="shared" ref="H36:H37" si="19">+G36+F36</f>
        <v>0</v>
      </c>
      <c r="I36" s="20">
        <f t="shared" si="17"/>
        <v>1601</v>
      </c>
      <c r="J36" s="165"/>
    </row>
    <row r="37" spans="1:10" s="30" customFormat="1" ht="18" hidden="1" customHeight="1">
      <c r="A37" s="41" t="s">
        <v>24</v>
      </c>
      <c r="B37" s="705" t="s">
        <v>11</v>
      </c>
      <c r="C37" s="706"/>
      <c r="D37" s="706">
        <f>VLOOKUP(B37,'9.2-SN'!$B$10:$G$150,6,0)</f>
        <v>1017</v>
      </c>
      <c r="E37" s="45">
        <f t="shared" si="14"/>
        <v>1017</v>
      </c>
      <c r="F37" s="45"/>
      <c r="G37" s="45">
        <f>I37-D37</f>
        <v>0</v>
      </c>
      <c r="H37" s="45">
        <f t="shared" si="19"/>
        <v>0</v>
      </c>
      <c r="I37" s="706">
        <f t="shared" si="17"/>
        <v>1017</v>
      </c>
      <c r="J37" s="468"/>
    </row>
    <row r="38" spans="1:10" ht="18" customHeight="1"/>
    <row r="39" spans="1:10" ht="18" customHeight="1">
      <c r="A39" s="1817" t="s">
        <v>2494</v>
      </c>
      <c r="B39" s="1817"/>
      <c r="C39" s="1817"/>
      <c r="D39" s="1817"/>
      <c r="E39" s="1817"/>
      <c r="F39" s="1817"/>
      <c r="G39" s="1817"/>
      <c r="H39" s="1817"/>
      <c r="I39" s="1817"/>
      <c r="J39" s="1817"/>
    </row>
    <row r="40" spans="1:10" ht="21" customHeight="1"/>
    <row r="41" spans="1:10" ht="21" customHeight="1"/>
    <row r="42" spans="1:10" ht="21" customHeight="1"/>
    <row r="43" spans="1:10" ht="21" customHeight="1"/>
    <row r="44" spans="1:10" ht="21" customHeight="1"/>
    <row r="45" spans="1:10" ht="21" customHeight="1"/>
    <row r="46" spans="1:10" ht="21" customHeight="1"/>
    <row r="47" spans="1:10" ht="21" customHeight="1"/>
    <row r="48" spans="1:10"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sheetData>
  <autoFilter ref="A9:J114"/>
  <mergeCells count="14">
    <mergeCell ref="A1:J1"/>
    <mergeCell ref="A5:J5"/>
    <mergeCell ref="A6:J6"/>
    <mergeCell ref="A2:B2"/>
    <mergeCell ref="I2:J2"/>
    <mergeCell ref="A3:J3"/>
    <mergeCell ref="A4:J4"/>
    <mergeCell ref="A39:J39"/>
    <mergeCell ref="A7:A8"/>
    <mergeCell ref="B7:B8"/>
    <mergeCell ref="F7:H7"/>
    <mergeCell ref="I7:I8"/>
    <mergeCell ref="J7:J8"/>
    <mergeCell ref="C7:C8"/>
  </mergeCells>
  <pageMargins left="0.5" right="0.5" top="0.5" bottom="0.5" header="0.47" footer="0.3"/>
  <pageSetup paperSize="9" scale="90" orientation="portrait" r:id="rId1"/>
  <headerFooter>
    <oddFooter>Page &amp;P</oddFooter>
  </headerFooter>
  <ignoredErrors>
    <ignoredError sqref="E15 I15 D29:I29" formula="1"/>
    <ignoredError sqref="A12:A37"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93"/>
  <sheetViews>
    <sheetView topLeftCell="A61" workbookViewId="0">
      <selection activeCell="F6" sqref="F6:F10"/>
    </sheetView>
  </sheetViews>
  <sheetFormatPr defaultColWidth="9.08203125" defaultRowHeight="13"/>
  <cols>
    <col min="1" max="1" width="4.33203125" style="111" customWidth="1"/>
    <col min="2" max="2" width="5.08203125" style="111" hidden="1" customWidth="1"/>
    <col min="3" max="3" width="30.08203125" style="111" customWidth="1"/>
    <col min="4" max="4" width="14" style="111" customWidth="1"/>
    <col min="5" max="6" width="10.4140625" style="1236" customWidth="1"/>
    <col min="7" max="7" width="8.4140625" style="111" customWidth="1"/>
    <col min="8" max="8" width="10.4140625" style="111" customWidth="1"/>
    <col min="9" max="9" width="10.6640625" style="111" customWidth="1"/>
    <col min="10" max="16384" width="9.08203125" style="111"/>
  </cols>
  <sheetData>
    <row r="1" spans="1:11" ht="21" customHeight="1">
      <c r="A1" s="1715" t="s">
        <v>2913</v>
      </c>
      <c r="B1" s="1715"/>
      <c r="C1" s="1715"/>
      <c r="D1" s="1715"/>
      <c r="E1" s="1715"/>
      <c r="F1" s="1715"/>
      <c r="G1" s="1715"/>
      <c r="H1" s="1715"/>
      <c r="I1" s="1715"/>
    </row>
    <row r="2" spans="1:11" ht="18" hidden="1" customHeight="1">
      <c r="A2" s="1906"/>
      <c r="B2" s="1906"/>
      <c r="C2" s="1906"/>
      <c r="D2" s="1906"/>
      <c r="E2" s="1215"/>
      <c r="F2" s="1215"/>
      <c r="G2" s="1216"/>
      <c r="H2" s="1908" t="s">
        <v>2073</v>
      </c>
      <c r="I2" s="1908"/>
    </row>
    <row r="3" spans="1:11" ht="18" customHeight="1">
      <c r="A3" s="1715" t="s">
        <v>2108</v>
      </c>
      <c r="B3" s="1715"/>
      <c r="C3" s="1715"/>
      <c r="D3" s="1715"/>
      <c r="E3" s="1715"/>
      <c r="F3" s="1715"/>
      <c r="G3" s="1715"/>
      <c r="H3" s="1715"/>
      <c r="I3" s="1715"/>
    </row>
    <row r="4" spans="1:11" ht="30" customHeight="1">
      <c r="A4" s="1715" t="s">
        <v>2106</v>
      </c>
      <c r="B4" s="1715"/>
      <c r="C4" s="1715"/>
      <c r="D4" s="1715"/>
      <c r="E4" s="1715"/>
      <c r="F4" s="1715"/>
      <c r="G4" s="1715"/>
      <c r="H4" s="1715"/>
      <c r="I4" s="1715"/>
    </row>
    <row r="5" spans="1:11" s="121" customFormat="1" ht="24" customHeight="1">
      <c r="A5" s="1904" t="e">
        <f>#REF!</f>
        <v>#REF!</v>
      </c>
      <c r="B5" s="1904"/>
      <c r="C5" s="1904"/>
      <c r="D5" s="1904"/>
      <c r="E5" s="1904"/>
      <c r="F5" s="1904"/>
      <c r="G5" s="1904"/>
      <c r="H5" s="1904"/>
      <c r="I5" s="1904"/>
    </row>
    <row r="6" spans="1:11" ht="18" customHeight="1">
      <c r="A6" s="1907" t="s">
        <v>3</v>
      </c>
      <c r="B6" s="1907"/>
      <c r="C6" s="1907"/>
      <c r="D6" s="1907"/>
      <c r="E6" s="1907"/>
      <c r="F6" s="1907"/>
      <c r="G6" s="1907"/>
      <c r="H6" s="1907"/>
      <c r="I6" s="1907"/>
    </row>
    <row r="7" spans="1:11" ht="55.5" customHeight="1">
      <c r="A7" s="1217" t="s">
        <v>4</v>
      </c>
      <c r="B7" s="1217" t="s">
        <v>157</v>
      </c>
      <c r="C7" s="1217" t="s">
        <v>5</v>
      </c>
      <c r="D7" s="1217" t="s">
        <v>34</v>
      </c>
      <c r="E7" s="1217" t="s">
        <v>32</v>
      </c>
      <c r="F7" s="1217" t="s">
        <v>35</v>
      </c>
      <c r="G7" s="1217" t="s">
        <v>36</v>
      </c>
      <c r="H7" s="1217" t="s">
        <v>2537</v>
      </c>
      <c r="I7" s="1217" t="s">
        <v>33</v>
      </c>
      <c r="J7" s="111" t="s">
        <v>2925</v>
      </c>
      <c r="K7" s="111" t="s">
        <v>2926</v>
      </c>
    </row>
    <row r="8" spans="1:11" s="1219" customFormat="1" ht="18" hidden="1" customHeight="1">
      <c r="A8" s="1218" t="s">
        <v>10</v>
      </c>
      <c r="B8" s="1218"/>
      <c r="C8" s="1218" t="s">
        <v>12</v>
      </c>
      <c r="D8" s="1218" t="s">
        <v>14</v>
      </c>
      <c r="E8" s="1218" t="s">
        <v>16</v>
      </c>
      <c r="F8" s="1218" t="s">
        <v>77</v>
      </c>
      <c r="G8" s="1218" t="s">
        <v>20</v>
      </c>
      <c r="H8" s="1218" t="s">
        <v>22</v>
      </c>
      <c r="I8" s="1218" t="s">
        <v>24</v>
      </c>
    </row>
    <row r="9" spans="1:11" ht="24" customHeight="1">
      <c r="A9" s="124"/>
      <c r="B9" s="124"/>
      <c r="C9" s="124" t="s">
        <v>6</v>
      </c>
      <c r="D9" s="124"/>
      <c r="E9" s="124"/>
      <c r="F9" s="124"/>
      <c r="G9" s="652">
        <f>+G10+G30+G38+G67</f>
        <v>319047</v>
      </c>
      <c r="H9" s="652">
        <f>+H10+H30+H38+H67</f>
        <v>317362</v>
      </c>
      <c r="I9" s="652"/>
      <c r="J9" s="110">
        <f>COUNTIF(J10:J91,"1")</f>
        <v>3</v>
      </c>
      <c r="K9" s="110">
        <f>COUNTIF(K10:K91,"1")</f>
        <v>5</v>
      </c>
    </row>
    <row r="10" spans="1:11" ht="21" customHeight="1">
      <c r="A10" s="1220" t="s">
        <v>8</v>
      </c>
      <c r="B10" s="1220"/>
      <c r="C10" s="1221" t="s">
        <v>19</v>
      </c>
      <c r="D10" s="1222"/>
      <c r="E10" s="1222"/>
      <c r="F10" s="652"/>
      <c r="G10" s="652">
        <f>SUBTOTAL(9,G11:G29)</f>
        <v>39670</v>
      </c>
      <c r="H10" s="652">
        <f>SUM(H11:H29)</f>
        <v>39670</v>
      </c>
      <c r="I10" s="114"/>
      <c r="J10" s="1223"/>
      <c r="K10" s="1223"/>
    </row>
    <row r="11" spans="1:11">
      <c r="A11" s="1224">
        <f>IF(H11&gt;0,SUBTOTAL(3,$H$11:H11),"")</f>
        <v>1</v>
      </c>
      <c r="B11" s="1224" t="s">
        <v>140</v>
      </c>
      <c r="C11" s="416" t="s">
        <v>1428</v>
      </c>
      <c r="D11" s="604" t="s">
        <v>589</v>
      </c>
      <c r="E11" s="604" t="s">
        <v>1429</v>
      </c>
      <c r="F11" s="604" t="s">
        <v>118</v>
      </c>
      <c r="G11" s="190">
        <v>400</v>
      </c>
      <c r="H11" s="190">
        <v>400</v>
      </c>
      <c r="I11" s="114"/>
      <c r="J11" s="1225" t="str">
        <f>IF(H11&gt;15000,"1","0")</f>
        <v>0</v>
      </c>
      <c r="K11" s="1225" t="str">
        <f>IF(H11&gt;10000,"1","0")</f>
        <v>0</v>
      </c>
    </row>
    <row r="12" spans="1:11" ht="39">
      <c r="A12" s="1224">
        <f>IF(H12&gt;0,SUBTOTAL(3,$H$11:H12),"")</f>
        <v>2</v>
      </c>
      <c r="B12" s="1224" t="s">
        <v>140</v>
      </c>
      <c r="C12" s="416" t="s">
        <v>1487</v>
      </c>
      <c r="D12" s="604" t="s">
        <v>590</v>
      </c>
      <c r="E12" s="604" t="s">
        <v>1488</v>
      </c>
      <c r="F12" s="604" t="s">
        <v>118</v>
      </c>
      <c r="G12" s="190">
        <v>8650</v>
      </c>
      <c r="H12" s="190">
        <v>8650</v>
      </c>
      <c r="I12" s="114"/>
      <c r="J12" s="1225" t="str">
        <f t="shared" ref="J12:J29" si="0">IF(H12&gt;15000,"1","0")</f>
        <v>0</v>
      </c>
      <c r="K12" s="1225" t="str">
        <f t="shared" ref="K12:K29" si="1">IF(H12&gt;10000,"1","0")</f>
        <v>0</v>
      </c>
    </row>
    <row r="13" spans="1:11" ht="18" customHeight="1">
      <c r="A13" s="1224">
        <f>IF(H13&gt;0,SUBTOTAL(3,$H$11:H13),"")</f>
        <v>3</v>
      </c>
      <c r="B13" s="1224" t="s">
        <v>140</v>
      </c>
      <c r="C13" s="416" t="s">
        <v>1489</v>
      </c>
      <c r="D13" s="604" t="s">
        <v>590</v>
      </c>
      <c r="E13" s="604" t="s">
        <v>1451</v>
      </c>
      <c r="F13" s="604" t="s">
        <v>118</v>
      </c>
      <c r="G13" s="190">
        <v>1500</v>
      </c>
      <c r="H13" s="190">
        <v>1500</v>
      </c>
      <c r="I13" s="114"/>
      <c r="J13" s="1225" t="str">
        <f t="shared" si="0"/>
        <v>0</v>
      </c>
      <c r="K13" s="1225" t="str">
        <f t="shared" si="1"/>
        <v>0</v>
      </c>
    </row>
    <row r="14" spans="1:11" ht="26">
      <c r="A14" s="1224">
        <f>IF(H14&gt;0,SUBTOTAL(3,$H$11:H14),"")</f>
        <v>4</v>
      </c>
      <c r="B14" s="1224" t="s">
        <v>140</v>
      </c>
      <c r="C14" s="416" t="s">
        <v>1437</v>
      </c>
      <c r="D14" s="604" t="s">
        <v>590</v>
      </c>
      <c r="E14" s="604" t="s">
        <v>280</v>
      </c>
      <c r="F14" s="604" t="s">
        <v>118</v>
      </c>
      <c r="G14" s="190">
        <v>1000</v>
      </c>
      <c r="H14" s="190">
        <v>1000</v>
      </c>
      <c r="I14" s="114"/>
      <c r="J14" s="1225" t="str">
        <f t="shared" si="0"/>
        <v>0</v>
      </c>
      <c r="K14" s="1225" t="str">
        <f t="shared" si="1"/>
        <v>0</v>
      </c>
    </row>
    <row r="15" spans="1:11" ht="52">
      <c r="A15" s="1224">
        <f>IF(H15&gt;0,SUBTOTAL(3,$H$11:H15),"")</f>
        <v>5</v>
      </c>
      <c r="B15" s="1224" t="s">
        <v>140</v>
      </c>
      <c r="C15" s="416" t="s">
        <v>1491</v>
      </c>
      <c r="D15" s="604" t="s">
        <v>590</v>
      </c>
      <c r="E15" s="604" t="s">
        <v>1403</v>
      </c>
      <c r="F15" s="604" t="s">
        <v>118</v>
      </c>
      <c r="G15" s="190">
        <v>5400</v>
      </c>
      <c r="H15" s="190">
        <v>5400</v>
      </c>
      <c r="I15" s="114"/>
      <c r="J15" s="1225" t="str">
        <f t="shared" si="0"/>
        <v>0</v>
      </c>
      <c r="K15" s="1225" t="str">
        <f t="shared" si="1"/>
        <v>0</v>
      </c>
    </row>
    <row r="16" spans="1:11" ht="26">
      <c r="A16" s="1224">
        <f>IF(H16&gt;0,SUBTOTAL(3,$H$11:H16),"")</f>
        <v>6</v>
      </c>
      <c r="B16" s="1224" t="s">
        <v>140</v>
      </c>
      <c r="C16" s="416" t="s">
        <v>1492</v>
      </c>
      <c r="D16" s="604" t="s">
        <v>590</v>
      </c>
      <c r="E16" s="604" t="s">
        <v>1490</v>
      </c>
      <c r="F16" s="604" t="s">
        <v>118</v>
      </c>
      <c r="G16" s="190">
        <v>5200</v>
      </c>
      <c r="H16" s="190">
        <v>5200</v>
      </c>
      <c r="I16" s="114"/>
      <c r="J16" s="1225" t="str">
        <f t="shared" si="0"/>
        <v>0</v>
      </c>
      <c r="K16" s="1225" t="str">
        <f t="shared" si="1"/>
        <v>0</v>
      </c>
    </row>
    <row r="17" spans="1:11" ht="26">
      <c r="A17" s="1224">
        <f>IF(H17&gt;0,SUBTOTAL(3,$H$11:H17),"")</f>
        <v>7</v>
      </c>
      <c r="B17" s="1224" t="s">
        <v>138</v>
      </c>
      <c r="C17" s="416" t="s">
        <v>1441</v>
      </c>
      <c r="D17" s="604" t="s">
        <v>589</v>
      </c>
      <c r="E17" s="604" t="s">
        <v>280</v>
      </c>
      <c r="F17" s="604" t="s">
        <v>118</v>
      </c>
      <c r="G17" s="190">
        <v>2500</v>
      </c>
      <c r="H17" s="190">
        <v>2500</v>
      </c>
      <c r="I17" s="114"/>
      <c r="J17" s="1225" t="str">
        <f t="shared" si="0"/>
        <v>0</v>
      </c>
      <c r="K17" s="1225" t="str">
        <f t="shared" si="1"/>
        <v>0</v>
      </c>
    </row>
    <row r="18" spans="1:11" ht="26">
      <c r="A18" s="1224">
        <f>IF(H18&gt;0,SUBTOTAL(3,$H$11:H18),"")</f>
        <v>8</v>
      </c>
      <c r="B18" s="1224" t="s">
        <v>138</v>
      </c>
      <c r="C18" s="416" t="s">
        <v>1440</v>
      </c>
      <c r="D18" s="604" t="s">
        <v>589</v>
      </c>
      <c r="E18" s="604" t="s">
        <v>1430</v>
      </c>
      <c r="F18" s="604" t="s">
        <v>118</v>
      </c>
      <c r="G18" s="190">
        <v>6000</v>
      </c>
      <c r="H18" s="190">
        <v>6000</v>
      </c>
      <c r="I18" s="114"/>
      <c r="J18" s="1225" t="str">
        <f t="shared" si="0"/>
        <v>0</v>
      </c>
      <c r="K18" s="1225" t="str">
        <f t="shared" si="1"/>
        <v>0</v>
      </c>
    </row>
    <row r="19" spans="1:11" ht="18" customHeight="1">
      <c r="A19" s="1224">
        <f>IF(H19&gt;0,SUBTOTAL(3,$H$11:H19),"")</f>
        <v>9</v>
      </c>
      <c r="B19" s="1224" t="s">
        <v>138</v>
      </c>
      <c r="C19" s="416" t="s">
        <v>1447</v>
      </c>
      <c r="D19" s="604" t="s">
        <v>590</v>
      </c>
      <c r="E19" s="604"/>
      <c r="F19" s="604" t="s">
        <v>118</v>
      </c>
      <c r="G19" s="190">
        <v>300</v>
      </c>
      <c r="H19" s="190">
        <v>300</v>
      </c>
      <c r="I19" s="114"/>
      <c r="J19" s="1225" t="str">
        <f t="shared" si="0"/>
        <v>0</v>
      </c>
      <c r="K19" s="1225" t="str">
        <f t="shared" si="1"/>
        <v>0</v>
      </c>
    </row>
    <row r="20" spans="1:11" ht="18" customHeight="1">
      <c r="A20" s="1224">
        <f>IF(H20&gt;0,SUBTOTAL(3,$H$11:H20),"")</f>
        <v>10</v>
      </c>
      <c r="B20" s="1224" t="s">
        <v>138</v>
      </c>
      <c r="C20" s="416" t="s">
        <v>1446</v>
      </c>
      <c r="D20" s="604" t="s">
        <v>590</v>
      </c>
      <c r="E20" s="604" t="s">
        <v>1452</v>
      </c>
      <c r="F20" s="604" t="s">
        <v>118</v>
      </c>
      <c r="G20" s="190">
        <v>400</v>
      </c>
      <c r="H20" s="190">
        <v>400</v>
      </c>
      <c r="I20" s="114"/>
      <c r="J20" s="1225" t="str">
        <f t="shared" si="0"/>
        <v>0</v>
      </c>
      <c r="K20" s="1225" t="str">
        <f t="shared" si="1"/>
        <v>0</v>
      </c>
    </row>
    <row r="21" spans="1:11" ht="18" customHeight="1">
      <c r="A21" s="1224">
        <f>IF(H21&gt;0,SUBTOTAL(3,$H$11:H21),"")</f>
        <v>11</v>
      </c>
      <c r="B21" s="1224" t="s">
        <v>138</v>
      </c>
      <c r="C21" s="416" t="s">
        <v>1439</v>
      </c>
      <c r="D21" s="604" t="s">
        <v>590</v>
      </c>
      <c r="E21" s="604"/>
      <c r="F21" s="604" t="s">
        <v>118</v>
      </c>
      <c r="G21" s="190">
        <v>700</v>
      </c>
      <c r="H21" s="190">
        <v>700</v>
      </c>
      <c r="I21" s="114"/>
      <c r="J21" s="1225" t="str">
        <f t="shared" si="0"/>
        <v>0</v>
      </c>
      <c r="K21" s="1225" t="str">
        <f t="shared" si="1"/>
        <v>0</v>
      </c>
    </row>
    <row r="22" spans="1:11" ht="18" customHeight="1">
      <c r="A22" s="1224">
        <f>IF(H22&gt;0,SUBTOTAL(3,$H$11:H22),"")</f>
        <v>12</v>
      </c>
      <c r="B22" s="1224" t="s">
        <v>138</v>
      </c>
      <c r="C22" s="416" t="s">
        <v>1445</v>
      </c>
      <c r="D22" s="604" t="s">
        <v>590</v>
      </c>
      <c r="E22" s="604" t="s">
        <v>1430</v>
      </c>
      <c r="F22" s="604" t="s">
        <v>118</v>
      </c>
      <c r="G22" s="190">
        <v>850</v>
      </c>
      <c r="H22" s="190">
        <v>850</v>
      </c>
      <c r="I22" s="114"/>
      <c r="J22" s="1225" t="str">
        <f t="shared" si="0"/>
        <v>0</v>
      </c>
      <c r="K22" s="1225" t="str">
        <f t="shared" si="1"/>
        <v>0</v>
      </c>
    </row>
    <row r="23" spans="1:11" ht="18" customHeight="1">
      <c r="A23" s="1224">
        <f>IF(H23&gt;0,SUBTOTAL(3,$H$11:H23),"")</f>
        <v>13</v>
      </c>
      <c r="B23" s="1224" t="s">
        <v>138</v>
      </c>
      <c r="C23" s="416" t="s">
        <v>1444</v>
      </c>
      <c r="D23" s="604" t="s">
        <v>590</v>
      </c>
      <c r="E23" s="604" t="s">
        <v>1453</v>
      </c>
      <c r="F23" s="604" t="s">
        <v>118</v>
      </c>
      <c r="G23" s="190">
        <v>500</v>
      </c>
      <c r="H23" s="190">
        <v>500</v>
      </c>
      <c r="I23" s="114"/>
      <c r="J23" s="1225" t="str">
        <f t="shared" si="0"/>
        <v>0</v>
      </c>
      <c r="K23" s="1225" t="str">
        <f t="shared" si="1"/>
        <v>0</v>
      </c>
    </row>
    <row r="24" spans="1:11" ht="18" customHeight="1">
      <c r="A24" s="1224">
        <f>IF(H24&gt;0,SUBTOTAL(3,$H$11:H24),"")</f>
        <v>14</v>
      </c>
      <c r="B24" s="1224" t="s">
        <v>138</v>
      </c>
      <c r="C24" s="416" t="s">
        <v>1434</v>
      </c>
      <c r="D24" s="604" t="s">
        <v>590</v>
      </c>
      <c r="E24" s="604" t="s">
        <v>1435</v>
      </c>
      <c r="F24" s="604" t="s">
        <v>118</v>
      </c>
      <c r="G24" s="190">
        <v>400</v>
      </c>
      <c r="H24" s="190">
        <v>400</v>
      </c>
      <c r="I24" s="114"/>
      <c r="J24" s="1225" t="str">
        <f t="shared" si="0"/>
        <v>0</v>
      </c>
      <c r="K24" s="1225" t="str">
        <f t="shared" si="1"/>
        <v>0</v>
      </c>
    </row>
    <row r="25" spans="1:11" ht="18" customHeight="1">
      <c r="A25" s="1224">
        <f>IF(H25&gt;0,SUBTOTAL(3,$H$11:H25),"")</f>
        <v>15</v>
      </c>
      <c r="B25" s="1224" t="s">
        <v>138</v>
      </c>
      <c r="C25" s="416" t="s">
        <v>1443</v>
      </c>
      <c r="D25" s="604" t="s">
        <v>590</v>
      </c>
      <c r="E25" s="604" t="s">
        <v>1436</v>
      </c>
      <c r="F25" s="604" t="s">
        <v>118</v>
      </c>
      <c r="G25" s="190">
        <v>750</v>
      </c>
      <c r="H25" s="190">
        <v>750</v>
      </c>
      <c r="I25" s="114"/>
      <c r="J25" s="1225" t="str">
        <f t="shared" si="0"/>
        <v>0</v>
      </c>
      <c r="K25" s="1225" t="str">
        <f t="shared" si="1"/>
        <v>0</v>
      </c>
    </row>
    <row r="26" spans="1:11" ht="26">
      <c r="A26" s="1224">
        <f>IF(H26&gt;0,SUBTOTAL(3,$H$11:H26),"")</f>
        <v>16</v>
      </c>
      <c r="B26" s="1224" t="s">
        <v>308</v>
      </c>
      <c r="C26" s="416" t="s">
        <v>1438</v>
      </c>
      <c r="D26" s="604" t="s">
        <v>590</v>
      </c>
      <c r="E26" s="604" t="s">
        <v>1433</v>
      </c>
      <c r="F26" s="604" t="s">
        <v>118</v>
      </c>
      <c r="G26" s="190">
        <v>2300</v>
      </c>
      <c r="H26" s="190">
        <v>2300</v>
      </c>
      <c r="I26" s="114"/>
      <c r="J26" s="1225" t="str">
        <f t="shared" si="0"/>
        <v>0</v>
      </c>
      <c r="K26" s="1225" t="str">
        <f t="shared" si="1"/>
        <v>0</v>
      </c>
    </row>
    <row r="27" spans="1:11" ht="18" customHeight="1">
      <c r="A27" s="1224">
        <f>IF(H27&gt;0,SUBTOTAL(3,$H$11:H27),"")</f>
        <v>17</v>
      </c>
      <c r="B27" s="1224" t="s">
        <v>138</v>
      </c>
      <c r="C27" s="1226" t="s">
        <v>2937</v>
      </c>
      <c r="D27" s="1227" t="s">
        <v>590</v>
      </c>
      <c r="E27" s="1227" t="s">
        <v>2938</v>
      </c>
      <c r="F27" s="1227" t="s">
        <v>118</v>
      </c>
      <c r="G27" s="1228">
        <v>1000</v>
      </c>
      <c r="H27" s="1228">
        <v>1000</v>
      </c>
      <c r="I27" s="114"/>
      <c r="J27" s="1225" t="str">
        <f t="shared" si="0"/>
        <v>0</v>
      </c>
      <c r="K27" s="1225" t="str">
        <f t="shared" si="1"/>
        <v>0</v>
      </c>
    </row>
    <row r="28" spans="1:11" ht="26">
      <c r="A28" s="1224">
        <f>IF(H28&gt;0,SUBTOTAL(3,$H$11:H28),"")</f>
        <v>18</v>
      </c>
      <c r="B28" s="1224" t="s">
        <v>136</v>
      </c>
      <c r="C28" s="416" t="s">
        <v>1431</v>
      </c>
      <c r="D28" s="604" t="s">
        <v>589</v>
      </c>
      <c r="E28" s="604" t="s">
        <v>1432</v>
      </c>
      <c r="F28" s="604" t="s">
        <v>118</v>
      </c>
      <c r="G28" s="190">
        <v>770</v>
      </c>
      <c r="H28" s="190">
        <v>770</v>
      </c>
      <c r="I28" s="114"/>
      <c r="J28" s="1225" t="str">
        <f t="shared" si="0"/>
        <v>0</v>
      </c>
      <c r="K28" s="1225" t="str">
        <f t="shared" si="1"/>
        <v>0</v>
      </c>
    </row>
    <row r="29" spans="1:11" ht="26">
      <c r="A29" s="1224">
        <f>IF(H29&gt;0,SUBTOTAL(3,$H$11:H29),"")</f>
        <v>19</v>
      </c>
      <c r="B29" s="1224" t="s">
        <v>136</v>
      </c>
      <c r="C29" s="416" t="s">
        <v>1442</v>
      </c>
      <c r="D29" s="604" t="s">
        <v>590</v>
      </c>
      <c r="E29" s="604" t="s">
        <v>1432</v>
      </c>
      <c r="F29" s="604" t="s">
        <v>118</v>
      </c>
      <c r="G29" s="190">
        <v>1050</v>
      </c>
      <c r="H29" s="190">
        <v>1050</v>
      </c>
      <c r="I29" s="114"/>
      <c r="J29" s="1225" t="str">
        <f t="shared" si="0"/>
        <v>0</v>
      </c>
      <c r="K29" s="1225" t="str">
        <f t="shared" si="1"/>
        <v>0</v>
      </c>
    </row>
    <row r="30" spans="1:11" ht="18" customHeight="1">
      <c r="A30" s="1220" t="s">
        <v>26</v>
      </c>
      <c r="B30" s="1220"/>
      <c r="C30" s="1221" t="s">
        <v>15</v>
      </c>
      <c r="D30" s="1222"/>
      <c r="E30" s="1222"/>
      <c r="F30" s="652"/>
      <c r="G30" s="652">
        <f>SUBTOTAL(9,G31:G37)</f>
        <v>31438</v>
      </c>
      <c r="H30" s="652">
        <f>SUM(H31:H37)</f>
        <v>29753</v>
      </c>
      <c r="I30" s="114"/>
    </row>
    <row r="31" spans="1:11" ht="18" customHeight="1">
      <c r="A31" s="1224">
        <f>IF(H31&gt;0,SUBTOTAL(3,$H$31:H31),"")</f>
        <v>1</v>
      </c>
      <c r="B31" s="1224" t="s">
        <v>140</v>
      </c>
      <c r="C31" s="416" t="s">
        <v>269</v>
      </c>
      <c r="D31" s="1229" t="s">
        <v>220</v>
      </c>
      <c r="E31" s="1224" t="s">
        <v>278</v>
      </c>
      <c r="F31" s="604" t="s">
        <v>118</v>
      </c>
      <c r="G31" s="1230">
        <v>1751</v>
      </c>
      <c r="H31" s="1230">
        <v>1664</v>
      </c>
      <c r="I31" s="114"/>
      <c r="J31" s="1225" t="str">
        <f t="shared" ref="J31:J37" si="2">IF(H31&gt;15000,"1","0")</f>
        <v>0</v>
      </c>
      <c r="K31" s="1225" t="str">
        <f t="shared" ref="K31:K37" si="3">IF(H31&gt;10000,"1","0")</f>
        <v>0</v>
      </c>
    </row>
    <row r="32" spans="1:11" ht="26">
      <c r="A32" s="1224">
        <f>IF(H32&gt;0,SUBTOTAL(3,$H$31:H32),"")</f>
        <v>2</v>
      </c>
      <c r="B32" s="1224" t="s">
        <v>140</v>
      </c>
      <c r="C32" s="416" t="s">
        <v>270</v>
      </c>
      <c r="D32" s="1229" t="s">
        <v>220</v>
      </c>
      <c r="E32" s="1224" t="s">
        <v>279</v>
      </c>
      <c r="F32" s="604" t="s">
        <v>118</v>
      </c>
      <c r="G32" s="1230">
        <v>10198</v>
      </c>
      <c r="H32" s="1230">
        <v>9589</v>
      </c>
      <c r="I32" s="114"/>
      <c r="J32" s="1225" t="str">
        <f t="shared" si="2"/>
        <v>0</v>
      </c>
      <c r="K32" s="1225" t="str">
        <f t="shared" si="3"/>
        <v>0</v>
      </c>
    </row>
    <row r="33" spans="1:11" ht="26">
      <c r="A33" s="1224">
        <f>IF(H33&gt;0,SUBTOTAL(3,$H$31:H33),"")</f>
        <v>3</v>
      </c>
      <c r="B33" s="1224" t="s">
        <v>139</v>
      </c>
      <c r="C33" s="416" t="s">
        <v>271</v>
      </c>
      <c r="D33" s="1229" t="s">
        <v>220</v>
      </c>
      <c r="E33" s="1224" t="s">
        <v>1458</v>
      </c>
      <c r="F33" s="604" t="s">
        <v>118</v>
      </c>
      <c r="G33" s="1230">
        <v>5802</v>
      </c>
      <c r="H33" s="1231">
        <v>5500</v>
      </c>
      <c r="I33" s="114"/>
      <c r="J33" s="1225" t="str">
        <f t="shared" si="2"/>
        <v>0</v>
      </c>
      <c r="K33" s="1225" t="str">
        <f t="shared" si="3"/>
        <v>0</v>
      </c>
    </row>
    <row r="34" spans="1:11">
      <c r="A34" s="1224">
        <f>IF(H34&gt;0,SUBTOTAL(3,$H$31:H34),"")</f>
        <v>4</v>
      </c>
      <c r="B34" s="1224" t="s">
        <v>138</v>
      </c>
      <c r="C34" s="416" t="s">
        <v>272</v>
      </c>
      <c r="D34" s="1224" t="s">
        <v>210</v>
      </c>
      <c r="E34" s="1224" t="s">
        <v>275</v>
      </c>
      <c r="F34" s="604" t="s">
        <v>118</v>
      </c>
      <c r="G34" s="1230">
        <v>4210</v>
      </c>
      <c r="H34" s="1230">
        <v>4000</v>
      </c>
      <c r="I34" s="114"/>
      <c r="J34" s="1225" t="str">
        <f t="shared" si="2"/>
        <v>0</v>
      </c>
      <c r="K34" s="1225" t="str">
        <f t="shared" si="3"/>
        <v>0</v>
      </c>
    </row>
    <row r="35" spans="1:11" ht="18" customHeight="1">
      <c r="A35" s="1224">
        <f>IF(H35&gt;0,SUBTOTAL(3,$H$31:H35),"")</f>
        <v>5</v>
      </c>
      <c r="B35" s="1224" t="s">
        <v>138</v>
      </c>
      <c r="C35" s="416" t="s">
        <v>273</v>
      </c>
      <c r="D35" s="1224" t="s">
        <v>210</v>
      </c>
      <c r="E35" s="1224" t="s">
        <v>276</v>
      </c>
      <c r="F35" s="604" t="s">
        <v>118</v>
      </c>
      <c r="G35" s="1230">
        <v>3157</v>
      </c>
      <c r="H35" s="1230">
        <v>3000</v>
      </c>
      <c r="I35" s="114"/>
      <c r="J35" s="1225" t="str">
        <f t="shared" si="2"/>
        <v>0</v>
      </c>
      <c r="K35" s="1225" t="str">
        <f t="shared" si="3"/>
        <v>0</v>
      </c>
    </row>
    <row r="36" spans="1:11">
      <c r="A36" s="1224">
        <f>IF(H36&gt;0,SUBTOTAL(3,$H$31:H36),"")</f>
        <v>6</v>
      </c>
      <c r="B36" s="1224" t="s">
        <v>138</v>
      </c>
      <c r="C36" s="416" t="s">
        <v>588</v>
      </c>
      <c r="D36" s="651" t="s">
        <v>210</v>
      </c>
      <c r="E36" s="577" t="s">
        <v>277</v>
      </c>
      <c r="F36" s="604" t="s">
        <v>118</v>
      </c>
      <c r="G36" s="1230">
        <v>4215</v>
      </c>
      <c r="H36" s="1230">
        <v>4000</v>
      </c>
      <c r="I36" s="114"/>
      <c r="J36" s="1225" t="str">
        <f t="shared" si="2"/>
        <v>0</v>
      </c>
      <c r="K36" s="1225" t="str">
        <f t="shared" si="3"/>
        <v>0</v>
      </c>
    </row>
    <row r="37" spans="1:11" ht="26">
      <c r="A37" s="1224">
        <f>IF(H37&gt;0,SUBTOTAL(3,$H$31:H37),"")</f>
        <v>7</v>
      </c>
      <c r="B37" s="1224" t="s">
        <v>281</v>
      </c>
      <c r="C37" s="416" t="s">
        <v>274</v>
      </c>
      <c r="D37" s="1229" t="s">
        <v>220</v>
      </c>
      <c r="E37" s="1224" t="s">
        <v>266</v>
      </c>
      <c r="F37" s="604" t="s">
        <v>118</v>
      </c>
      <c r="G37" s="1230">
        <v>2105</v>
      </c>
      <c r="H37" s="1231">
        <v>2000</v>
      </c>
      <c r="I37" s="114"/>
      <c r="J37" s="1225" t="str">
        <f t="shared" si="2"/>
        <v>0</v>
      </c>
      <c r="K37" s="1225" t="str">
        <f t="shared" si="3"/>
        <v>0</v>
      </c>
    </row>
    <row r="38" spans="1:11" ht="18" customHeight="1">
      <c r="A38" s="1220" t="s">
        <v>28</v>
      </c>
      <c r="B38" s="1220"/>
      <c r="C38" s="1221" t="s">
        <v>13</v>
      </c>
      <c r="D38" s="1222"/>
      <c r="E38" s="1222"/>
      <c r="F38" s="652"/>
      <c r="G38" s="652">
        <f>SUBTOTAL(9,G39:G66)</f>
        <v>158681</v>
      </c>
      <c r="H38" s="652">
        <f>SUBTOTAL(9,H39:H66)</f>
        <v>158681</v>
      </c>
      <c r="I38" s="114"/>
    </row>
    <row r="39" spans="1:11" ht="26">
      <c r="A39" s="1224">
        <f>IF(H39&gt;0,SUBTOTAL(3,$H$39:H39),"")</f>
        <v>1</v>
      </c>
      <c r="B39" s="1224" t="s">
        <v>140</v>
      </c>
      <c r="C39" s="416" t="s">
        <v>144</v>
      </c>
      <c r="D39" s="1224" t="s">
        <v>110</v>
      </c>
      <c r="E39" s="604" t="s">
        <v>164</v>
      </c>
      <c r="F39" s="604" t="s">
        <v>118</v>
      </c>
      <c r="G39" s="190">
        <v>9000</v>
      </c>
      <c r="H39" s="190">
        <v>9000</v>
      </c>
      <c r="I39" s="114"/>
      <c r="J39" s="1225" t="str">
        <f t="shared" ref="J39:J66" si="4">IF(H39&gt;15000,"1","0")</f>
        <v>0</v>
      </c>
      <c r="K39" s="1225" t="str">
        <f t="shared" ref="K39:K66" si="5">IF(H39&gt;10000,"1","0")</f>
        <v>0</v>
      </c>
    </row>
    <row r="40" spans="1:11" ht="26">
      <c r="A40" s="1224">
        <f>IF(H40&gt;0,SUBTOTAL(3,$H$39:H40),"")</f>
        <v>2</v>
      </c>
      <c r="B40" s="1224" t="s">
        <v>140</v>
      </c>
      <c r="C40" s="416" t="s">
        <v>1414</v>
      </c>
      <c r="D40" s="1224" t="s">
        <v>110</v>
      </c>
      <c r="E40" s="604" t="s">
        <v>1415</v>
      </c>
      <c r="F40" s="604" t="s">
        <v>118</v>
      </c>
      <c r="G40" s="190">
        <v>4000</v>
      </c>
      <c r="H40" s="190">
        <v>4000</v>
      </c>
      <c r="I40" s="114"/>
      <c r="J40" s="1225" t="str">
        <f t="shared" si="4"/>
        <v>0</v>
      </c>
      <c r="K40" s="1225" t="str">
        <f t="shared" si="5"/>
        <v>0</v>
      </c>
    </row>
    <row r="41" spans="1:11" ht="26">
      <c r="A41" s="1224">
        <f>IF(H41&gt;0,SUBTOTAL(3,$H$39:H41),"")</f>
        <v>3</v>
      </c>
      <c r="B41" s="1224" t="s">
        <v>140</v>
      </c>
      <c r="C41" s="416" t="s">
        <v>1416</v>
      </c>
      <c r="D41" s="1224" t="s">
        <v>110</v>
      </c>
      <c r="E41" s="604" t="s">
        <v>650</v>
      </c>
      <c r="F41" s="604" t="s">
        <v>118</v>
      </c>
      <c r="G41" s="190">
        <v>1000</v>
      </c>
      <c r="H41" s="190">
        <v>1000</v>
      </c>
      <c r="I41" s="114"/>
      <c r="J41" s="1225" t="str">
        <f t="shared" si="4"/>
        <v>0</v>
      </c>
      <c r="K41" s="1225" t="str">
        <f t="shared" si="5"/>
        <v>0</v>
      </c>
    </row>
    <row r="42" spans="1:11" ht="26">
      <c r="A42" s="1224">
        <f>IF(H42&gt;0,SUBTOTAL(3,$H$39:H42),"")</f>
        <v>4</v>
      </c>
      <c r="B42" s="1224" t="s">
        <v>140</v>
      </c>
      <c r="C42" s="416" t="s">
        <v>145</v>
      </c>
      <c r="D42" s="1224" t="s">
        <v>122</v>
      </c>
      <c r="E42" s="604" t="s">
        <v>165</v>
      </c>
      <c r="F42" s="604" t="s">
        <v>118</v>
      </c>
      <c r="G42" s="190">
        <v>5000</v>
      </c>
      <c r="H42" s="190">
        <v>5000</v>
      </c>
      <c r="I42" s="114"/>
      <c r="J42" s="1225" t="str">
        <f t="shared" si="4"/>
        <v>0</v>
      </c>
      <c r="K42" s="1225" t="str">
        <f t="shared" si="5"/>
        <v>0</v>
      </c>
    </row>
    <row r="43" spans="1:11" ht="26">
      <c r="A43" s="1224">
        <f>IF(H43&gt;0,SUBTOTAL(3,$H$39:H43),"")</f>
        <v>5</v>
      </c>
      <c r="B43" s="1224" t="s">
        <v>140</v>
      </c>
      <c r="C43" s="416" t="s">
        <v>1417</v>
      </c>
      <c r="D43" s="1224" t="s">
        <v>117</v>
      </c>
      <c r="E43" s="604" t="s">
        <v>452</v>
      </c>
      <c r="F43" s="604" t="s">
        <v>118</v>
      </c>
      <c r="G43" s="190">
        <v>3081</v>
      </c>
      <c r="H43" s="190">
        <v>3081</v>
      </c>
      <c r="I43" s="114"/>
      <c r="J43" s="1225" t="str">
        <f t="shared" si="4"/>
        <v>0</v>
      </c>
      <c r="K43" s="1225" t="str">
        <f t="shared" si="5"/>
        <v>0</v>
      </c>
    </row>
    <row r="44" spans="1:11" ht="26">
      <c r="A44" s="1224">
        <f>IF(H44&gt;0,SUBTOTAL(3,$H$39:H44),"")</f>
        <v>6</v>
      </c>
      <c r="B44" s="1224" t="s">
        <v>140</v>
      </c>
      <c r="C44" s="416" t="s">
        <v>1418</v>
      </c>
      <c r="D44" s="1224" t="s">
        <v>117</v>
      </c>
      <c r="E44" s="604" t="s">
        <v>1419</v>
      </c>
      <c r="F44" s="604" t="s">
        <v>118</v>
      </c>
      <c r="G44" s="190">
        <v>6000</v>
      </c>
      <c r="H44" s="190">
        <v>6000</v>
      </c>
      <c r="I44" s="114"/>
      <c r="J44" s="1225" t="str">
        <f t="shared" si="4"/>
        <v>0</v>
      </c>
      <c r="K44" s="1225" t="str">
        <f t="shared" si="5"/>
        <v>0</v>
      </c>
    </row>
    <row r="45" spans="1:11" ht="39">
      <c r="A45" s="1224">
        <f>IF(H45&gt;0,SUBTOTAL(3,$H$39:H45),"")</f>
        <v>7</v>
      </c>
      <c r="B45" s="1224" t="s">
        <v>140</v>
      </c>
      <c r="C45" s="148" t="s">
        <v>146</v>
      </c>
      <c r="D45" s="1224" t="s">
        <v>117</v>
      </c>
      <c r="E45" s="604" t="s">
        <v>166</v>
      </c>
      <c r="F45" s="604" t="s">
        <v>118</v>
      </c>
      <c r="G45" s="190">
        <v>17000</v>
      </c>
      <c r="H45" s="190">
        <v>17000</v>
      </c>
      <c r="I45" s="114"/>
      <c r="J45" s="1225" t="str">
        <f t="shared" si="4"/>
        <v>1</v>
      </c>
      <c r="K45" s="1225" t="str">
        <f t="shared" si="5"/>
        <v>1</v>
      </c>
    </row>
    <row r="46" spans="1:11" ht="26">
      <c r="A46" s="1224">
        <f>IF(H46&gt;0,SUBTOTAL(3,$H$39:H46),"")</f>
        <v>8</v>
      </c>
      <c r="B46" s="1224" t="s">
        <v>140</v>
      </c>
      <c r="C46" s="148" t="s">
        <v>1420</v>
      </c>
      <c r="D46" s="1224" t="s">
        <v>117</v>
      </c>
      <c r="E46" s="604" t="s">
        <v>166</v>
      </c>
      <c r="F46" s="604" t="s">
        <v>118</v>
      </c>
      <c r="G46" s="190">
        <v>10000</v>
      </c>
      <c r="H46" s="190">
        <v>10000</v>
      </c>
      <c r="I46" s="114"/>
      <c r="J46" s="1225" t="str">
        <f t="shared" si="4"/>
        <v>0</v>
      </c>
      <c r="K46" s="1225" t="str">
        <f t="shared" si="5"/>
        <v>0</v>
      </c>
    </row>
    <row r="47" spans="1:11" ht="26">
      <c r="A47" s="1224">
        <f>IF(H47&gt;0,SUBTOTAL(3,$H$39:H47),"")</f>
        <v>9</v>
      </c>
      <c r="B47" s="1224" t="s">
        <v>140</v>
      </c>
      <c r="C47" s="416" t="s">
        <v>147</v>
      </c>
      <c r="D47" s="1224" t="s">
        <v>113</v>
      </c>
      <c r="E47" s="604" t="s">
        <v>167</v>
      </c>
      <c r="F47" s="604" t="s">
        <v>118</v>
      </c>
      <c r="G47" s="190">
        <v>14000</v>
      </c>
      <c r="H47" s="190">
        <v>14000</v>
      </c>
      <c r="I47" s="114"/>
      <c r="J47" s="1225" t="str">
        <f t="shared" si="4"/>
        <v>0</v>
      </c>
      <c r="K47" s="1225" t="str">
        <f t="shared" si="5"/>
        <v>1</v>
      </c>
    </row>
    <row r="48" spans="1:11" ht="26">
      <c r="A48" s="1224">
        <f>IF(H48&gt;0,SUBTOTAL(3,$H$39:H48),"")</f>
        <v>10</v>
      </c>
      <c r="B48" s="1224" t="s">
        <v>140</v>
      </c>
      <c r="C48" s="416" t="s">
        <v>1421</v>
      </c>
      <c r="D48" s="1224" t="s">
        <v>113</v>
      </c>
      <c r="E48" s="604" t="s">
        <v>278</v>
      </c>
      <c r="F48" s="604" t="s">
        <v>118</v>
      </c>
      <c r="G48" s="190">
        <v>1500</v>
      </c>
      <c r="H48" s="190">
        <v>1500</v>
      </c>
      <c r="I48" s="114"/>
      <c r="J48" s="1225" t="str">
        <f t="shared" si="4"/>
        <v>0</v>
      </c>
      <c r="K48" s="1225" t="str">
        <f t="shared" si="5"/>
        <v>0</v>
      </c>
    </row>
    <row r="49" spans="1:11" ht="26">
      <c r="A49" s="1224">
        <f>IF(H49&gt;0,SUBTOTAL(3,$H$39:H49),"")</f>
        <v>11</v>
      </c>
      <c r="B49" s="1224" t="s">
        <v>140</v>
      </c>
      <c r="C49" s="416" t="s">
        <v>1422</v>
      </c>
      <c r="D49" s="1224" t="s">
        <v>113</v>
      </c>
      <c r="E49" s="604" t="s">
        <v>650</v>
      </c>
      <c r="F49" s="604" t="s">
        <v>118</v>
      </c>
      <c r="G49" s="190">
        <v>1000</v>
      </c>
      <c r="H49" s="190">
        <v>1000</v>
      </c>
      <c r="I49" s="114"/>
      <c r="J49" s="1225" t="str">
        <f t="shared" si="4"/>
        <v>0</v>
      </c>
      <c r="K49" s="1225" t="str">
        <f t="shared" si="5"/>
        <v>0</v>
      </c>
    </row>
    <row r="50" spans="1:11" ht="18" customHeight="1">
      <c r="A50" s="1224">
        <f>IF(H50&gt;0,SUBTOTAL(3,$H$39:H50),"")</f>
        <v>12</v>
      </c>
      <c r="B50" s="1224" t="s">
        <v>140</v>
      </c>
      <c r="C50" s="416" t="s">
        <v>1423</v>
      </c>
      <c r="D50" s="1224" t="s">
        <v>113</v>
      </c>
      <c r="E50" s="604" t="s">
        <v>650</v>
      </c>
      <c r="F50" s="604" t="s">
        <v>118</v>
      </c>
      <c r="G50" s="190">
        <v>1000</v>
      </c>
      <c r="H50" s="190">
        <v>1000</v>
      </c>
      <c r="I50" s="114"/>
      <c r="J50" s="1225" t="str">
        <f t="shared" si="4"/>
        <v>0</v>
      </c>
      <c r="K50" s="1225" t="str">
        <f t="shared" si="5"/>
        <v>0</v>
      </c>
    </row>
    <row r="51" spans="1:11" ht="26">
      <c r="A51" s="1224">
        <f>IF(H51&gt;0,SUBTOTAL(3,$H$39:H51),"")</f>
        <v>13</v>
      </c>
      <c r="B51" s="1224" t="s">
        <v>140</v>
      </c>
      <c r="C51" s="416" t="s">
        <v>1484</v>
      </c>
      <c r="D51" s="1224" t="s">
        <v>113</v>
      </c>
      <c r="E51" s="604" t="s">
        <v>1485</v>
      </c>
      <c r="F51" s="604" t="s">
        <v>118</v>
      </c>
      <c r="G51" s="190">
        <v>3000</v>
      </c>
      <c r="H51" s="190">
        <v>3000</v>
      </c>
      <c r="I51" s="114"/>
      <c r="J51" s="1225" t="str">
        <f t="shared" si="4"/>
        <v>0</v>
      </c>
      <c r="K51" s="1225" t="str">
        <f t="shared" si="5"/>
        <v>0</v>
      </c>
    </row>
    <row r="52" spans="1:11" ht="39">
      <c r="A52" s="1224">
        <f>IF(H52&gt;0,SUBTOTAL(3,$H$39:H52),"")</f>
        <v>14</v>
      </c>
      <c r="B52" s="1224" t="s">
        <v>140</v>
      </c>
      <c r="C52" s="416" t="s">
        <v>661</v>
      </c>
      <c r="D52" s="1224" t="s">
        <v>123</v>
      </c>
      <c r="E52" s="604" t="s">
        <v>168</v>
      </c>
      <c r="F52" s="604" t="s">
        <v>118</v>
      </c>
      <c r="G52" s="190">
        <v>28500</v>
      </c>
      <c r="H52" s="190">
        <v>28500</v>
      </c>
      <c r="I52" s="114"/>
      <c r="J52" s="1225" t="str">
        <f t="shared" si="4"/>
        <v>1</v>
      </c>
      <c r="K52" s="1225" t="str">
        <f t="shared" si="5"/>
        <v>1</v>
      </c>
    </row>
    <row r="53" spans="1:11" ht="26">
      <c r="A53" s="1224">
        <f>IF(H53&gt;0,SUBTOTAL(3,$H$39:H53),"")</f>
        <v>15</v>
      </c>
      <c r="B53" s="1224" t="s">
        <v>140</v>
      </c>
      <c r="C53" s="416" t="s">
        <v>1424</v>
      </c>
      <c r="D53" s="1224" t="s">
        <v>123</v>
      </c>
      <c r="E53" s="604" t="s">
        <v>1425</v>
      </c>
      <c r="F53" s="604" t="s">
        <v>118</v>
      </c>
      <c r="G53" s="190">
        <v>1500</v>
      </c>
      <c r="H53" s="190">
        <v>1500</v>
      </c>
      <c r="I53" s="114"/>
      <c r="J53" s="1225" t="str">
        <f t="shared" si="4"/>
        <v>0</v>
      </c>
      <c r="K53" s="1225" t="str">
        <f t="shared" si="5"/>
        <v>0</v>
      </c>
    </row>
    <row r="54" spans="1:11" ht="18" customHeight="1">
      <c r="A54" s="1224">
        <f>IF(H54&gt;0,SUBTOTAL(3,$H$39:H54),"")</f>
        <v>16</v>
      </c>
      <c r="B54" s="1224" t="s">
        <v>138</v>
      </c>
      <c r="C54" s="416" t="s">
        <v>148</v>
      </c>
      <c r="D54" s="1224" t="s">
        <v>114</v>
      </c>
      <c r="E54" s="604" t="s">
        <v>169</v>
      </c>
      <c r="F54" s="604" t="s">
        <v>118</v>
      </c>
      <c r="G54" s="190">
        <v>3500</v>
      </c>
      <c r="H54" s="190">
        <v>3500</v>
      </c>
      <c r="I54" s="114"/>
      <c r="J54" s="1225" t="str">
        <f t="shared" si="4"/>
        <v>0</v>
      </c>
      <c r="K54" s="1225" t="str">
        <f t="shared" si="5"/>
        <v>0</v>
      </c>
    </row>
    <row r="55" spans="1:11" ht="18" customHeight="1">
      <c r="A55" s="1224">
        <f>IF(H55&gt;0,SUBTOTAL(3,$H$39:H55),"")</f>
        <v>17</v>
      </c>
      <c r="B55" s="1224" t="s">
        <v>138</v>
      </c>
      <c r="C55" s="416" t="s">
        <v>149</v>
      </c>
      <c r="D55" s="1224" t="s">
        <v>107</v>
      </c>
      <c r="E55" s="604" t="s">
        <v>169</v>
      </c>
      <c r="F55" s="604" t="s">
        <v>118</v>
      </c>
      <c r="G55" s="190">
        <v>5000</v>
      </c>
      <c r="H55" s="190">
        <v>5000</v>
      </c>
      <c r="I55" s="114"/>
      <c r="J55" s="1225" t="str">
        <f t="shared" si="4"/>
        <v>0</v>
      </c>
      <c r="K55" s="1225" t="str">
        <f t="shared" si="5"/>
        <v>0</v>
      </c>
    </row>
    <row r="56" spans="1:11" ht="18" customHeight="1">
      <c r="A56" s="1224">
        <f>IF(H56&gt;0,SUBTOTAL(3,$H$39:H56),"")</f>
        <v>18</v>
      </c>
      <c r="B56" s="1224" t="s">
        <v>138</v>
      </c>
      <c r="C56" s="416" t="s">
        <v>150</v>
      </c>
      <c r="D56" s="1224" t="s">
        <v>107</v>
      </c>
      <c r="E56" s="604" t="s">
        <v>170</v>
      </c>
      <c r="F56" s="604" t="s">
        <v>118</v>
      </c>
      <c r="G56" s="190">
        <v>7000</v>
      </c>
      <c r="H56" s="190">
        <v>7000</v>
      </c>
      <c r="I56" s="114"/>
      <c r="J56" s="1225" t="str">
        <f t="shared" si="4"/>
        <v>0</v>
      </c>
      <c r="K56" s="1225" t="str">
        <f t="shared" si="5"/>
        <v>0</v>
      </c>
    </row>
    <row r="57" spans="1:11" ht="26">
      <c r="A57" s="1224">
        <f>IF(H57&gt;0,SUBTOTAL(3,$H$39:H57),"")</f>
        <v>19</v>
      </c>
      <c r="B57" s="1224" t="s">
        <v>158</v>
      </c>
      <c r="C57" s="416" t="s">
        <v>151</v>
      </c>
      <c r="D57" s="1224" t="s">
        <v>123</v>
      </c>
      <c r="E57" s="604" t="s">
        <v>161</v>
      </c>
      <c r="F57" s="604" t="s">
        <v>118</v>
      </c>
      <c r="G57" s="190">
        <v>9000</v>
      </c>
      <c r="H57" s="190">
        <v>9000</v>
      </c>
      <c r="I57" s="114"/>
      <c r="J57" s="1225" t="str">
        <f t="shared" si="4"/>
        <v>0</v>
      </c>
      <c r="K57" s="1225" t="str">
        <f t="shared" si="5"/>
        <v>0</v>
      </c>
    </row>
    <row r="58" spans="1:11" ht="26">
      <c r="A58" s="1224">
        <f>IF(H58&gt;0,SUBTOTAL(3,$H$39:H58),"")</f>
        <v>20</v>
      </c>
      <c r="B58" s="1224" t="s">
        <v>158</v>
      </c>
      <c r="C58" s="416" t="s">
        <v>152</v>
      </c>
      <c r="D58" s="1224" t="s">
        <v>113</v>
      </c>
      <c r="E58" s="604" t="s">
        <v>161</v>
      </c>
      <c r="F58" s="604" t="s">
        <v>118</v>
      </c>
      <c r="G58" s="190">
        <v>8000</v>
      </c>
      <c r="H58" s="190">
        <v>8000</v>
      </c>
      <c r="I58" s="114"/>
      <c r="J58" s="1225" t="str">
        <f t="shared" si="4"/>
        <v>0</v>
      </c>
      <c r="K58" s="1225" t="str">
        <f t="shared" si="5"/>
        <v>0</v>
      </c>
    </row>
    <row r="59" spans="1:11" ht="18" customHeight="1">
      <c r="A59" s="1224">
        <f>IF(H59&gt;0,SUBTOTAL(3,$H$39:H59),"")</f>
        <v>21</v>
      </c>
      <c r="B59" s="1224" t="s">
        <v>158</v>
      </c>
      <c r="C59" s="416" t="s">
        <v>462</v>
      </c>
      <c r="D59" s="1224" t="s">
        <v>113</v>
      </c>
      <c r="E59" s="604" t="s">
        <v>162</v>
      </c>
      <c r="F59" s="604" t="s">
        <v>118</v>
      </c>
      <c r="G59" s="190">
        <v>3000</v>
      </c>
      <c r="H59" s="190">
        <v>3000</v>
      </c>
      <c r="I59" s="114"/>
      <c r="J59" s="1225" t="str">
        <f t="shared" si="4"/>
        <v>0</v>
      </c>
      <c r="K59" s="1225" t="str">
        <f t="shared" si="5"/>
        <v>0</v>
      </c>
    </row>
    <row r="60" spans="1:11" ht="26">
      <c r="A60" s="1224">
        <f>IF(H60&gt;0,SUBTOTAL(3,$H$39:H60),"")</f>
        <v>22</v>
      </c>
      <c r="B60" s="1224" t="s">
        <v>158</v>
      </c>
      <c r="C60" s="416" t="s">
        <v>1467</v>
      </c>
      <c r="D60" s="604" t="s">
        <v>159</v>
      </c>
      <c r="E60" s="604" t="s">
        <v>163</v>
      </c>
      <c r="F60" s="604" t="s">
        <v>118</v>
      </c>
      <c r="G60" s="190">
        <v>3000</v>
      </c>
      <c r="H60" s="190">
        <v>3000</v>
      </c>
      <c r="I60" s="114"/>
      <c r="J60" s="1225" t="str">
        <f t="shared" si="4"/>
        <v>0</v>
      </c>
      <c r="K60" s="1225" t="str">
        <f t="shared" si="5"/>
        <v>0</v>
      </c>
    </row>
    <row r="61" spans="1:11" ht="26">
      <c r="A61" s="1224">
        <f>IF(H61&gt;0,SUBTOTAL(3,$H$39:H61),"")</f>
        <v>23</v>
      </c>
      <c r="B61" s="1224" t="s">
        <v>158</v>
      </c>
      <c r="C61" s="416" t="s">
        <v>1468</v>
      </c>
      <c r="D61" s="604" t="s">
        <v>159</v>
      </c>
      <c r="E61" s="604" t="s">
        <v>163</v>
      </c>
      <c r="F61" s="604" t="s">
        <v>118</v>
      </c>
      <c r="G61" s="190">
        <v>3000</v>
      </c>
      <c r="H61" s="190">
        <v>3000</v>
      </c>
      <c r="I61" s="114"/>
      <c r="J61" s="1225" t="str">
        <f t="shared" si="4"/>
        <v>0</v>
      </c>
      <c r="K61" s="1225" t="str">
        <f t="shared" si="5"/>
        <v>0</v>
      </c>
    </row>
    <row r="62" spans="1:11" ht="18" customHeight="1">
      <c r="A62" s="1224">
        <f>IF(H62&gt;0,SUBTOTAL(3,$H$39:H62),"")</f>
        <v>24</v>
      </c>
      <c r="B62" s="1224" t="s">
        <v>160</v>
      </c>
      <c r="C62" s="416" t="s">
        <v>153</v>
      </c>
      <c r="D62" s="1224" t="s">
        <v>113</v>
      </c>
      <c r="E62" s="604" t="s">
        <v>171</v>
      </c>
      <c r="F62" s="604" t="s">
        <v>118</v>
      </c>
      <c r="G62" s="190">
        <v>3000</v>
      </c>
      <c r="H62" s="190">
        <v>3000</v>
      </c>
      <c r="I62" s="114"/>
      <c r="J62" s="1225" t="str">
        <f t="shared" si="4"/>
        <v>0</v>
      </c>
      <c r="K62" s="1225" t="str">
        <f t="shared" si="5"/>
        <v>0</v>
      </c>
    </row>
    <row r="63" spans="1:11" ht="26">
      <c r="A63" s="1224">
        <f>IF(H63&gt;0,SUBTOTAL(3,$H$39:H63),"")</f>
        <v>25</v>
      </c>
      <c r="B63" s="1224" t="s">
        <v>137</v>
      </c>
      <c r="C63" s="416" t="s">
        <v>154</v>
      </c>
      <c r="D63" s="1224" t="s">
        <v>121</v>
      </c>
      <c r="E63" s="604" t="s">
        <v>172</v>
      </c>
      <c r="F63" s="604" t="s">
        <v>118</v>
      </c>
      <c r="G63" s="190">
        <v>2000</v>
      </c>
      <c r="H63" s="190">
        <v>2000</v>
      </c>
      <c r="I63" s="114"/>
      <c r="J63" s="1225" t="str">
        <f t="shared" si="4"/>
        <v>0</v>
      </c>
      <c r="K63" s="1225" t="str">
        <f t="shared" si="5"/>
        <v>0</v>
      </c>
    </row>
    <row r="64" spans="1:11">
      <c r="A64" s="1224">
        <f>IF(H64&gt;0,SUBTOTAL(3,$H$39:H64),"")</f>
        <v>26</v>
      </c>
      <c r="B64" s="1224" t="s">
        <v>137</v>
      </c>
      <c r="C64" s="416" t="s">
        <v>155</v>
      </c>
      <c r="D64" s="1224" t="s">
        <v>117</v>
      </c>
      <c r="E64" s="604" t="s">
        <v>173</v>
      </c>
      <c r="F64" s="604" t="s">
        <v>118</v>
      </c>
      <c r="G64" s="190">
        <v>3000</v>
      </c>
      <c r="H64" s="190">
        <v>3000</v>
      </c>
      <c r="I64" s="114"/>
      <c r="J64" s="1225" t="str">
        <f t="shared" si="4"/>
        <v>0</v>
      </c>
      <c r="K64" s="1225" t="str">
        <f t="shared" si="5"/>
        <v>0</v>
      </c>
    </row>
    <row r="65" spans="1:11" ht="26">
      <c r="A65" s="1224">
        <f>IF(H65&gt;0,SUBTOTAL(3,$H$39:H65),"")</f>
        <v>27</v>
      </c>
      <c r="B65" s="1224" t="s">
        <v>137</v>
      </c>
      <c r="C65" s="416" t="s">
        <v>156</v>
      </c>
      <c r="D65" s="1224" t="s">
        <v>117</v>
      </c>
      <c r="E65" s="604" t="s">
        <v>174</v>
      </c>
      <c r="F65" s="604" t="s">
        <v>118</v>
      </c>
      <c r="G65" s="190">
        <v>3000</v>
      </c>
      <c r="H65" s="190">
        <v>3000</v>
      </c>
      <c r="I65" s="114"/>
      <c r="J65" s="1225" t="str">
        <f t="shared" si="4"/>
        <v>0</v>
      </c>
      <c r="K65" s="1225" t="str">
        <f t="shared" si="5"/>
        <v>0</v>
      </c>
    </row>
    <row r="66" spans="1:11" ht="18" customHeight="1">
      <c r="A66" s="1224">
        <f>IF(H66&gt;0,SUBTOTAL(3,$H$39:H66),"")</f>
        <v>28</v>
      </c>
      <c r="B66" s="1224" t="s">
        <v>308</v>
      </c>
      <c r="C66" s="416" t="s">
        <v>1426</v>
      </c>
      <c r="D66" s="1224" t="s">
        <v>122</v>
      </c>
      <c r="E66" s="604" t="s">
        <v>1427</v>
      </c>
      <c r="F66" s="604" t="s">
        <v>118</v>
      </c>
      <c r="G66" s="190">
        <v>600</v>
      </c>
      <c r="H66" s="190">
        <v>600</v>
      </c>
      <c r="I66" s="114"/>
      <c r="J66" s="1225" t="str">
        <f t="shared" si="4"/>
        <v>0</v>
      </c>
      <c r="K66" s="1225" t="str">
        <f t="shared" si="5"/>
        <v>0</v>
      </c>
    </row>
    <row r="67" spans="1:11" ht="24.75" customHeight="1">
      <c r="A67" s="1220" t="s">
        <v>29</v>
      </c>
      <c r="B67" s="1220"/>
      <c r="C67" s="1221" t="s">
        <v>11</v>
      </c>
      <c r="D67" s="1222"/>
      <c r="E67" s="1222"/>
      <c r="F67" s="652"/>
      <c r="G67" s="652">
        <f>SUBTOTAL(9,G68:G91)</f>
        <v>89258</v>
      </c>
      <c r="H67" s="652">
        <f>SUBTOTAL(9,H68:H91)</f>
        <v>89258</v>
      </c>
      <c r="I67" s="114"/>
      <c r="K67" s="1232"/>
    </row>
    <row r="68" spans="1:11" ht="26">
      <c r="A68" s="1224">
        <f>IF(H68&gt;0,SUBTOTAL(3,$H$68:H68),"")</f>
        <v>1</v>
      </c>
      <c r="B68" s="1224" t="s">
        <v>140</v>
      </c>
      <c r="C68" s="416" t="s">
        <v>554</v>
      </c>
      <c r="D68" s="604" t="s">
        <v>568</v>
      </c>
      <c r="E68" s="604" t="s">
        <v>647</v>
      </c>
      <c r="F68" s="604" t="s">
        <v>470</v>
      </c>
      <c r="G68" s="190">
        <v>2280</v>
      </c>
      <c r="H68" s="190">
        <v>2280</v>
      </c>
      <c r="I68" s="114"/>
      <c r="J68" s="1225" t="str">
        <f t="shared" ref="J68:J91" si="6">IF(H68&gt;15000,"1","0")</f>
        <v>0</v>
      </c>
      <c r="K68" s="1225" t="str">
        <f t="shared" ref="K68:K91" si="7">IF(H68&gt;10000,"1","0")</f>
        <v>0</v>
      </c>
    </row>
    <row r="69" spans="1:11" ht="26">
      <c r="A69" s="1224">
        <f>IF(H69&gt;0,SUBTOTAL(3,$H$68:H69),"")</f>
        <v>2</v>
      </c>
      <c r="B69" s="1224" t="s">
        <v>140</v>
      </c>
      <c r="C69" s="416" t="s">
        <v>555</v>
      </c>
      <c r="D69" s="604" t="s">
        <v>570</v>
      </c>
      <c r="E69" s="604" t="s">
        <v>648</v>
      </c>
      <c r="F69" s="604" t="s">
        <v>472</v>
      </c>
      <c r="G69" s="190">
        <v>1615</v>
      </c>
      <c r="H69" s="190">
        <v>1615</v>
      </c>
      <c r="I69" s="114"/>
      <c r="J69" s="1225" t="str">
        <f t="shared" si="6"/>
        <v>0</v>
      </c>
      <c r="K69" s="1225" t="str">
        <f t="shared" si="7"/>
        <v>0</v>
      </c>
    </row>
    <row r="70" spans="1:11" ht="26">
      <c r="A70" s="1224">
        <f>IF(H70&gt;0,SUBTOTAL(3,$H$68:H70),"")</f>
        <v>3</v>
      </c>
      <c r="B70" s="1224" t="s">
        <v>140</v>
      </c>
      <c r="C70" s="416" t="s">
        <v>556</v>
      </c>
      <c r="D70" s="604" t="s">
        <v>571</v>
      </c>
      <c r="E70" s="604" t="s">
        <v>278</v>
      </c>
      <c r="F70" s="604" t="s">
        <v>472</v>
      </c>
      <c r="G70" s="190">
        <v>1425</v>
      </c>
      <c r="H70" s="190">
        <v>1425</v>
      </c>
      <c r="I70" s="114"/>
      <c r="J70" s="1225" t="str">
        <f t="shared" si="6"/>
        <v>0</v>
      </c>
      <c r="K70" s="1225" t="str">
        <f t="shared" si="7"/>
        <v>0</v>
      </c>
    </row>
    <row r="71" spans="1:11" ht="26">
      <c r="A71" s="1224">
        <f>IF(H71&gt;0,SUBTOTAL(3,$H$68:H71),"")</f>
        <v>4</v>
      </c>
      <c r="B71" s="1224" t="s">
        <v>140</v>
      </c>
      <c r="C71" s="416" t="s">
        <v>557</v>
      </c>
      <c r="D71" s="604" t="s">
        <v>469</v>
      </c>
      <c r="E71" s="604" t="s">
        <v>649</v>
      </c>
      <c r="F71" s="604" t="s">
        <v>471</v>
      </c>
      <c r="G71" s="190">
        <v>2700</v>
      </c>
      <c r="H71" s="190">
        <v>2700</v>
      </c>
      <c r="I71" s="114"/>
      <c r="J71" s="1225" t="str">
        <f t="shared" si="6"/>
        <v>0</v>
      </c>
      <c r="K71" s="1225" t="str">
        <f t="shared" si="7"/>
        <v>0</v>
      </c>
    </row>
    <row r="72" spans="1:11" ht="26">
      <c r="A72" s="1224">
        <f>IF(H72&gt;0,SUBTOTAL(3,$H$68:H72),"")</f>
        <v>5</v>
      </c>
      <c r="B72" s="1224" t="s">
        <v>140</v>
      </c>
      <c r="C72" s="416" t="s">
        <v>558</v>
      </c>
      <c r="D72" s="604" t="s">
        <v>469</v>
      </c>
      <c r="E72" s="604" t="s">
        <v>650</v>
      </c>
      <c r="F72" s="604" t="s">
        <v>472</v>
      </c>
      <c r="G72" s="190">
        <v>950</v>
      </c>
      <c r="H72" s="190">
        <v>950</v>
      </c>
      <c r="I72" s="114"/>
      <c r="J72" s="1225" t="str">
        <f t="shared" si="6"/>
        <v>0</v>
      </c>
      <c r="K72" s="1225" t="str">
        <f t="shared" si="7"/>
        <v>0</v>
      </c>
    </row>
    <row r="73" spans="1:11" ht="26">
      <c r="A73" s="1224">
        <f>IF(H73&gt;0,SUBTOTAL(3,$H$68:H73),"")</f>
        <v>6</v>
      </c>
      <c r="B73" s="1224" t="s">
        <v>139</v>
      </c>
      <c r="C73" s="416" t="s">
        <v>559</v>
      </c>
      <c r="D73" s="604" t="s">
        <v>502</v>
      </c>
      <c r="E73" s="604" t="s">
        <v>651</v>
      </c>
      <c r="F73" s="604" t="s">
        <v>471</v>
      </c>
      <c r="G73" s="190">
        <v>7200</v>
      </c>
      <c r="H73" s="190">
        <v>7200</v>
      </c>
      <c r="I73" s="114"/>
      <c r="J73" s="1225" t="str">
        <f t="shared" si="6"/>
        <v>0</v>
      </c>
      <c r="K73" s="1225" t="str">
        <f t="shared" si="7"/>
        <v>0</v>
      </c>
    </row>
    <row r="74" spans="1:11" ht="26">
      <c r="A74" s="1224">
        <f>IF(H74&gt;0,SUBTOTAL(3,$H$68:H74),"")</f>
        <v>7</v>
      </c>
      <c r="B74" s="1224" t="s">
        <v>138</v>
      </c>
      <c r="C74" s="416" t="s">
        <v>583</v>
      </c>
      <c r="D74" s="604" t="s">
        <v>568</v>
      </c>
      <c r="E74" s="604" t="s">
        <v>652</v>
      </c>
      <c r="F74" s="604" t="s">
        <v>470</v>
      </c>
      <c r="G74" s="190">
        <v>4000</v>
      </c>
      <c r="H74" s="190">
        <v>4000</v>
      </c>
      <c r="I74" s="114"/>
      <c r="J74" s="1225" t="str">
        <f t="shared" si="6"/>
        <v>0</v>
      </c>
      <c r="K74" s="1225" t="str">
        <f t="shared" si="7"/>
        <v>0</v>
      </c>
    </row>
    <row r="75" spans="1:11" ht="26">
      <c r="A75" s="1224">
        <f>IF(H75&gt;0,SUBTOTAL(3,$H$68:H75),"")</f>
        <v>8</v>
      </c>
      <c r="B75" s="1224" t="s">
        <v>138</v>
      </c>
      <c r="C75" s="416" t="s">
        <v>576</v>
      </c>
      <c r="D75" s="604" t="s">
        <v>568</v>
      </c>
      <c r="E75" s="604" t="s">
        <v>170</v>
      </c>
      <c r="F75" s="604" t="s">
        <v>470</v>
      </c>
      <c r="G75" s="190">
        <v>2400</v>
      </c>
      <c r="H75" s="190">
        <v>2400</v>
      </c>
      <c r="I75" s="114"/>
      <c r="J75" s="1225" t="str">
        <f t="shared" si="6"/>
        <v>0</v>
      </c>
      <c r="K75" s="1225" t="str">
        <f t="shared" si="7"/>
        <v>0</v>
      </c>
    </row>
    <row r="76" spans="1:11">
      <c r="A76" s="1224">
        <f>IF(H76&gt;0,SUBTOTAL(3,$H$68:H76),"")</f>
        <v>9</v>
      </c>
      <c r="B76" s="1224" t="s">
        <v>138</v>
      </c>
      <c r="C76" s="416" t="s">
        <v>560</v>
      </c>
      <c r="D76" s="604" t="s">
        <v>568</v>
      </c>
      <c r="E76" s="604" t="s">
        <v>169</v>
      </c>
      <c r="F76" s="604" t="s">
        <v>471</v>
      </c>
      <c r="G76" s="190">
        <v>1600</v>
      </c>
      <c r="H76" s="190">
        <v>1600</v>
      </c>
      <c r="I76" s="114"/>
      <c r="J76" s="1225" t="str">
        <f t="shared" si="6"/>
        <v>0</v>
      </c>
      <c r="K76" s="1225" t="str">
        <f t="shared" si="7"/>
        <v>0</v>
      </c>
    </row>
    <row r="77" spans="1:11">
      <c r="A77" s="1224">
        <f>IF(H77&gt;0,SUBTOTAL(3,$H$68:H77),"")</f>
        <v>10</v>
      </c>
      <c r="B77" s="1224" t="s">
        <v>138</v>
      </c>
      <c r="C77" s="416" t="s">
        <v>561</v>
      </c>
      <c r="D77" s="604" t="s">
        <v>568</v>
      </c>
      <c r="E77" s="604" t="s">
        <v>169</v>
      </c>
      <c r="F77" s="604" t="s">
        <v>471</v>
      </c>
      <c r="G77" s="190">
        <v>1600</v>
      </c>
      <c r="H77" s="190">
        <v>1600</v>
      </c>
      <c r="I77" s="114"/>
      <c r="J77" s="1225" t="str">
        <f t="shared" si="6"/>
        <v>0</v>
      </c>
      <c r="K77" s="1225" t="str">
        <f t="shared" si="7"/>
        <v>0</v>
      </c>
    </row>
    <row r="78" spans="1:11">
      <c r="A78" s="1224">
        <f>IF(H78&gt;0,SUBTOTAL(3,$H$68:H78),"")</f>
        <v>11</v>
      </c>
      <c r="B78" s="1224" t="s">
        <v>138</v>
      </c>
      <c r="C78" s="416" t="s">
        <v>562</v>
      </c>
      <c r="D78" s="604" t="s">
        <v>569</v>
      </c>
      <c r="E78" s="604" t="s">
        <v>652</v>
      </c>
      <c r="F78" s="604" t="s">
        <v>573</v>
      </c>
      <c r="G78" s="190">
        <v>4000</v>
      </c>
      <c r="H78" s="190">
        <v>4000</v>
      </c>
      <c r="I78" s="114"/>
      <c r="J78" s="1225" t="str">
        <f t="shared" si="6"/>
        <v>0</v>
      </c>
      <c r="K78" s="1225" t="str">
        <f t="shared" si="7"/>
        <v>0</v>
      </c>
    </row>
    <row r="79" spans="1:11" ht="18" customHeight="1">
      <c r="A79" s="1224">
        <f>IF(H79&gt;0,SUBTOTAL(3,$H$68:H79),"")</f>
        <v>12</v>
      </c>
      <c r="B79" s="1224" t="s">
        <v>138</v>
      </c>
      <c r="C79" s="416" t="s">
        <v>563</v>
      </c>
      <c r="D79" s="604" t="s">
        <v>569</v>
      </c>
      <c r="E79" s="604" t="s">
        <v>653</v>
      </c>
      <c r="F79" s="604" t="s">
        <v>472</v>
      </c>
      <c r="G79" s="190">
        <v>880</v>
      </c>
      <c r="H79" s="190">
        <v>880</v>
      </c>
      <c r="I79" s="114"/>
      <c r="J79" s="1225" t="str">
        <f t="shared" si="6"/>
        <v>0</v>
      </c>
      <c r="K79" s="1225" t="str">
        <f t="shared" si="7"/>
        <v>0</v>
      </c>
    </row>
    <row r="80" spans="1:11" ht="26">
      <c r="A80" s="1224">
        <f>IF(H80&gt;0,SUBTOTAL(3,$H$68:H80),"")</f>
        <v>13</v>
      </c>
      <c r="B80" s="1224" t="s">
        <v>138</v>
      </c>
      <c r="C80" s="416" t="s">
        <v>577</v>
      </c>
      <c r="D80" s="604" t="s">
        <v>570</v>
      </c>
      <c r="E80" s="604" t="s">
        <v>654</v>
      </c>
      <c r="F80" s="604" t="s">
        <v>574</v>
      </c>
      <c r="G80" s="190">
        <v>960</v>
      </c>
      <c r="H80" s="190">
        <v>960</v>
      </c>
      <c r="I80" s="114"/>
      <c r="J80" s="1225" t="str">
        <f t="shared" si="6"/>
        <v>0</v>
      </c>
      <c r="K80" s="1225" t="str">
        <f t="shared" si="7"/>
        <v>0</v>
      </c>
    </row>
    <row r="81" spans="1:11" ht="26">
      <c r="A81" s="1224">
        <f>IF(H81&gt;0,SUBTOTAL(3,$H$68:H81),"")</f>
        <v>14</v>
      </c>
      <c r="B81" s="1224" t="s">
        <v>138</v>
      </c>
      <c r="C81" s="416" t="s">
        <v>578</v>
      </c>
      <c r="D81" s="604" t="s">
        <v>570</v>
      </c>
      <c r="E81" s="604" t="s">
        <v>655</v>
      </c>
      <c r="F81" s="604" t="s">
        <v>574</v>
      </c>
      <c r="G81" s="190">
        <v>702</v>
      </c>
      <c r="H81" s="190">
        <v>702</v>
      </c>
      <c r="I81" s="114"/>
      <c r="J81" s="1225" t="str">
        <f t="shared" si="6"/>
        <v>0</v>
      </c>
      <c r="K81" s="1225" t="str">
        <f t="shared" si="7"/>
        <v>0</v>
      </c>
    </row>
    <row r="82" spans="1:11">
      <c r="A82" s="1224">
        <f>IF(H82&gt;0,SUBTOTAL(3,$H$68:H82),"")</f>
        <v>15</v>
      </c>
      <c r="B82" s="1224" t="s">
        <v>138</v>
      </c>
      <c r="C82" s="416" t="s">
        <v>564</v>
      </c>
      <c r="D82" s="604" t="s">
        <v>570</v>
      </c>
      <c r="E82" s="604" t="s">
        <v>656</v>
      </c>
      <c r="F82" s="604" t="s">
        <v>472</v>
      </c>
      <c r="G82" s="190">
        <v>824</v>
      </c>
      <c r="H82" s="190">
        <v>824</v>
      </c>
      <c r="I82" s="114"/>
      <c r="J82" s="1225" t="str">
        <f t="shared" si="6"/>
        <v>0</v>
      </c>
      <c r="K82" s="1225" t="str">
        <f t="shared" si="7"/>
        <v>0</v>
      </c>
    </row>
    <row r="83" spans="1:11" ht="18" customHeight="1">
      <c r="A83" s="1224">
        <f>IF(H83&gt;0,SUBTOTAL(3,$H$68:H83),"")</f>
        <v>16</v>
      </c>
      <c r="B83" s="1224" t="s">
        <v>138</v>
      </c>
      <c r="C83" s="416" t="s">
        <v>580</v>
      </c>
      <c r="D83" s="604" t="s">
        <v>587</v>
      </c>
      <c r="E83" s="604" t="s">
        <v>657</v>
      </c>
      <c r="F83" s="604" t="s">
        <v>573</v>
      </c>
      <c r="G83" s="190">
        <v>1120</v>
      </c>
      <c r="H83" s="190">
        <v>1120</v>
      </c>
      <c r="I83" s="114"/>
      <c r="J83" s="1225" t="str">
        <f t="shared" si="6"/>
        <v>0</v>
      </c>
      <c r="K83" s="1225" t="str">
        <f t="shared" si="7"/>
        <v>0</v>
      </c>
    </row>
    <row r="84" spans="1:11" ht="18" customHeight="1">
      <c r="A84" s="1224">
        <f>IF(H84&gt;0,SUBTOTAL(3,$H$68:H84),"")</f>
        <v>17</v>
      </c>
      <c r="B84" s="1224" t="s">
        <v>308</v>
      </c>
      <c r="C84" s="416" t="s">
        <v>579</v>
      </c>
      <c r="D84" s="604" t="s">
        <v>587</v>
      </c>
      <c r="E84" s="604" t="s">
        <v>644</v>
      </c>
      <c r="F84" s="604" t="s">
        <v>470</v>
      </c>
      <c r="G84" s="190">
        <v>4000</v>
      </c>
      <c r="H84" s="190">
        <v>4000</v>
      </c>
      <c r="I84" s="114"/>
      <c r="J84" s="1225" t="str">
        <f t="shared" si="6"/>
        <v>0</v>
      </c>
      <c r="K84" s="1225" t="str">
        <f t="shared" si="7"/>
        <v>0</v>
      </c>
    </row>
    <row r="85" spans="1:11" ht="18" customHeight="1">
      <c r="A85" s="1224">
        <f>IF(H85&gt;0,SUBTOTAL(3,$H$68:H85),"")</f>
        <v>18</v>
      </c>
      <c r="B85" s="1224" t="s">
        <v>308</v>
      </c>
      <c r="C85" s="416" t="s">
        <v>581</v>
      </c>
      <c r="D85" s="604" t="s">
        <v>2484</v>
      </c>
      <c r="E85" s="604" t="s">
        <v>645</v>
      </c>
      <c r="F85" s="604" t="s">
        <v>470</v>
      </c>
      <c r="G85" s="190">
        <v>13500</v>
      </c>
      <c r="H85" s="190">
        <v>13500</v>
      </c>
      <c r="I85" s="114"/>
      <c r="J85" s="1225" t="str">
        <f t="shared" si="6"/>
        <v>0</v>
      </c>
      <c r="K85" s="1225" t="str">
        <f t="shared" si="7"/>
        <v>1</v>
      </c>
    </row>
    <row r="86" spans="1:11" ht="26">
      <c r="A86" s="1224">
        <f>IF(H86&gt;0,SUBTOTAL(3,$H$68:H86),"")</f>
        <v>19</v>
      </c>
      <c r="B86" s="1224" t="s">
        <v>308</v>
      </c>
      <c r="C86" s="416" t="s">
        <v>582</v>
      </c>
      <c r="D86" s="604" t="s">
        <v>569</v>
      </c>
      <c r="E86" s="604" t="s">
        <v>646</v>
      </c>
      <c r="F86" s="604" t="s">
        <v>471</v>
      </c>
      <c r="G86" s="190">
        <v>3000</v>
      </c>
      <c r="H86" s="190">
        <v>3000</v>
      </c>
      <c r="I86" s="114"/>
      <c r="J86" s="1225" t="str">
        <f t="shared" si="6"/>
        <v>0</v>
      </c>
      <c r="K86" s="1225" t="str">
        <f t="shared" si="7"/>
        <v>0</v>
      </c>
    </row>
    <row r="87" spans="1:11" ht="26">
      <c r="A87" s="1224">
        <f>IF(H87&gt;0,SUBTOTAL(3,$H$68:H87),"")</f>
        <v>20</v>
      </c>
      <c r="B87" s="1224" t="s">
        <v>308</v>
      </c>
      <c r="C87" s="416" t="s">
        <v>584</v>
      </c>
      <c r="D87" s="604" t="s">
        <v>568</v>
      </c>
      <c r="E87" s="604"/>
      <c r="F87" s="604" t="s">
        <v>471</v>
      </c>
      <c r="G87" s="190">
        <v>3000</v>
      </c>
      <c r="H87" s="190">
        <v>3000</v>
      </c>
      <c r="I87" s="114"/>
      <c r="J87" s="1225" t="str">
        <f t="shared" si="6"/>
        <v>0</v>
      </c>
      <c r="K87" s="1225" t="str">
        <f t="shared" si="7"/>
        <v>0</v>
      </c>
    </row>
    <row r="88" spans="1:11" ht="26">
      <c r="A88" s="1224">
        <f>IF(H88&gt;0,SUBTOTAL(3,$H$68:H88),"")</f>
        <v>21</v>
      </c>
      <c r="B88" s="1224" t="s">
        <v>308</v>
      </c>
      <c r="C88" s="416" t="s">
        <v>2485</v>
      </c>
      <c r="D88" s="604" t="s">
        <v>570</v>
      </c>
      <c r="E88" s="604"/>
      <c r="F88" s="604" t="s">
        <v>575</v>
      </c>
      <c r="G88" s="190">
        <f>+H88</f>
        <v>19542</v>
      </c>
      <c r="H88" s="190">
        <v>19542</v>
      </c>
      <c r="I88" s="114"/>
      <c r="J88" s="1225" t="str">
        <f t="shared" si="6"/>
        <v>1</v>
      </c>
      <c r="K88" s="1225" t="str">
        <f t="shared" si="7"/>
        <v>1</v>
      </c>
    </row>
    <row r="89" spans="1:11" ht="26">
      <c r="A89" s="1224">
        <f>IF(H89&gt;0,SUBTOTAL(3,$H$68:H89),"")</f>
        <v>22</v>
      </c>
      <c r="B89" s="1224" t="s">
        <v>158</v>
      </c>
      <c r="C89" s="416" t="s">
        <v>565</v>
      </c>
      <c r="D89" s="604" t="s">
        <v>572</v>
      </c>
      <c r="E89" s="604" t="s">
        <v>658</v>
      </c>
      <c r="F89" s="604" t="s">
        <v>573</v>
      </c>
      <c r="G89" s="190">
        <v>6560</v>
      </c>
      <c r="H89" s="190">
        <v>6560</v>
      </c>
      <c r="I89" s="114"/>
      <c r="J89" s="1225" t="str">
        <f t="shared" si="6"/>
        <v>0</v>
      </c>
      <c r="K89" s="1225" t="str">
        <f t="shared" si="7"/>
        <v>0</v>
      </c>
    </row>
    <row r="90" spans="1:11" ht="26">
      <c r="A90" s="1224">
        <f>IF(H90&gt;0,SUBTOTAL(3,$H$68:H90),"")</f>
        <v>23</v>
      </c>
      <c r="B90" s="1224" t="s">
        <v>158</v>
      </c>
      <c r="C90" s="416" t="s">
        <v>566</v>
      </c>
      <c r="D90" s="604" t="s">
        <v>11</v>
      </c>
      <c r="E90" s="604" t="s">
        <v>659</v>
      </c>
      <c r="F90" s="604" t="s">
        <v>575</v>
      </c>
      <c r="G90" s="190">
        <v>2700</v>
      </c>
      <c r="H90" s="190">
        <v>2700</v>
      </c>
      <c r="I90" s="114"/>
      <c r="J90" s="1225" t="str">
        <f t="shared" si="6"/>
        <v>0</v>
      </c>
      <c r="K90" s="1225" t="str">
        <f t="shared" si="7"/>
        <v>0</v>
      </c>
    </row>
    <row r="91" spans="1:11" ht="26">
      <c r="A91" s="1233">
        <f>IF(H91&gt;0,SUBTOTAL(3,$H$68:H91),"")</f>
        <v>24</v>
      </c>
      <c r="B91" s="1233" t="s">
        <v>136</v>
      </c>
      <c r="C91" s="1234" t="s">
        <v>567</v>
      </c>
      <c r="D91" s="1235" t="s">
        <v>11</v>
      </c>
      <c r="E91" s="1235" t="s">
        <v>659</v>
      </c>
      <c r="F91" s="1235" t="s">
        <v>575</v>
      </c>
      <c r="G91" s="627">
        <v>2700</v>
      </c>
      <c r="H91" s="627">
        <v>2700</v>
      </c>
      <c r="I91" s="558"/>
      <c r="J91" s="1225" t="str">
        <f t="shared" si="6"/>
        <v>0</v>
      </c>
      <c r="K91" s="1225" t="str">
        <f t="shared" si="7"/>
        <v>0</v>
      </c>
    </row>
    <row r="93" spans="1:11" ht="33" customHeight="1">
      <c r="A93" s="1905" t="s">
        <v>2493</v>
      </c>
      <c r="B93" s="1905"/>
      <c r="C93" s="1905"/>
      <c r="D93" s="1905"/>
      <c r="E93" s="1905"/>
      <c r="F93" s="1905"/>
      <c r="G93" s="1905"/>
      <c r="H93" s="1905"/>
      <c r="I93" s="1905"/>
    </row>
  </sheetData>
  <mergeCells count="8">
    <mergeCell ref="A1:I1"/>
    <mergeCell ref="A5:I5"/>
    <mergeCell ref="A93:I93"/>
    <mergeCell ref="A2:D2"/>
    <mergeCell ref="A4:I4"/>
    <mergeCell ref="A6:I6"/>
    <mergeCell ref="H2:I2"/>
    <mergeCell ref="A3:I3"/>
  </mergeCells>
  <pageMargins left="0.76" right="0.5" top="0.5" bottom="0.5" header="0.47" footer="0.3"/>
  <pageSetup paperSize="9" scale="90" orientation="portrait" r:id="rId1"/>
  <headerFooter>
    <oddFooter>Page &amp;P</oddFooter>
  </headerFooter>
  <ignoredErrors>
    <ignoredError sqref="A12:A91" formulaRange="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0070C0"/>
  </sheetPr>
  <dimension ref="A1:M225"/>
  <sheetViews>
    <sheetView zoomScaleNormal="100" workbookViewId="0">
      <pane xSplit="2" ySplit="6" topLeftCell="C79" activePane="bottomRight" state="frozen"/>
      <selection pane="topRight" activeCell="C1" sqref="C1"/>
      <selection pane="bottomLeft" activeCell="A7" sqref="A7"/>
      <selection pane="bottomRight" activeCell="O98" sqref="O98"/>
    </sheetView>
  </sheetViews>
  <sheetFormatPr defaultColWidth="9.08203125" defaultRowHeight="13"/>
  <cols>
    <col min="1" max="1" width="4.9140625" style="59" customWidth="1"/>
    <col min="2" max="2" width="61.08203125" style="8" customWidth="1"/>
    <col min="3" max="3" width="9.08203125" style="49" customWidth="1"/>
    <col min="4" max="4" width="7.4140625" style="648" customWidth="1"/>
    <col min="5" max="5" width="6.9140625" style="648" customWidth="1"/>
    <col min="6" max="6" width="8.6640625" style="647" customWidth="1"/>
    <col min="7" max="7" width="7.9140625" style="647" customWidth="1"/>
    <col min="8" max="8" width="7.9140625" style="168" hidden="1" customWidth="1"/>
    <col min="9" max="9" width="8.08203125" style="8" customWidth="1"/>
    <col min="10" max="16384" width="9.08203125" style="8"/>
  </cols>
  <sheetData>
    <row r="1" spans="1:11" ht="18" customHeight="1">
      <c r="A1" s="1794"/>
      <c r="B1" s="1794"/>
      <c r="C1" s="48"/>
      <c r="D1" s="699"/>
      <c r="E1" s="1798" t="s">
        <v>2105</v>
      </c>
      <c r="F1" s="1798"/>
      <c r="G1" s="1798"/>
      <c r="H1" s="1798"/>
      <c r="I1" s="1798"/>
    </row>
    <row r="2" spans="1:11" ht="18" customHeight="1">
      <c r="A2" s="1714" t="s">
        <v>2107</v>
      </c>
      <c r="B2" s="1714"/>
      <c r="C2" s="1714"/>
      <c r="D2" s="1714"/>
      <c r="E2" s="1714"/>
      <c r="F2" s="1714"/>
      <c r="G2" s="1714"/>
      <c r="H2" s="1777"/>
      <c r="I2" s="1714"/>
    </row>
    <row r="3" spans="1:11" ht="30" customHeight="1">
      <c r="A3" s="1714" t="s">
        <v>2106</v>
      </c>
      <c r="B3" s="1714"/>
      <c r="C3" s="1714"/>
      <c r="D3" s="1714"/>
      <c r="E3" s="1714"/>
      <c r="F3" s="1714"/>
      <c r="G3" s="1714"/>
      <c r="H3" s="1777"/>
      <c r="I3" s="1714"/>
    </row>
    <row r="4" spans="1:11" ht="18" customHeight="1">
      <c r="A4" s="1773" t="s">
        <v>3</v>
      </c>
      <c r="B4" s="1773"/>
      <c r="C4" s="1773"/>
      <c r="D4" s="1773"/>
      <c r="E4" s="1773"/>
      <c r="F4" s="1773"/>
      <c r="G4" s="1773"/>
      <c r="H4" s="1773"/>
      <c r="I4" s="1773"/>
    </row>
    <row r="5" spans="1:11" ht="21" customHeight="1">
      <c r="A5" s="1768" t="s">
        <v>4</v>
      </c>
      <c r="B5" s="1778" t="s">
        <v>5</v>
      </c>
      <c r="C5" s="1778" t="s">
        <v>737</v>
      </c>
      <c r="D5" s="1778" t="s">
        <v>897</v>
      </c>
      <c r="E5" s="1778" t="s">
        <v>739</v>
      </c>
      <c r="F5" s="1786" t="s">
        <v>727</v>
      </c>
      <c r="G5" s="1786" t="s">
        <v>1600</v>
      </c>
      <c r="H5" s="1786" t="s">
        <v>1601</v>
      </c>
      <c r="I5" s="1778" t="s">
        <v>33</v>
      </c>
    </row>
    <row r="6" spans="1:11" ht="28.5" customHeight="1">
      <c r="A6" s="1768"/>
      <c r="B6" s="1778"/>
      <c r="C6" s="1778"/>
      <c r="D6" s="1778"/>
      <c r="E6" s="1778"/>
      <c r="F6" s="1786"/>
      <c r="G6" s="1786"/>
      <c r="H6" s="1786"/>
      <c r="I6" s="1778"/>
    </row>
    <row r="7" spans="1:11" s="485" customFormat="1" ht="18" customHeight="1">
      <c r="A7" s="868" t="s">
        <v>10</v>
      </c>
      <c r="B7" s="868">
        <v>2</v>
      </c>
      <c r="C7" s="868">
        <v>3</v>
      </c>
      <c r="D7" s="868">
        <v>4</v>
      </c>
      <c r="E7" s="868">
        <v>5</v>
      </c>
      <c r="F7" s="868">
        <v>6</v>
      </c>
      <c r="G7" s="868">
        <v>7</v>
      </c>
      <c r="H7" s="387">
        <v>10</v>
      </c>
      <c r="I7" s="868">
        <v>8</v>
      </c>
    </row>
    <row r="8" spans="1:11" ht="18" customHeight="1">
      <c r="A8" s="40"/>
      <c r="B8" s="29" t="s">
        <v>7</v>
      </c>
      <c r="C8" s="29"/>
      <c r="D8" s="901"/>
      <c r="E8" s="901"/>
      <c r="F8" s="23">
        <f>+F9+F63</f>
        <v>401855.13</v>
      </c>
      <c r="G8" s="23">
        <f>+G9+G63</f>
        <v>391724.28499999997</v>
      </c>
      <c r="H8" s="23">
        <f>+H9+H63</f>
        <v>10130.845000000001</v>
      </c>
      <c r="I8" s="29"/>
      <c r="J8" s="8">
        <v>391724</v>
      </c>
      <c r="K8" s="75">
        <f>+J8-G8</f>
        <v>-0.28499999997438863</v>
      </c>
    </row>
    <row r="9" spans="1:11" ht="18" customHeight="1">
      <c r="A9" s="40" t="s">
        <v>37</v>
      </c>
      <c r="B9" s="39" t="s">
        <v>747</v>
      </c>
      <c r="C9" s="29"/>
      <c r="D9" s="901"/>
      <c r="E9" s="901"/>
      <c r="F9" s="23">
        <f>+F10+F61</f>
        <v>15334.83</v>
      </c>
      <c r="G9" s="23">
        <f t="shared" ref="G9:H9" si="0">+G10+G61</f>
        <v>14759</v>
      </c>
      <c r="H9" s="203">
        <f t="shared" si="0"/>
        <v>575.82999999999993</v>
      </c>
      <c r="I9" s="87"/>
    </row>
    <row r="10" spans="1:11" ht="18" customHeight="1">
      <c r="A10" s="40">
        <v>1</v>
      </c>
      <c r="B10" s="39" t="s">
        <v>893</v>
      </c>
      <c r="C10" s="29"/>
      <c r="D10" s="901"/>
      <c r="E10" s="901"/>
      <c r="F10" s="23">
        <f>F20</f>
        <v>11534.83</v>
      </c>
      <c r="G10" s="23">
        <f t="shared" ref="G10:H10" si="1">G20</f>
        <v>10959</v>
      </c>
      <c r="H10" s="203">
        <f t="shared" si="1"/>
        <v>575.82999999999993</v>
      </c>
      <c r="I10" s="87"/>
    </row>
    <row r="11" spans="1:11" s="35" customFormat="1" ht="18" customHeight="1">
      <c r="A11" s="125" t="s">
        <v>710</v>
      </c>
      <c r="B11" s="394" t="s">
        <v>1287</v>
      </c>
      <c r="C11" s="896"/>
      <c r="D11" s="902"/>
      <c r="E11" s="902"/>
      <c r="F11" s="391">
        <f>+F12</f>
        <v>10959</v>
      </c>
      <c r="G11" s="391">
        <f t="shared" ref="G11:H12" si="2">+G12</f>
        <v>10959</v>
      </c>
      <c r="H11" s="206">
        <f t="shared" si="2"/>
        <v>0</v>
      </c>
      <c r="I11" s="900"/>
    </row>
    <row r="12" spans="1:11" s="30" customFormat="1" ht="18" customHeight="1">
      <c r="A12" s="13" t="s">
        <v>911</v>
      </c>
      <c r="B12" s="12" t="s">
        <v>1913</v>
      </c>
      <c r="C12" s="28"/>
      <c r="D12" s="166"/>
      <c r="E12" s="166"/>
      <c r="F12" s="20">
        <f>+F13</f>
        <v>10959</v>
      </c>
      <c r="G12" s="20">
        <f t="shared" si="2"/>
        <v>10959</v>
      </c>
      <c r="H12" s="201">
        <f t="shared" si="2"/>
        <v>0</v>
      </c>
      <c r="I12" s="165"/>
    </row>
    <row r="13" spans="1:11" ht="39">
      <c r="A13" s="18" t="s">
        <v>742</v>
      </c>
      <c r="B13" s="638" t="s">
        <v>1289</v>
      </c>
      <c r="C13" s="87"/>
      <c r="D13" s="891"/>
      <c r="E13" s="891"/>
      <c r="F13" s="44">
        <f>+G13</f>
        <v>10959</v>
      </c>
      <c r="G13" s="44">
        <v>10959</v>
      </c>
      <c r="H13" s="195">
        <f>F13-G13</f>
        <v>0</v>
      </c>
      <c r="I13" s="87"/>
    </row>
    <row r="14" spans="1:11" s="30" customFormat="1" ht="18" hidden="1" customHeight="1">
      <c r="A14" s="184"/>
      <c r="B14" s="185" t="s">
        <v>1290</v>
      </c>
      <c r="C14" s="184"/>
      <c r="D14" s="224"/>
      <c r="E14" s="224"/>
      <c r="F14" s="201"/>
      <c r="G14" s="201"/>
      <c r="H14" s="201"/>
      <c r="I14" s="165" t="s">
        <v>1774</v>
      </c>
    </row>
    <row r="15" spans="1:11" s="30" customFormat="1" ht="18" hidden="1" customHeight="1">
      <c r="A15" s="184"/>
      <c r="B15" s="185" t="s">
        <v>1291</v>
      </c>
      <c r="C15" s="184"/>
      <c r="D15" s="224"/>
      <c r="E15" s="224"/>
      <c r="F15" s="201"/>
      <c r="G15" s="201"/>
      <c r="H15" s="201"/>
      <c r="I15" s="165" t="s">
        <v>1774</v>
      </c>
    </row>
    <row r="16" spans="1:11" s="30" customFormat="1" ht="18" hidden="1" customHeight="1">
      <c r="A16" s="184"/>
      <c r="B16" s="185" t="s">
        <v>1292</v>
      </c>
      <c r="C16" s="184"/>
      <c r="D16" s="224"/>
      <c r="E16" s="224"/>
      <c r="F16" s="201"/>
      <c r="G16" s="201"/>
      <c r="H16" s="201"/>
      <c r="I16" s="165" t="s">
        <v>1774</v>
      </c>
    </row>
    <row r="17" spans="1:13" s="30" customFormat="1" ht="26" hidden="1">
      <c r="A17" s="184"/>
      <c r="B17" s="185" t="s">
        <v>1293</v>
      </c>
      <c r="C17" s="184"/>
      <c r="D17" s="224"/>
      <c r="E17" s="224"/>
      <c r="F17" s="201"/>
      <c r="G17" s="201"/>
      <c r="H17" s="201"/>
      <c r="I17" s="165" t="s">
        <v>1774</v>
      </c>
    </row>
    <row r="18" spans="1:13" s="30" customFormat="1" ht="18" hidden="1" customHeight="1">
      <c r="A18" s="184"/>
      <c r="B18" s="185" t="s">
        <v>1294</v>
      </c>
      <c r="C18" s="184"/>
      <c r="D18" s="224"/>
      <c r="E18" s="224"/>
      <c r="F18" s="201"/>
      <c r="G18" s="201"/>
      <c r="H18" s="201"/>
      <c r="I18" s="165" t="s">
        <v>1774</v>
      </c>
    </row>
    <row r="19" spans="1:13" s="30" customFormat="1" hidden="1">
      <c r="A19" s="184"/>
      <c r="B19" s="185" t="s">
        <v>1295</v>
      </c>
      <c r="C19" s="184"/>
      <c r="D19" s="224"/>
      <c r="E19" s="224"/>
      <c r="F19" s="201"/>
      <c r="G19" s="201"/>
      <c r="H19" s="201"/>
      <c r="I19" s="165" t="s">
        <v>1774</v>
      </c>
    </row>
    <row r="20" spans="1:13" s="30" customFormat="1" ht="18" hidden="1" customHeight="1">
      <c r="A20" s="184"/>
      <c r="B20" s="185" t="s">
        <v>1296</v>
      </c>
      <c r="C20" s="184"/>
      <c r="D20" s="224"/>
      <c r="E20" s="224"/>
      <c r="F20" s="201">
        <f>SUM(F21:F23)</f>
        <v>11534.83</v>
      </c>
      <c r="G20" s="195">
        <v>10959</v>
      </c>
      <c r="H20" s="195">
        <f>F20-G20</f>
        <v>575.82999999999993</v>
      </c>
      <c r="I20" s="165" t="s">
        <v>1774</v>
      </c>
    </row>
    <row r="21" spans="1:13" s="30" customFormat="1" ht="18" hidden="1" customHeight="1">
      <c r="A21" s="184"/>
      <c r="B21" s="185" t="s">
        <v>1540</v>
      </c>
      <c r="C21" s="184"/>
      <c r="D21" s="224"/>
      <c r="E21" s="224"/>
      <c r="F21" s="201">
        <f>F25</f>
        <v>3.15</v>
      </c>
      <c r="G21" s="201"/>
      <c r="H21" s="201"/>
      <c r="I21" s="165" t="s">
        <v>1774</v>
      </c>
    </row>
    <row r="22" spans="1:13" s="30" customFormat="1" ht="18" hidden="1" customHeight="1">
      <c r="A22" s="184"/>
      <c r="B22" s="185" t="s">
        <v>1541</v>
      </c>
      <c r="C22" s="184" t="s">
        <v>903</v>
      </c>
      <c r="D22" s="224" t="s">
        <v>1528</v>
      </c>
      <c r="E22" s="225">
        <f>F29</f>
        <v>57.59</v>
      </c>
      <c r="F22" s="201">
        <f>D22*E22</f>
        <v>8753.68</v>
      </c>
      <c r="G22" s="225"/>
      <c r="H22" s="201"/>
      <c r="I22" s="165" t="s">
        <v>1774</v>
      </c>
    </row>
    <row r="23" spans="1:13" s="30" customFormat="1" ht="18" hidden="1" customHeight="1">
      <c r="A23" s="184"/>
      <c r="B23" s="185" t="s">
        <v>1542</v>
      </c>
      <c r="C23" s="184" t="s">
        <v>1014</v>
      </c>
      <c r="D23" s="224">
        <v>4</v>
      </c>
      <c r="E23" s="224">
        <f>F51</f>
        <v>694.5</v>
      </c>
      <c r="F23" s="201">
        <f>D23*E23</f>
        <v>2778</v>
      </c>
      <c r="G23" s="201"/>
      <c r="H23" s="201"/>
      <c r="I23" s="165" t="s">
        <v>1774</v>
      </c>
    </row>
    <row r="24" spans="1:13" s="30" customFormat="1" ht="18" hidden="1" customHeight="1">
      <c r="A24" s="184"/>
      <c r="B24" s="185" t="s">
        <v>1297</v>
      </c>
      <c r="C24" s="184"/>
      <c r="D24" s="224"/>
      <c r="E24" s="224"/>
      <c r="F24" s="201"/>
      <c r="G24" s="201"/>
      <c r="H24" s="201"/>
      <c r="I24" s="165" t="s">
        <v>1774</v>
      </c>
    </row>
    <row r="25" spans="1:13" s="30" customFormat="1" ht="18" hidden="1" customHeight="1">
      <c r="A25" s="184"/>
      <c r="B25" s="185" t="s">
        <v>1543</v>
      </c>
      <c r="C25" s="184"/>
      <c r="D25" s="224"/>
      <c r="E25" s="224"/>
      <c r="F25" s="199">
        <f>SUM(F26:F28)</f>
        <v>3.15</v>
      </c>
      <c r="G25" s="201"/>
      <c r="H25" s="201"/>
      <c r="I25" s="165" t="s">
        <v>1774</v>
      </c>
    </row>
    <row r="26" spans="1:13" s="30" customFormat="1" ht="18" hidden="1" customHeight="1">
      <c r="A26" s="184"/>
      <c r="B26" s="185" t="s">
        <v>1544</v>
      </c>
      <c r="C26" s="184" t="s">
        <v>836</v>
      </c>
      <c r="D26" s="224">
        <v>45</v>
      </c>
      <c r="E26" s="224"/>
      <c r="F26" s="199">
        <f>D26*E26</f>
        <v>0</v>
      </c>
      <c r="G26" s="201"/>
      <c r="H26" s="201"/>
      <c r="I26" s="165" t="s">
        <v>1774</v>
      </c>
      <c r="M26" s="30" t="e">
        <f>I26/1000000</f>
        <v>#VALUE!</v>
      </c>
    </row>
    <row r="27" spans="1:13" s="30" customFormat="1" ht="18" hidden="1" customHeight="1">
      <c r="A27" s="184"/>
      <c r="B27" s="185" t="s">
        <v>1545</v>
      </c>
      <c r="C27" s="184" t="s">
        <v>836</v>
      </c>
      <c r="D27" s="224">
        <v>45</v>
      </c>
      <c r="E27" s="224">
        <v>0.04</v>
      </c>
      <c r="F27" s="199">
        <f t="shared" ref="F27:F28" si="3">D27*E27</f>
        <v>1.8</v>
      </c>
      <c r="G27" s="201"/>
      <c r="H27" s="201"/>
      <c r="I27" s="165" t="s">
        <v>1774</v>
      </c>
      <c r="M27" s="30" t="e">
        <f t="shared" ref="M27:M60" si="4">I27/1000000</f>
        <v>#VALUE!</v>
      </c>
    </row>
    <row r="28" spans="1:13" s="30" customFormat="1" ht="18" hidden="1" customHeight="1">
      <c r="A28" s="184"/>
      <c r="B28" s="185" t="s">
        <v>1546</v>
      </c>
      <c r="C28" s="184" t="s">
        <v>836</v>
      </c>
      <c r="D28" s="224">
        <v>45</v>
      </c>
      <c r="E28" s="224">
        <v>0.03</v>
      </c>
      <c r="F28" s="199">
        <f t="shared" si="3"/>
        <v>1.3499999999999999</v>
      </c>
      <c r="G28" s="201"/>
      <c r="H28" s="201"/>
      <c r="I28" s="165" t="s">
        <v>1774</v>
      </c>
      <c r="M28" s="30" t="e">
        <f t="shared" si="4"/>
        <v>#VALUE!</v>
      </c>
    </row>
    <row r="29" spans="1:13" s="30" customFormat="1" ht="18" hidden="1" customHeight="1">
      <c r="A29" s="184"/>
      <c r="B29" s="185" t="s">
        <v>1547</v>
      </c>
      <c r="C29" s="184"/>
      <c r="D29" s="224"/>
      <c r="E29" s="224"/>
      <c r="F29" s="199">
        <f>F30+F41+F42+F43+F44+F45+F46+F47</f>
        <v>57.59</v>
      </c>
      <c r="G29" s="201"/>
      <c r="H29" s="201"/>
      <c r="I29" s="165" t="s">
        <v>1774</v>
      </c>
      <c r="M29" s="30" t="e">
        <f t="shared" si="4"/>
        <v>#VALUE!</v>
      </c>
    </row>
    <row r="30" spans="1:13" s="30" customFormat="1" ht="18" hidden="1" customHeight="1">
      <c r="A30" s="184"/>
      <c r="B30" s="185" t="s">
        <v>1548</v>
      </c>
      <c r="C30" s="184"/>
      <c r="D30" s="224"/>
      <c r="E30" s="224"/>
      <c r="F30" s="199">
        <f>F31+F36</f>
        <v>12.7</v>
      </c>
      <c r="G30" s="201"/>
      <c r="H30" s="201"/>
      <c r="I30" s="165" t="s">
        <v>1774</v>
      </c>
      <c r="M30" s="30" t="e">
        <f t="shared" si="4"/>
        <v>#VALUE!</v>
      </c>
    </row>
    <row r="31" spans="1:13" s="30" customFormat="1" ht="18" hidden="1" customHeight="1">
      <c r="A31" s="184"/>
      <c r="B31" s="185" t="s">
        <v>1549</v>
      </c>
      <c r="C31" s="184"/>
      <c r="D31" s="224"/>
      <c r="E31" s="224"/>
      <c r="F31" s="199">
        <f t="shared" ref="F31" si="5">SUM(F32:F35)</f>
        <v>8.6</v>
      </c>
      <c r="G31" s="201"/>
      <c r="H31" s="201"/>
      <c r="I31" s="165" t="s">
        <v>1774</v>
      </c>
      <c r="M31" s="30" t="e">
        <f t="shared" si="4"/>
        <v>#VALUE!</v>
      </c>
    </row>
    <row r="32" spans="1:13" s="30" customFormat="1" ht="18" hidden="1" customHeight="1">
      <c r="A32" s="184"/>
      <c r="B32" s="185" t="s">
        <v>1550</v>
      </c>
      <c r="C32" s="184"/>
      <c r="D32" s="224">
        <v>3</v>
      </c>
      <c r="E32" s="224">
        <v>2</v>
      </c>
      <c r="F32" s="199">
        <f t="shared" ref="F32:F35" si="6">D32*E32</f>
        <v>6</v>
      </c>
      <c r="G32" s="201"/>
      <c r="H32" s="201"/>
      <c r="I32" s="165" t="s">
        <v>1774</v>
      </c>
      <c r="M32" s="30" t="e">
        <f t="shared" si="4"/>
        <v>#VALUE!</v>
      </c>
    </row>
    <row r="33" spans="1:13" s="30" customFormat="1" ht="18" hidden="1" customHeight="1">
      <c r="A33" s="184"/>
      <c r="B33" s="185" t="s">
        <v>1551</v>
      </c>
      <c r="C33" s="184" t="s">
        <v>845</v>
      </c>
      <c r="D33" s="224" t="s">
        <v>18</v>
      </c>
      <c r="E33" s="224">
        <v>0.2</v>
      </c>
      <c r="F33" s="199">
        <f t="shared" si="6"/>
        <v>1</v>
      </c>
      <c r="G33" s="201"/>
      <c r="H33" s="201"/>
      <c r="I33" s="165" t="s">
        <v>1774</v>
      </c>
      <c r="M33" s="30" t="e">
        <f t="shared" si="4"/>
        <v>#VALUE!</v>
      </c>
    </row>
    <row r="34" spans="1:13" s="30" customFormat="1" ht="18" hidden="1" customHeight="1">
      <c r="A34" s="184"/>
      <c r="B34" s="185" t="s">
        <v>1552</v>
      </c>
      <c r="C34" s="184" t="s">
        <v>843</v>
      </c>
      <c r="D34" s="224" t="s">
        <v>16</v>
      </c>
      <c r="E34" s="224">
        <v>0.3</v>
      </c>
      <c r="F34" s="199">
        <f t="shared" si="6"/>
        <v>1.2</v>
      </c>
      <c r="G34" s="201"/>
      <c r="H34" s="201"/>
      <c r="I34" s="165" t="s">
        <v>1774</v>
      </c>
      <c r="M34" s="30" t="e">
        <f t="shared" si="4"/>
        <v>#VALUE!</v>
      </c>
    </row>
    <row r="35" spans="1:13" s="30" customFormat="1" ht="18" hidden="1" customHeight="1">
      <c r="A35" s="184"/>
      <c r="B35" s="185" t="s">
        <v>1553</v>
      </c>
      <c r="C35" s="184" t="s">
        <v>841</v>
      </c>
      <c r="D35" s="224">
        <v>2</v>
      </c>
      <c r="E35" s="224">
        <v>0.2</v>
      </c>
      <c r="F35" s="199">
        <f t="shared" si="6"/>
        <v>0.4</v>
      </c>
      <c r="G35" s="201"/>
      <c r="H35" s="201"/>
      <c r="I35" s="165" t="s">
        <v>1774</v>
      </c>
      <c r="M35" s="30" t="e">
        <f t="shared" si="4"/>
        <v>#VALUE!</v>
      </c>
    </row>
    <row r="36" spans="1:13" s="30" customFormat="1" ht="18" hidden="1" customHeight="1">
      <c r="A36" s="184"/>
      <c r="B36" s="185" t="s">
        <v>1554</v>
      </c>
      <c r="C36" s="184"/>
      <c r="D36" s="224"/>
      <c r="E36" s="224"/>
      <c r="F36" s="199">
        <f>SUM(F37:F40)</f>
        <v>4.1000000000000005</v>
      </c>
      <c r="G36" s="201"/>
      <c r="H36" s="201"/>
      <c r="I36" s="165" t="s">
        <v>1774</v>
      </c>
      <c r="M36" s="30" t="e">
        <f t="shared" si="4"/>
        <v>#VALUE!</v>
      </c>
    </row>
    <row r="37" spans="1:13" s="30" customFormat="1" ht="18" hidden="1" customHeight="1">
      <c r="A37" s="184"/>
      <c r="B37" s="185" t="s">
        <v>1550</v>
      </c>
      <c r="C37" s="184"/>
      <c r="D37" s="224">
        <v>3</v>
      </c>
      <c r="E37" s="224">
        <v>0.5</v>
      </c>
      <c r="F37" s="199">
        <f t="shared" ref="F37:F46" si="7">D37*E37</f>
        <v>1.5</v>
      </c>
      <c r="G37" s="201"/>
      <c r="H37" s="201"/>
      <c r="I37" s="165" t="s">
        <v>1774</v>
      </c>
      <c r="M37" s="30" t="e">
        <f t="shared" si="4"/>
        <v>#VALUE!</v>
      </c>
    </row>
    <row r="38" spans="1:13" s="30" customFormat="1" ht="18" hidden="1" customHeight="1">
      <c r="A38" s="184"/>
      <c r="B38" s="185" t="s">
        <v>1555</v>
      </c>
      <c r="C38" s="184" t="s">
        <v>845</v>
      </c>
      <c r="D38" s="224" t="s">
        <v>18</v>
      </c>
      <c r="E38" s="224">
        <v>0.2</v>
      </c>
      <c r="F38" s="199">
        <f t="shared" si="7"/>
        <v>1</v>
      </c>
      <c r="G38" s="201"/>
      <c r="H38" s="201"/>
      <c r="I38" s="165" t="s">
        <v>1774</v>
      </c>
      <c r="M38" s="30" t="e">
        <f t="shared" si="4"/>
        <v>#VALUE!</v>
      </c>
    </row>
    <row r="39" spans="1:13" s="30" customFormat="1" ht="18" hidden="1" customHeight="1">
      <c r="A39" s="184"/>
      <c r="B39" s="185" t="s">
        <v>1552</v>
      </c>
      <c r="C39" s="184" t="s">
        <v>843</v>
      </c>
      <c r="D39" s="224" t="s">
        <v>16</v>
      </c>
      <c r="E39" s="224">
        <v>0.3</v>
      </c>
      <c r="F39" s="199">
        <f t="shared" si="7"/>
        <v>1.2</v>
      </c>
      <c r="G39" s="201"/>
      <c r="H39" s="201"/>
      <c r="I39" s="165" t="s">
        <v>1774</v>
      </c>
      <c r="M39" s="30" t="e">
        <f t="shared" si="4"/>
        <v>#VALUE!</v>
      </c>
    </row>
    <row r="40" spans="1:13" s="30" customFormat="1" ht="18" hidden="1" customHeight="1">
      <c r="A40" s="184"/>
      <c r="B40" s="185" t="s">
        <v>1553</v>
      </c>
      <c r="C40" s="184" t="s">
        <v>841</v>
      </c>
      <c r="D40" s="224">
        <v>2</v>
      </c>
      <c r="E40" s="224" t="s">
        <v>1529</v>
      </c>
      <c r="F40" s="199">
        <f t="shared" si="7"/>
        <v>0.4</v>
      </c>
      <c r="G40" s="201"/>
      <c r="H40" s="201"/>
      <c r="I40" s="165" t="s">
        <v>1774</v>
      </c>
      <c r="M40" s="30" t="e">
        <f t="shared" si="4"/>
        <v>#VALUE!</v>
      </c>
    </row>
    <row r="41" spans="1:13" s="30" customFormat="1" ht="18" hidden="1" customHeight="1">
      <c r="A41" s="184"/>
      <c r="B41" s="185" t="s">
        <v>1556</v>
      </c>
      <c r="C41" s="184" t="s">
        <v>1298</v>
      </c>
      <c r="D41" s="224">
        <v>50</v>
      </c>
      <c r="E41" s="224" t="s">
        <v>1530</v>
      </c>
      <c r="F41" s="199">
        <f t="shared" si="7"/>
        <v>3.5000000000000004</v>
      </c>
      <c r="G41" s="201"/>
      <c r="H41" s="201"/>
      <c r="I41" s="165" t="s">
        <v>1774</v>
      </c>
      <c r="M41" s="30" t="e">
        <f t="shared" si="4"/>
        <v>#VALUE!</v>
      </c>
    </row>
    <row r="42" spans="1:13" s="30" customFormat="1" ht="18" hidden="1" customHeight="1">
      <c r="A42" s="184"/>
      <c r="B42" s="185" t="s">
        <v>1557</v>
      </c>
      <c r="C42" s="184" t="s">
        <v>874</v>
      </c>
      <c r="D42" s="224" t="s">
        <v>1531</v>
      </c>
      <c r="E42" s="224">
        <v>0.1</v>
      </c>
      <c r="F42" s="199">
        <f t="shared" si="7"/>
        <v>15</v>
      </c>
      <c r="G42" s="201"/>
      <c r="H42" s="201"/>
      <c r="I42" s="165" t="s">
        <v>1774</v>
      </c>
      <c r="M42" s="30" t="e">
        <f t="shared" si="4"/>
        <v>#VALUE!</v>
      </c>
    </row>
    <row r="43" spans="1:13" s="30" customFormat="1" ht="18" hidden="1" customHeight="1">
      <c r="A43" s="184"/>
      <c r="B43" s="185" t="s">
        <v>1558</v>
      </c>
      <c r="C43" s="184" t="s">
        <v>841</v>
      </c>
      <c r="D43" s="224" t="s">
        <v>12</v>
      </c>
      <c r="E43" s="224" t="s">
        <v>1532</v>
      </c>
      <c r="F43" s="199">
        <f t="shared" si="7"/>
        <v>1</v>
      </c>
      <c r="G43" s="201"/>
      <c r="H43" s="201"/>
      <c r="I43" s="165" t="s">
        <v>1774</v>
      </c>
      <c r="M43" s="30" t="e">
        <f t="shared" si="4"/>
        <v>#VALUE!</v>
      </c>
    </row>
    <row r="44" spans="1:13" s="30" customFormat="1" ht="18" hidden="1" customHeight="1">
      <c r="A44" s="184"/>
      <c r="B44" s="185" t="s">
        <v>1559</v>
      </c>
      <c r="C44" s="184" t="s">
        <v>874</v>
      </c>
      <c r="D44" s="224" t="s">
        <v>1531</v>
      </c>
      <c r="E44" s="224">
        <v>0.04</v>
      </c>
      <c r="F44" s="199">
        <f t="shared" si="7"/>
        <v>6</v>
      </c>
      <c r="G44" s="201"/>
      <c r="H44" s="201"/>
      <c r="I44" s="165" t="s">
        <v>1774</v>
      </c>
      <c r="M44" s="30" t="e">
        <f t="shared" si="4"/>
        <v>#VALUE!</v>
      </c>
    </row>
    <row r="45" spans="1:13" s="30" customFormat="1" ht="18" hidden="1" customHeight="1">
      <c r="A45" s="184"/>
      <c r="B45" s="185" t="s">
        <v>1560</v>
      </c>
      <c r="C45" s="184" t="s">
        <v>972</v>
      </c>
      <c r="D45" s="224" t="s">
        <v>14</v>
      </c>
      <c r="E45" s="224" t="s">
        <v>10</v>
      </c>
      <c r="F45" s="199">
        <f t="shared" si="7"/>
        <v>3</v>
      </c>
      <c r="G45" s="201"/>
      <c r="H45" s="201"/>
      <c r="I45" s="165" t="s">
        <v>1774</v>
      </c>
      <c r="M45" s="30" t="e">
        <f t="shared" si="4"/>
        <v>#VALUE!</v>
      </c>
    </row>
    <row r="46" spans="1:13" s="30" customFormat="1" ht="18" hidden="1" customHeight="1">
      <c r="A46" s="184"/>
      <c r="B46" s="185" t="s">
        <v>1561</v>
      </c>
      <c r="C46" s="184" t="s">
        <v>1299</v>
      </c>
      <c r="D46" s="224">
        <v>1</v>
      </c>
      <c r="E46" s="224" t="s">
        <v>1533</v>
      </c>
      <c r="F46" s="199">
        <f t="shared" si="7"/>
        <v>0.19</v>
      </c>
      <c r="G46" s="201"/>
      <c r="H46" s="201"/>
      <c r="I46" s="165" t="s">
        <v>1774</v>
      </c>
      <c r="M46" s="30" t="e">
        <f t="shared" si="4"/>
        <v>#VALUE!</v>
      </c>
    </row>
    <row r="47" spans="1:13" s="30" customFormat="1" ht="18" hidden="1" customHeight="1">
      <c r="A47" s="184"/>
      <c r="B47" s="185" t="s">
        <v>1562</v>
      </c>
      <c r="C47" s="184"/>
      <c r="D47" s="224"/>
      <c r="E47" s="224"/>
      <c r="F47" s="199">
        <f>SUM(F48:F50)</f>
        <v>16.2</v>
      </c>
      <c r="G47" s="201"/>
      <c r="H47" s="201"/>
      <c r="I47" s="165" t="s">
        <v>1774</v>
      </c>
      <c r="M47" s="30" t="e">
        <f t="shared" si="4"/>
        <v>#VALUE!</v>
      </c>
    </row>
    <row r="48" spans="1:13" s="30" customFormat="1" ht="18" hidden="1" customHeight="1">
      <c r="A48" s="184"/>
      <c r="B48" s="185" t="s">
        <v>1563</v>
      </c>
      <c r="C48" s="184" t="s">
        <v>1014</v>
      </c>
      <c r="D48" s="224">
        <v>2</v>
      </c>
      <c r="E48" s="224" t="s">
        <v>1534</v>
      </c>
      <c r="F48" s="199">
        <f t="shared" ref="F48:F50" si="8">D48*E48</f>
        <v>9.1999999999999993</v>
      </c>
      <c r="G48" s="201"/>
      <c r="H48" s="201"/>
      <c r="I48" s="165" t="s">
        <v>1774</v>
      </c>
      <c r="M48" s="30" t="e">
        <f t="shared" si="4"/>
        <v>#VALUE!</v>
      </c>
    </row>
    <row r="49" spans="1:13" s="30" customFormat="1" ht="18" hidden="1" customHeight="1">
      <c r="A49" s="184"/>
      <c r="B49" s="185" t="s">
        <v>1564</v>
      </c>
      <c r="C49" s="184" t="s">
        <v>874</v>
      </c>
      <c r="D49" s="224">
        <v>50</v>
      </c>
      <c r="E49" s="224">
        <v>0.1</v>
      </c>
      <c r="F49" s="199">
        <f t="shared" si="8"/>
        <v>5</v>
      </c>
      <c r="G49" s="201"/>
      <c r="H49" s="201"/>
      <c r="I49" s="165" t="s">
        <v>1774</v>
      </c>
      <c r="M49" s="30" t="e">
        <f t="shared" si="4"/>
        <v>#VALUE!</v>
      </c>
    </row>
    <row r="50" spans="1:13" s="30" customFormat="1" ht="18" hidden="1" customHeight="1">
      <c r="A50" s="184"/>
      <c r="B50" s="185" t="s">
        <v>1565</v>
      </c>
      <c r="C50" s="184" t="s">
        <v>874</v>
      </c>
      <c r="D50" s="224">
        <v>50</v>
      </c>
      <c r="E50" s="224">
        <v>0.04</v>
      </c>
      <c r="F50" s="199">
        <f t="shared" si="8"/>
        <v>2</v>
      </c>
      <c r="G50" s="201"/>
      <c r="H50" s="201"/>
      <c r="I50" s="165" t="s">
        <v>1774</v>
      </c>
      <c r="M50" s="30" t="e">
        <f t="shared" si="4"/>
        <v>#VALUE!</v>
      </c>
    </row>
    <row r="51" spans="1:13" s="30" customFormat="1" ht="18" hidden="1" customHeight="1">
      <c r="A51" s="184"/>
      <c r="B51" s="185" t="s">
        <v>1566</v>
      </c>
      <c r="C51" s="184"/>
      <c r="D51" s="224"/>
      <c r="E51" s="224"/>
      <c r="F51" s="199">
        <f>SUM(F52:F57)</f>
        <v>694.5</v>
      </c>
      <c r="G51" s="201"/>
      <c r="H51" s="201"/>
      <c r="I51" s="165" t="s">
        <v>1774</v>
      </c>
      <c r="M51" s="30" t="e">
        <f t="shared" si="4"/>
        <v>#VALUE!</v>
      </c>
    </row>
    <row r="52" spans="1:13" s="30" customFormat="1" ht="18" hidden="1" customHeight="1">
      <c r="A52" s="184"/>
      <c r="B52" s="185" t="s">
        <v>1567</v>
      </c>
      <c r="C52" s="184" t="s">
        <v>845</v>
      </c>
      <c r="D52" s="224" t="s">
        <v>1535</v>
      </c>
      <c r="E52" s="224" t="s">
        <v>1534</v>
      </c>
      <c r="F52" s="199">
        <f t="shared" ref="F52:F56" si="9">D52*E52</f>
        <v>119.6</v>
      </c>
      <c r="G52" s="201"/>
      <c r="H52" s="201"/>
      <c r="I52" s="165" t="s">
        <v>1774</v>
      </c>
      <c r="M52" s="30" t="e">
        <f t="shared" si="4"/>
        <v>#VALUE!</v>
      </c>
    </row>
    <row r="53" spans="1:13" s="30" customFormat="1" ht="18" hidden="1" customHeight="1">
      <c r="A53" s="184"/>
      <c r="B53" s="185" t="s">
        <v>1568</v>
      </c>
      <c r="C53" s="184" t="s">
        <v>845</v>
      </c>
      <c r="D53" s="224" t="s">
        <v>1536</v>
      </c>
      <c r="E53" s="224">
        <v>0.2</v>
      </c>
      <c r="F53" s="199">
        <f t="shared" si="9"/>
        <v>150.80000000000001</v>
      </c>
      <c r="G53" s="201"/>
      <c r="H53" s="201"/>
      <c r="I53" s="165" t="s">
        <v>1774</v>
      </c>
      <c r="M53" s="30" t="e">
        <f t="shared" si="4"/>
        <v>#VALUE!</v>
      </c>
    </row>
    <row r="54" spans="1:13" s="30" customFormat="1" ht="18" hidden="1" customHeight="1">
      <c r="A54" s="184"/>
      <c r="B54" s="185" t="s">
        <v>1569</v>
      </c>
      <c r="C54" s="184" t="s">
        <v>845</v>
      </c>
      <c r="D54" s="224" t="s">
        <v>1536</v>
      </c>
      <c r="E54" s="224">
        <v>0.04</v>
      </c>
      <c r="F54" s="199">
        <f t="shared" si="9"/>
        <v>30.16</v>
      </c>
      <c r="G54" s="201"/>
      <c r="H54" s="201"/>
      <c r="I54" s="165" t="s">
        <v>1774</v>
      </c>
      <c r="M54" s="30" t="e">
        <f t="shared" si="4"/>
        <v>#VALUE!</v>
      </c>
    </row>
    <row r="55" spans="1:13" s="30" customFormat="1" ht="18" hidden="1" customHeight="1">
      <c r="A55" s="184"/>
      <c r="B55" s="185" t="s">
        <v>1570</v>
      </c>
      <c r="C55" s="184" t="s">
        <v>843</v>
      </c>
      <c r="D55" s="224" t="s">
        <v>1536</v>
      </c>
      <c r="E55" s="224">
        <v>0.45</v>
      </c>
      <c r="F55" s="199">
        <f t="shared" si="9"/>
        <v>339.3</v>
      </c>
      <c r="G55" s="201"/>
      <c r="H55" s="201"/>
      <c r="I55" s="165" t="s">
        <v>1774</v>
      </c>
      <c r="M55" s="30" t="e">
        <f t="shared" si="4"/>
        <v>#VALUE!</v>
      </c>
    </row>
    <row r="56" spans="1:13" s="30" customFormat="1" ht="18" hidden="1" customHeight="1">
      <c r="A56" s="184"/>
      <c r="B56" s="185" t="s">
        <v>1571</v>
      </c>
      <c r="C56" s="184" t="s">
        <v>845</v>
      </c>
      <c r="D56" s="224" t="s">
        <v>764</v>
      </c>
      <c r="E56" s="224" t="s">
        <v>1537</v>
      </c>
      <c r="F56" s="199">
        <f t="shared" si="9"/>
        <v>3.6400000000000006</v>
      </c>
      <c r="G56" s="201"/>
      <c r="H56" s="201"/>
      <c r="I56" s="165" t="s">
        <v>1774</v>
      </c>
      <c r="M56" s="30" t="e">
        <f t="shared" si="4"/>
        <v>#VALUE!</v>
      </c>
    </row>
    <row r="57" spans="1:13" s="30" customFormat="1" ht="18" hidden="1" customHeight="1">
      <c r="A57" s="184"/>
      <c r="B57" s="185" t="s">
        <v>1572</v>
      </c>
      <c r="C57" s="184"/>
      <c r="D57" s="224"/>
      <c r="E57" s="224"/>
      <c r="F57" s="199">
        <f>SUM(F58:F60)</f>
        <v>51</v>
      </c>
      <c r="G57" s="201"/>
      <c r="H57" s="201"/>
      <c r="I57" s="165" t="s">
        <v>1774</v>
      </c>
      <c r="M57" s="30" t="e">
        <f t="shared" si="4"/>
        <v>#VALUE!</v>
      </c>
    </row>
    <row r="58" spans="1:13" s="30" customFormat="1" ht="18" hidden="1" customHeight="1">
      <c r="A58" s="184"/>
      <c r="B58" s="185" t="s">
        <v>1573</v>
      </c>
      <c r="C58" s="184" t="s">
        <v>841</v>
      </c>
      <c r="D58" s="224" t="s">
        <v>1538</v>
      </c>
      <c r="E58" s="224" t="s">
        <v>1539</v>
      </c>
      <c r="F58" s="199">
        <f t="shared" ref="F58:F60" si="10">D58*E58</f>
        <v>11</v>
      </c>
      <c r="G58" s="201"/>
      <c r="H58" s="201"/>
      <c r="I58" s="165" t="s">
        <v>1774</v>
      </c>
      <c r="M58" s="30" t="e">
        <f t="shared" si="4"/>
        <v>#VALUE!</v>
      </c>
    </row>
    <row r="59" spans="1:13" s="30" customFormat="1" ht="18" hidden="1" customHeight="1">
      <c r="A59" s="184"/>
      <c r="B59" s="185" t="s">
        <v>1574</v>
      </c>
      <c r="C59" s="184" t="s">
        <v>845</v>
      </c>
      <c r="D59" s="224" t="s">
        <v>1538</v>
      </c>
      <c r="E59" s="224">
        <v>0.1</v>
      </c>
      <c r="F59" s="199">
        <f t="shared" si="10"/>
        <v>10</v>
      </c>
      <c r="G59" s="201"/>
      <c r="H59" s="201"/>
      <c r="I59" s="165" t="s">
        <v>1774</v>
      </c>
      <c r="M59" s="30" t="e">
        <f t="shared" si="4"/>
        <v>#VALUE!</v>
      </c>
    </row>
    <row r="60" spans="1:13" s="30" customFormat="1" ht="18" hidden="1" customHeight="1">
      <c r="A60" s="184"/>
      <c r="B60" s="185" t="s">
        <v>1575</v>
      </c>
      <c r="C60" s="184" t="s">
        <v>843</v>
      </c>
      <c r="D60" s="224" t="s">
        <v>1538</v>
      </c>
      <c r="E60" s="224">
        <v>0.3</v>
      </c>
      <c r="F60" s="199">
        <f t="shared" si="10"/>
        <v>30</v>
      </c>
      <c r="G60" s="201"/>
      <c r="H60" s="201"/>
      <c r="I60" s="165" t="s">
        <v>1774</v>
      </c>
      <c r="M60" s="30" t="e">
        <f t="shared" si="4"/>
        <v>#VALUE!</v>
      </c>
    </row>
    <row r="61" spans="1:13" s="30" customFormat="1" ht="18" customHeight="1">
      <c r="A61" s="26" t="s">
        <v>12</v>
      </c>
      <c r="B61" s="55" t="s">
        <v>1576</v>
      </c>
      <c r="C61" s="26"/>
      <c r="D61" s="903"/>
      <c r="E61" s="903"/>
      <c r="F61" s="21">
        <f>+SUM(F62:F62)</f>
        <v>3800</v>
      </c>
      <c r="G61" s="21">
        <f>+SUM(G62:G62)</f>
        <v>3800</v>
      </c>
      <c r="H61" s="177">
        <f>+SUM(H62:H62)</f>
        <v>0</v>
      </c>
      <c r="I61" s="912"/>
    </row>
    <row r="62" spans="1:13" s="30" customFormat="1" ht="26">
      <c r="A62" s="13"/>
      <c r="B62" s="904" t="s">
        <v>1577</v>
      </c>
      <c r="C62" s="13" t="s">
        <v>1578</v>
      </c>
      <c r="D62" s="905" t="s">
        <v>24</v>
      </c>
      <c r="E62" s="905" t="s">
        <v>1947</v>
      </c>
      <c r="F62" s="20">
        <f>+G62</f>
        <v>3800</v>
      </c>
      <c r="G62" s="20">
        <v>3800</v>
      </c>
      <c r="H62" s="201">
        <f>F62-G62</f>
        <v>0</v>
      </c>
      <c r="I62" s="165"/>
    </row>
    <row r="63" spans="1:13" ht="18" customHeight="1">
      <c r="A63" s="40" t="s">
        <v>38</v>
      </c>
      <c r="B63" s="54" t="s">
        <v>752</v>
      </c>
      <c r="C63" s="29"/>
      <c r="D63" s="901"/>
      <c r="E63" s="901"/>
      <c r="F63" s="23">
        <f>+G63+H63</f>
        <v>386520.3</v>
      </c>
      <c r="G63" s="23">
        <f>+G64+G67+G70+G73+G95+G98+G121+G145</f>
        <v>376965.28499999997</v>
      </c>
      <c r="H63" s="203">
        <f>+H64+H67+H70+H73+H95+H98+H121+H145</f>
        <v>9555.0150000000012</v>
      </c>
      <c r="I63" s="87"/>
      <c r="J63" s="8">
        <v>376965</v>
      </c>
      <c r="K63" s="75">
        <f>+J63-G63</f>
        <v>-0.28499999997438863</v>
      </c>
    </row>
    <row r="64" spans="1:13" ht="18" customHeight="1">
      <c r="A64" s="40">
        <v>1</v>
      </c>
      <c r="B64" s="54" t="s">
        <v>25</v>
      </c>
      <c r="C64" s="29"/>
      <c r="D64" s="901"/>
      <c r="E64" s="901"/>
      <c r="F64" s="23">
        <f>+F65</f>
        <v>2894</v>
      </c>
      <c r="G64" s="23">
        <f>+G65</f>
        <v>2894</v>
      </c>
      <c r="H64" s="23">
        <f>+H65</f>
        <v>152</v>
      </c>
      <c r="I64" s="87"/>
      <c r="K64" s="8">
        <f>+K63/8</f>
        <v>-3.5624999996798579E-2</v>
      </c>
    </row>
    <row r="65" spans="1:11" s="35" customFormat="1" ht="18" customHeight="1">
      <c r="A65" s="125" t="s">
        <v>911</v>
      </c>
      <c r="B65" s="394" t="s">
        <v>1939</v>
      </c>
      <c r="C65" s="896"/>
      <c r="D65" s="902"/>
      <c r="E65" s="902"/>
      <c r="F65" s="391">
        <f>SUM(F66:F66)</f>
        <v>2894</v>
      </c>
      <c r="G65" s="391">
        <f>SUM(G66:G66)</f>
        <v>2894</v>
      </c>
      <c r="H65" s="391">
        <f>SUM(H66:H66)</f>
        <v>152</v>
      </c>
      <c r="I65" s="913"/>
    </row>
    <row r="66" spans="1:11" s="30" customFormat="1" ht="26">
      <c r="A66" s="13"/>
      <c r="B66" s="12" t="s">
        <v>1940</v>
      </c>
      <c r="C66" s="28"/>
      <c r="D66" s="166"/>
      <c r="E66" s="166"/>
      <c r="F66" s="20">
        <f>+G66</f>
        <v>2894</v>
      </c>
      <c r="G66" s="44">
        <v>2894</v>
      </c>
      <c r="H66" s="20">
        <v>152</v>
      </c>
      <c r="I66" s="165"/>
    </row>
    <row r="67" spans="1:11" ht="18" customHeight="1">
      <c r="A67" s="40" t="s">
        <v>12</v>
      </c>
      <c r="B67" s="54" t="s">
        <v>23</v>
      </c>
      <c r="C67" s="29"/>
      <c r="D67" s="901"/>
      <c r="E67" s="901"/>
      <c r="F67" s="23">
        <f>+F68</f>
        <v>12511</v>
      </c>
      <c r="G67" s="23">
        <f>+G68</f>
        <v>12511</v>
      </c>
      <c r="H67" s="203">
        <f>+H68</f>
        <v>658</v>
      </c>
      <c r="I67" s="87"/>
    </row>
    <row r="68" spans="1:11" s="35" customFormat="1" ht="18" customHeight="1">
      <c r="A68" s="125" t="s">
        <v>911</v>
      </c>
      <c r="B68" s="394" t="s">
        <v>1939</v>
      </c>
      <c r="C68" s="896"/>
      <c r="D68" s="902"/>
      <c r="E68" s="902"/>
      <c r="F68" s="391">
        <f>SUM(F69:F69)</f>
        <v>12511</v>
      </c>
      <c r="G68" s="391">
        <f>SUM(G69:G69)</f>
        <v>12511</v>
      </c>
      <c r="H68" s="391">
        <f>SUM(H69:H69)</f>
        <v>658</v>
      </c>
      <c r="I68" s="900"/>
    </row>
    <row r="69" spans="1:11" s="30" customFormat="1" ht="26">
      <c r="A69" s="13"/>
      <c r="B69" s="12" t="s">
        <v>1940</v>
      </c>
      <c r="C69" s="28"/>
      <c r="D69" s="166"/>
      <c r="E69" s="166"/>
      <c r="F69" s="20">
        <f>+G69</f>
        <v>12511</v>
      </c>
      <c r="G69" s="44">
        <v>12511</v>
      </c>
      <c r="H69" s="20">
        <v>658</v>
      </c>
      <c r="I69" s="165"/>
    </row>
    <row r="70" spans="1:11" ht="18" customHeight="1">
      <c r="A70" s="40" t="s">
        <v>14</v>
      </c>
      <c r="B70" s="54" t="s">
        <v>21</v>
      </c>
      <c r="C70" s="29"/>
      <c r="D70" s="901"/>
      <c r="E70" s="901"/>
      <c r="F70" s="23">
        <f>+F71</f>
        <v>11234</v>
      </c>
      <c r="G70" s="23">
        <f>+G71</f>
        <v>11234</v>
      </c>
      <c r="H70" s="203">
        <f>+H71</f>
        <v>591</v>
      </c>
      <c r="I70" s="87"/>
    </row>
    <row r="71" spans="1:11" s="35" customFormat="1" ht="18" customHeight="1">
      <c r="A71" s="125" t="s">
        <v>911</v>
      </c>
      <c r="B71" s="394" t="s">
        <v>1939</v>
      </c>
      <c r="C71" s="896"/>
      <c r="D71" s="902"/>
      <c r="E71" s="902"/>
      <c r="F71" s="391">
        <f>SUM(F72:F72)</f>
        <v>11234</v>
      </c>
      <c r="G71" s="391">
        <f>SUM(G72:G72)</f>
        <v>11234</v>
      </c>
      <c r="H71" s="206">
        <f>SUM(H72:H72)</f>
        <v>591</v>
      </c>
      <c r="I71" s="900"/>
    </row>
    <row r="72" spans="1:11" s="30" customFormat="1" ht="26">
      <c r="A72" s="13"/>
      <c r="B72" s="12" t="s">
        <v>1940</v>
      </c>
      <c r="C72" s="28"/>
      <c r="D72" s="166"/>
      <c r="E72" s="166"/>
      <c r="F72" s="20">
        <f>+G72</f>
        <v>11234</v>
      </c>
      <c r="G72" s="44">
        <v>11234</v>
      </c>
      <c r="H72" s="201">
        <v>591</v>
      </c>
      <c r="I72" s="165"/>
    </row>
    <row r="73" spans="1:11" ht="18" customHeight="1">
      <c r="A73" s="40" t="s">
        <v>16</v>
      </c>
      <c r="B73" s="54" t="s">
        <v>19</v>
      </c>
      <c r="C73" s="29"/>
      <c r="D73" s="901"/>
      <c r="E73" s="901"/>
      <c r="F73" s="23">
        <f>+G73+H73</f>
        <v>45584.1</v>
      </c>
      <c r="G73" s="23">
        <f>+G74+G76+G79</f>
        <v>45397.095000000001</v>
      </c>
      <c r="H73" s="203">
        <f>H74+H76+H79</f>
        <v>187.005</v>
      </c>
      <c r="I73" s="87"/>
    </row>
    <row r="74" spans="1:11" ht="18" customHeight="1">
      <c r="A74" s="125" t="s">
        <v>911</v>
      </c>
      <c r="B74" s="394" t="s">
        <v>1939</v>
      </c>
      <c r="C74" s="896"/>
      <c r="D74" s="902"/>
      <c r="E74" s="902"/>
      <c r="F74" s="391">
        <f>SUM(F75:F75)</f>
        <v>40573</v>
      </c>
      <c r="G74" s="391">
        <f>SUM(G75:G75)</f>
        <v>40573</v>
      </c>
      <c r="H74" s="206">
        <f>SUM(H75:H75)</f>
        <v>0</v>
      </c>
      <c r="I74" s="87"/>
    </row>
    <row r="75" spans="1:11" ht="26">
      <c r="A75" s="13"/>
      <c r="B75" s="12" t="s">
        <v>1940</v>
      </c>
      <c r="C75" s="28"/>
      <c r="D75" s="166"/>
      <c r="E75" s="166"/>
      <c r="F75" s="20">
        <f>+G75</f>
        <v>40573</v>
      </c>
      <c r="G75" s="44">
        <v>40573</v>
      </c>
      <c r="H75" s="201">
        <f>+F75-G75</f>
        <v>0</v>
      </c>
      <c r="I75" s="87"/>
      <c r="J75" s="8">
        <v>45397</v>
      </c>
      <c r="K75" s="75">
        <f>+J75-G76-G79</f>
        <v>40572.904999999999</v>
      </c>
    </row>
    <row r="76" spans="1:11" s="35" customFormat="1" ht="18" customHeight="1">
      <c r="A76" s="125" t="s">
        <v>915</v>
      </c>
      <c r="B76" s="394" t="s">
        <v>1287</v>
      </c>
      <c r="C76" s="896"/>
      <c r="D76" s="902"/>
      <c r="E76" s="902"/>
      <c r="F76" s="391">
        <f>+G76</f>
        <v>1254</v>
      </c>
      <c r="G76" s="391">
        <f>SUM(G77:G78)</f>
        <v>1254</v>
      </c>
      <c r="H76" s="206">
        <f>SUM(H77:H78)</f>
        <v>0</v>
      </c>
      <c r="I76" s="900"/>
    </row>
    <row r="77" spans="1:11" s="30" customFormat="1" ht="18" customHeight="1">
      <c r="A77" s="13" t="s">
        <v>927</v>
      </c>
      <c r="B77" s="12" t="s">
        <v>1288</v>
      </c>
      <c r="C77" s="28"/>
      <c r="D77" s="166"/>
      <c r="E77" s="166"/>
      <c r="F77" s="20"/>
      <c r="G77" s="20"/>
      <c r="H77" s="201"/>
      <c r="I77" s="165"/>
    </row>
    <row r="78" spans="1:11" s="30" customFormat="1" ht="39">
      <c r="A78" s="13"/>
      <c r="B78" s="12" t="s">
        <v>1300</v>
      </c>
      <c r="C78" s="28" t="s">
        <v>745</v>
      </c>
      <c r="D78" s="166">
        <v>66</v>
      </c>
      <c r="E78" s="166">
        <v>20</v>
      </c>
      <c r="F78" s="20">
        <f>+G78</f>
        <v>1254</v>
      </c>
      <c r="G78" s="44">
        <v>1254</v>
      </c>
      <c r="H78" s="201">
        <f>+F78-G78</f>
        <v>0</v>
      </c>
      <c r="I78" s="165"/>
    </row>
    <row r="79" spans="1:11" s="30" customFormat="1" ht="18" customHeight="1">
      <c r="A79" s="906" t="s">
        <v>1227</v>
      </c>
      <c r="B79" s="907" t="s">
        <v>1615</v>
      </c>
      <c r="C79" s="908"/>
      <c r="D79" s="909"/>
      <c r="E79" s="910"/>
      <c r="F79" s="911">
        <f>+G79</f>
        <v>3570.0949999999998</v>
      </c>
      <c r="G79" s="911">
        <f>SUM(G80:G94)</f>
        <v>3570.0949999999998</v>
      </c>
      <c r="H79" s="230">
        <f>SUM(H80:H94)</f>
        <v>187.005</v>
      </c>
      <c r="I79" s="165"/>
    </row>
    <row r="80" spans="1:11" s="167" customFormat="1" ht="52" hidden="1">
      <c r="A80" s="231" t="s">
        <v>742</v>
      </c>
      <c r="B80" s="232" t="s">
        <v>1616</v>
      </c>
      <c r="C80" s="226"/>
      <c r="D80" s="227"/>
      <c r="E80" s="233"/>
      <c r="F80" s="228"/>
      <c r="G80" s="229"/>
      <c r="H80" s="228"/>
      <c r="I80" s="165" t="s">
        <v>1774</v>
      </c>
    </row>
    <row r="81" spans="1:9" s="167" customFormat="1" ht="18" hidden="1" customHeight="1">
      <c r="A81" s="231"/>
      <c r="B81" s="232" t="s">
        <v>1617</v>
      </c>
      <c r="C81" s="226" t="s">
        <v>1618</v>
      </c>
      <c r="D81" s="227">
        <v>720</v>
      </c>
      <c r="E81" s="234">
        <v>0.03</v>
      </c>
      <c r="F81" s="201">
        <v>22</v>
      </c>
      <c r="G81" s="195">
        <v>21</v>
      </c>
      <c r="H81" s="201">
        <f t="shared" ref="H81:H86" si="11">+F81-G81</f>
        <v>1</v>
      </c>
      <c r="I81" s="165" t="s">
        <v>1774</v>
      </c>
    </row>
    <row r="82" spans="1:9" s="167" customFormat="1" ht="26" hidden="1">
      <c r="A82" s="231"/>
      <c r="B82" s="232" t="s">
        <v>1619</v>
      </c>
      <c r="C82" s="226" t="s">
        <v>1147</v>
      </c>
      <c r="D82" s="227">
        <v>720</v>
      </c>
      <c r="E82" s="234">
        <v>0.05</v>
      </c>
      <c r="F82" s="201">
        <v>36</v>
      </c>
      <c r="G82" s="195">
        <v>34</v>
      </c>
      <c r="H82" s="201">
        <f t="shared" si="11"/>
        <v>2</v>
      </c>
      <c r="I82" s="165" t="s">
        <v>1774</v>
      </c>
    </row>
    <row r="83" spans="1:9" s="167" customFormat="1" ht="26" hidden="1">
      <c r="A83" s="231"/>
      <c r="B83" s="232" t="s">
        <v>1620</v>
      </c>
      <c r="C83" s="226" t="s">
        <v>1621</v>
      </c>
      <c r="D83" s="227">
        <v>240</v>
      </c>
      <c r="E83" s="233">
        <v>0.5</v>
      </c>
      <c r="F83" s="201">
        <v>120</v>
      </c>
      <c r="G83" s="195">
        <v>114</v>
      </c>
      <c r="H83" s="201">
        <f t="shared" si="11"/>
        <v>6</v>
      </c>
      <c r="I83" s="165" t="s">
        <v>1774</v>
      </c>
    </row>
    <row r="84" spans="1:9" s="167" customFormat="1" ht="30.75" hidden="1" customHeight="1">
      <c r="A84" s="231"/>
      <c r="B84" s="232" t="s">
        <v>1622</v>
      </c>
      <c r="C84" s="226" t="s">
        <v>1623</v>
      </c>
      <c r="D84" s="227">
        <v>260</v>
      </c>
      <c r="E84" s="233" t="s">
        <v>14</v>
      </c>
      <c r="F84" s="201">
        <v>780</v>
      </c>
      <c r="G84" s="195">
        <v>741</v>
      </c>
      <c r="H84" s="201">
        <f t="shared" si="11"/>
        <v>39</v>
      </c>
      <c r="I84" s="165" t="s">
        <v>1774</v>
      </c>
    </row>
    <row r="85" spans="1:9" s="167" customFormat="1" ht="26" hidden="1">
      <c r="A85" s="231"/>
      <c r="B85" s="232" t="s">
        <v>1624</v>
      </c>
      <c r="C85" s="226" t="s">
        <v>1623</v>
      </c>
      <c r="D85" s="227">
        <v>260</v>
      </c>
      <c r="E85" s="233">
        <v>0.5</v>
      </c>
      <c r="F85" s="201">
        <v>130</v>
      </c>
      <c r="G85" s="195">
        <v>124</v>
      </c>
      <c r="H85" s="201">
        <f t="shared" si="11"/>
        <v>6</v>
      </c>
      <c r="I85" s="165" t="s">
        <v>1774</v>
      </c>
    </row>
    <row r="86" spans="1:9" s="167" customFormat="1" ht="26" hidden="1">
      <c r="A86" s="231"/>
      <c r="B86" s="232" t="s">
        <v>1625</v>
      </c>
      <c r="C86" s="226" t="s">
        <v>1623</v>
      </c>
      <c r="D86" s="227">
        <v>160</v>
      </c>
      <c r="E86" s="233" t="s">
        <v>14</v>
      </c>
      <c r="F86" s="201">
        <v>480</v>
      </c>
      <c r="G86" s="195">
        <v>456</v>
      </c>
      <c r="H86" s="201">
        <f t="shared" si="11"/>
        <v>24</v>
      </c>
      <c r="I86" s="165" t="s">
        <v>1774</v>
      </c>
    </row>
    <row r="87" spans="1:9" s="167" customFormat="1" ht="56.25" hidden="1" customHeight="1">
      <c r="A87" s="231" t="s">
        <v>742</v>
      </c>
      <c r="B87" s="232" t="s">
        <v>1626</v>
      </c>
      <c r="C87" s="226"/>
      <c r="D87" s="227"/>
      <c r="E87" s="233"/>
      <c r="F87" s="228"/>
      <c r="G87" s="229"/>
      <c r="H87" s="228"/>
      <c r="I87" s="165" t="s">
        <v>1774</v>
      </c>
    </row>
    <row r="88" spans="1:9" s="167" customFormat="1" ht="52" hidden="1">
      <c r="A88" s="231"/>
      <c r="B88" s="232" t="s">
        <v>1627</v>
      </c>
      <c r="C88" s="226"/>
      <c r="D88" s="227"/>
      <c r="E88" s="233"/>
      <c r="F88" s="228"/>
      <c r="G88" s="229"/>
      <c r="H88" s="228"/>
      <c r="I88" s="165" t="s">
        <v>1774</v>
      </c>
    </row>
    <row r="89" spans="1:9" s="167" customFormat="1" ht="26" hidden="1">
      <c r="A89" s="231"/>
      <c r="B89" s="232" t="s">
        <v>1628</v>
      </c>
      <c r="C89" s="226" t="s">
        <v>1193</v>
      </c>
      <c r="D89" s="227">
        <v>240</v>
      </c>
      <c r="E89" s="233">
        <v>0.5</v>
      </c>
      <c r="F89" s="201">
        <v>120</v>
      </c>
      <c r="G89" s="195">
        <v>114</v>
      </c>
      <c r="H89" s="201">
        <f t="shared" ref="H89:H91" si="12">+F89-G89</f>
        <v>6</v>
      </c>
      <c r="I89" s="165" t="s">
        <v>1774</v>
      </c>
    </row>
    <row r="90" spans="1:9" s="167" customFormat="1" ht="18" hidden="1" customHeight="1">
      <c r="A90" s="231"/>
      <c r="B90" s="232" t="s">
        <v>1629</v>
      </c>
      <c r="C90" s="226" t="s">
        <v>1193</v>
      </c>
      <c r="D90" s="227">
        <v>80</v>
      </c>
      <c r="E90" s="233" t="s">
        <v>14</v>
      </c>
      <c r="F90" s="201">
        <v>240</v>
      </c>
      <c r="G90" s="195">
        <v>228</v>
      </c>
      <c r="H90" s="201">
        <f t="shared" si="12"/>
        <v>12</v>
      </c>
      <c r="I90" s="165" t="s">
        <v>1774</v>
      </c>
    </row>
    <row r="91" spans="1:9" s="167" customFormat="1" ht="26" hidden="1">
      <c r="A91" s="231"/>
      <c r="B91" s="232" t="s">
        <v>1630</v>
      </c>
      <c r="C91" s="226" t="s">
        <v>1631</v>
      </c>
      <c r="D91" s="227" t="s">
        <v>1639</v>
      </c>
      <c r="E91" s="234">
        <v>0.55000000000000004</v>
      </c>
      <c r="F91" s="201">
        <v>429</v>
      </c>
      <c r="G91" s="195">
        <v>408</v>
      </c>
      <c r="H91" s="201">
        <f t="shared" si="12"/>
        <v>21</v>
      </c>
      <c r="I91" s="165" t="s">
        <v>1774</v>
      </c>
    </row>
    <row r="92" spans="1:9" s="167" customFormat="1" ht="26" hidden="1">
      <c r="A92" s="231" t="s">
        <v>742</v>
      </c>
      <c r="B92" s="232" t="s">
        <v>1632</v>
      </c>
      <c r="C92" s="226"/>
      <c r="D92" s="227"/>
      <c r="E92" s="233"/>
      <c r="F92" s="228"/>
      <c r="G92" s="229"/>
      <c r="H92" s="228"/>
      <c r="I92" s="165" t="s">
        <v>1774</v>
      </c>
    </row>
    <row r="93" spans="1:9" s="167" customFormat="1" ht="39" hidden="1">
      <c r="A93" s="231"/>
      <c r="B93" s="232" t="s">
        <v>1633</v>
      </c>
      <c r="C93" s="226" t="s">
        <v>1634</v>
      </c>
      <c r="D93" s="227">
        <v>2</v>
      </c>
      <c r="E93" s="227">
        <v>700</v>
      </c>
      <c r="F93" s="201">
        <v>1400</v>
      </c>
      <c r="G93" s="195">
        <v>1330</v>
      </c>
      <c r="H93" s="201">
        <f t="shared" ref="H93" si="13">+F93-G93</f>
        <v>70</v>
      </c>
      <c r="I93" s="165" t="s">
        <v>1774</v>
      </c>
    </row>
    <row r="94" spans="1:9" s="167" customFormat="1" ht="26" hidden="1">
      <c r="A94" s="231"/>
      <c r="B94" s="232" t="s">
        <v>1635</v>
      </c>
      <c r="C94" s="226"/>
      <c r="D94" s="227">
        <v>2</v>
      </c>
      <c r="E94" s="234">
        <v>0.05</v>
      </c>
      <c r="F94" s="199">
        <f t="shared" ref="F94" si="14">+D94*E94</f>
        <v>0.1</v>
      </c>
      <c r="G94" s="384">
        <v>9.5000000000000001E-2</v>
      </c>
      <c r="H94" s="383">
        <f>+F94-G94</f>
        <v>5.0000000000000044E-3</v>
      </c>
      <c r="I94" s="165" t="s">
        <v>1774</v>
      </c>
    </row>
    <row r="95" spans="1:9" ht="18" customHeight="1">
      <c r="A95" s="40" t="s">
        <v>18</v>
      </c>
      <c r="B95" s="54" t="s">
        <v>17</v>
      </c>
      <c r="C95" s="29"/>
      <c r="D95" s="901"/>
      <c r="E95" s="901"/>
      <c r="F95" s="23">
        <f>+F96</f>
        <v>72851</v>
      </c>
      <c r="G95" s="23">
        <f>+G96</f>
        <v>72851</v>
      </c>
      <c r="H95" s="203">
        <f>+H96</f>
        <v>3859</v>
      </c>
      <c r="I95" s="87"/>
    </row>
    <row r="96" spans="1:9" s="35" customFormat="1" ht="18" customHeight="1">
      <c r="A96" s="125" t="s">
        <v>911</v>
      </c>
      <c r="B96" s="394" t="s">
        <v>1939</v>
      </c>
      <c r="C96" s="896"/>
      <c r="D96" s="902"/>
      <c r="E96" s="902"/>
      <c r="F96" s="391">
        <f>SUM(F97:F97)</f>
        <v>72851</v>
      </c>
      <c r="G96" s="391">
        <f>SUM(G97:G97)</f>
        <v>72851</v>
      </c>
      <c r="H96" s="206">
        <f>SUM(H97:H97)</f>
        <v>3859</v>
      </c>
      <c r="I96" s="900"/>
    </row>
    <row r="97" spans="1:11" s="30" customFormat="1" ht="26">
      <c r="A97" s="13"/>
      <c r="B97" s="12" t="s">
        <v>1940</v>
      </c>
      <c r="C97" s="28"/>
      <c r="D97" s="166"/>
      <c r="E97" s="166"/>
      <c r="F97" s="20">
        <f>+G97</f>
        <v>72851</v>
      </c>
      <c r="G97" s="44">
        <f>72851</f>
        <v>72851</v>
      </c>
      <c r="H97" s="201">
        <v>3859</v>
      </c>
      <c r="I97" s="165"/>
    </row>
    <row r="98" spans="1:11" ht="18" customHeight="1">
      <c r="A98" s="40" t="s">
        <v>20</v>
      </c>
      <c r="B98" s="54" t="s">
        <v>15</v>
      </c>
      <c r="C98" s="29"/>
      <c r="D98" s="901"/>
      <c r="E98" s="901"/>
      <c r="F98" s="21">
        <f>F99+F101+F105</f>
        <v>75426.142500000002</v>
      </c>
      <c r="G98" s="21">
        <f>G99+G101+G105</f>
        <v>75426.142500000002</v>
      </c>
      <c r="H98" s="177">
        <f>H99+H101+H105</f>
        <v>1619.0075000000002</v>
      </c>
      <c r="I98" s="87"/>
    </row>
    <row r="99" spans="1:11" ht="18" customHeight="1">
      <c r="A99" s="125" t="s">
        <v>911</v>
      </c>
      <c r="B99" s="394" t="s">
        <v>1939</v>
      </c>
      <c r="C99" s="29"/>
      <c r="D99" s="901"/>
      <c r="E99" s="901"/>
      <c r="F99" s="713">
        <f t="shared" ref="F99:G99" si="15">+F100</f>
        <v>15766</v>
      </c>
      <c r="G99" s="713">
        <f t="shared" si="15"/>
        <v>15766</v>
      </c>
      <c r="H99" s="192">
        <f>+H100</f>
        <v>830</v>
      </c>
      <c r="I99" s="87"/>
      <c r="J99" s="8">
        <v>75426</v>
      </c>
      <c r="K99" s="75">
        <f>+J99-G101-G105</f>
        <v>15765.8575</v>
      </c>
    </row>
    <row r="100" spans="1:11" ht="26">
      <c r="A100" s="13"/>
      <c r="B100" s="12" t="s">
        <v>1940</v>
      </c>
      <c r="C100" s="29"/>
      <c r="D100" s="901"/>
      <c r="E100" s="901"/>
      <c r="F100" s="20">
        <f>+G100</f>
        <v>15766</v>
      </c>
      <c r="G100" s="44">
        <v>15766</v>
      </c>
      <c r="H100" s="201">
        <v>830</v>
      </c>
      <c r="I100" s="87"/>
    </row>
    <row r="101" spans="1:11" s="35" customFormat="1" ht="18" customHeight="1">
      <c r="A101" s="125" t="s">
        <v>915</v>
      </c>
      <c r="B101" s="394" t="s">
        <v>1287</v>
      </c>
      <c r="C101" s="896"/>
      <c r="D101" s="902"/>
      <c r="E101" s="902"/>
      <c r="F101" s="391">
        <f>+SUM(F103:F104)</f>
        <v>44650</v>
      </c>
      <c r="G101" s="391">
        <f>+SUM(G103:G104)</f>
        <v>44650</v>
      </c>
      <c r="H101" s="206">
        <f>+SUM(H103:H104)</f>
        <v>0</v>
      </c>
      <c r="I101" s="900"/>
    </row>
    <row r="102" spans="1:11" s="30" customFormat="1" ht="18" customHeight="1">
      <c r="A102" s="13" t="s">
        <v>927</v>
      </c>
      <c r="B102" s="12" t="s">
        <v>1288</v>
      </c>
      <c r="C102" s="28"/>
      <c r="D102" s="166"/>
      <c r="E102" s="166"/>
      <c r="F102" s="20"/>
      <c r="G102" s="20"/>
      <c r="H102" s="201"/>
      <c r="I102" s="165"/>
    </row>
    <row r="103" spans="1:11" s="30" customFormat="1" ht="39">
      <c r="A103" s="13"/>
      <c r="B103" s="12" t="s">
        <v>1300</v>
      </c>
      <c r="C103" s="28" t="s">
        <v>745</v>
      </c>
      <c r="D103" s="166">
        <v>1600</v>
      </c>
      <c r="E103" s="166">
        <v>20</v>
      </c>
      <c r="F103" s="20">
        <f>+G103</f>
        <v>30400</v>
      </c>
      <c r="G103" s="44">
        <v>30400</v>
      </c>
      <c r="H103" s="201">
        <f t="shared" ref="H103:H104" si="16">+F103-G103</f>
        <v>0</v>
      </c>
      <c r="I103" s="165"/>
    </row>
    <row r="104" spans="1:11" s="30" customFormat="1" ht="39">
      <c r="A104" s="13"/>
      <c r="B104" s="12" t="s">
        <v>1302</v>
      </c>
      <c r="C104" s="28" t="s">
        <v>1034</v>
      </c>
      <c r="D104" s="166">
        <v>30</v>
      </c>
      <c r="E104" s="166">
        <v>500</v>
      </c>
      <c r="F104" s="20">
        <f>+G104</f>
        <v>14250</v>
      </c>
      <c r="G104" s="44">
        <v>14250</v>
      </c>
      <c r="H104" s="201">
        <f t="shared" si="16"/>
        <v>0</v>
      </c>
      <c r="I104" s="165"/>
    </row>
    <row r="105" spans="1:11" s="30" customFormat="1" ht="18" customHeight="1">
      <c r="A105" s="906" t="s">
        <v>1227</v>
      </c>
      <c r="B105" s="907" t="s">
        <v>1615</v>
      </c>
      <c r="C105" s="908"/>
      <c r="D105" s="909"/>
      <c r="E105" s="910"/>
      <c r="F105" s="911">
        <f>+G105</f>
        <v>15010.1425</v>
      </c>
      <c r="G105" s="911">
        <f>SUM(G106:G120)</f>
        <v>15010.1425</v>
      </c>
      <c r="H105" s="230">
        <f>SUM(H106:H120)</f>
        <v>789.00750000000005</v>
      </c>
      <c r="I105" s="165"/>
    </row>
    <row r="106" spans="1:11" s="167" customFormat="1" ht="52" hidden="1">
      <c r="A106" s="231" t="s">
        <v>742</v>
      </c>
      <c r="B106" s="232" t="s">
        <v>1616</v>
      </c>
      <c r="C106" s="226"/>
      <c r="D106" s="227"/>
      <c r="E106" s="233"/>
      <c r="F106" s="228"/>
      <c r="G106" s="229"/>
      <c r="H106" s="228"/>
      <c r="I106" s="165" t="s">
        <v>1774</v>
      </c>
    </row>
    <row r="107" spans="1:11" s="167" customFormat="1" ht="18" hidden="1" customHeight="1">
      <c r="A107" s="231"/>
      <c r="B107" s="232" t="s">
        <v>1617</v>
      </c>
      <c r="C107" s="226" t="s">
        <v>1618</v>
      </c>
      <c r="D107" s="227">
        <v>828</v>
      </c>
      <c r="E107" s="234">
        <v>0.03</v>
      </c>
      <c r="F107" s="201">
        <v>25</v>
      </c>
      <c r="G107" s="195">
        <v>24</v>
      </c>
      <c r="H107" s="201">
        <f t="shared" ref="H107:H112" si="17">+F107-G107</f>
        <v>1</v>
      </c>
      <c r="I107" s="165" t="s">
        <v>1774</v>
      </c>
    </row>
    <row r="108" spans="1:11" s="167" customFormat="1" ht="26" hidden="1">
      <c r="A108" s="231"/>
      <c r="B108" s="232" t="s">
        <v>1619</v>
      </c>
      <c r="C108" s="226" t="s">
        <v>1147</v>
      </c>
      <c r="D108" s="227">
        <v>1104</v>
      </c>
      <c r="E108" s="234">
        <v>0.05</v>
      </c>
      <c r="F108" s="201">
        <v>55</v>
      </c>
      <c r="G108" s="195">
        <v>52</v>
      </c>
      <c r="H108" s="201">
        <f t="shared" si="17"/>
        <v>3</v>
      </c>
      <c r="I108" s="165" t="s">
        <v>1774</v>
      </c>
    </row>
    <row r="109" spans="1:11" s="167" customFormat="1" ht="26" hidden="1">
      <c r="A109" s="231"/>
      <c r="B109" s="232" t="s">
        <v>1620</v>
      </c>
      <c r="C109" s="226" t="s">
        <v>1621</v>
      </c>
      <c r="D109" s="227">
        <v>276</v>
      </c>
      <c r="E109" s="233">
        <v>0.5</v>
      </c>
      <c r="F109" s="201">
        <v>138</v>
      </c>
      <c r="G109" s="195">
        <v>131</v>
      </c>
      <c r="H109" s="201">
        <f t="shared" si="17"/>
        <v>7</v>
      </c>
      <c r="I109" s="165" t="s">
        <v>1774</v>
      </c>
    </row>
    <row r="110" spans="1:11" s="167" customFormat="1" ht="26" hidden="1">
      <c r="A110" s="231"/>
      <c r="B110" s="232" t="s">
        <v>1622</v>
      </c>
      <c r="C110" s="226" t="s">
        <v>1623</v>
      </c>
      <c r="D110" s="227">
        <v>140</v>
      </c>
      <c r="E110" s="233" t="s">
        <v>14</v>
      </c>
      <c r="F110" s="201">
        <v>420</v>
      </c>
      <c r="G110" s="195">
        <v>399</v>
      </c>
      <c r="H110" s="201">
        <f t="shared" si="17"/>
        <v>21</v>
      </c>
      <c r="I110" s="165" t="s">
        <v>1774</v>
      </c>
    </row>
    <row r="111" spans="1:11" s="167" customFormat="1" ht="26" hidden="1">
      <c r="A111" s="231"/>
      <c r="B111" s="232" t="s">
        <v>1624</v>
      </c>
      <c r="C111" s="226" t="s">
        <v>1623</v>
      </c>
      <c r="D111" s="227">
        <v>140</v>
      </c>
      <c r="E111" s="233">
        <v>0.5</v>
      </c>
      <c r="F111" s="201">
        <v>70</v>
      </c>
      <c r="G111" s="195">
        <v>67</v>
      </c>
      <c r="H111" s="201">
        <f t="shared" si="17"/>
        <v>3</v>
      </c>
      <c r="I111" s="165" t="s">
        <v>1774</v>
      </c>
    </row>
    <row r="112" spans="1:11" s="167" customFormat="1" ht="26" hidden="1">
      <c r="A112" s="231"/>
      <c r="B112" s="232" t="s">
        <v>1625</v>
      </c>
      <c r="C112" s="226" t="s">
        <v>1623</v>
      </c>
      <c r="D112" s="227">
        <v>30</v>
      </c>
      <c r="E112" s="233" t="s">
        <v>14</v>
      </c>
      <c r="F112" s="201">
        <v>90</v>
      </c>
      <c r="G112" s="195">
        <v>86</v>
      </c>
      <c r="H112" s="201">
        <f t="shared" si="17"/>
        <v>4</v>
      </c>
      <c r="I112" s="165" t="s">
        <v>1774</v>
      </c>
    </row>
    <row r="113" spans="1:11" s="167" customFormat="1" ht="52" hidden="1">
      <c r="A113" s="231" t="s">
        <v>742</v>
      </c>
      <c r="B113" s="232" t="s">
        <v>1626</v>
      </c>
      <c r="C113" s="226"/>
      <c r="D113" s="227"/>
      <c r="E113" s="233"/>
      <c r="F113" s="228"/>
      <c r="G113" s="229"/>
      <c r="H113" s="228"/>
      <c r="I113" s="165" t="s">
        <v>1774</v>
      </c>
    </row>
    <row r="114" spans="1:11" s="167" customFormat="1" ht="52" hidden="1">
      <c r="A114" s="231"/>
      <c r="B114" s="232" t="s">
        <v>1627</v>
      </c>
      <c r="C114" s="226"/>
      <c r="D114" s="227"/>
      <c r="E114" s="233"/>
      <c r="F114" s="228"/>
      <c r="G114" s="229"/>
      <c r="H114" s="228"/>
      <c r="I114" s="165" t="s">
        <v>1774</v>
      </c>
    </row>
    <row r="115" spans="1:11" s="167" customFormat="1" ht="26" hidden="1">
      <c r="A115" s="231"/>
      <c r="B115" s="232" t="s">
        <v>1628</v>
      </c>
      <c r="C115" s="226" t="s">
        <v>1193</v>
      </c>
      <c r="D115" s="227" t="s">
        <v>1636</v>
      </c>
      <c r="E115" s="233">
        <v>0.5</v>
      </c>
      <c r="F115" s="201">
        <v>100</v>
      </c>
      <c r="G115" s="195">
        <v>95</v>
      </c>
      <c r="H115" s="201">
        <f t="shared" ref="H115:H117" si="18">+F115-G115</f>
        <v>5</v>
      </c>
      <c r="I115" s="165" t="s">
        <v>1774</v>
      </c>
    </row>
    <row r="116" spans="1:11" s="167" customFormat="1" ht="18" hidden="1" customHeight="1">
      <c r="A116" s="231"/>
      <c r="B116" s="232" t="s">
        <v>1629</v>
      </c>
      <c r="C116" s="226" t="s">
        <v>1193</v>
      </c>
      <c r="D116" s="227" t="s">
        <v>1637</v>
      </c>
      <c r="E116" s="233" t="s">
        <v>14</v>
      </c>
      <c r="F116" s="201">
        <v>72</v>
      </c>
      <c r="G116" s="195">
        <v>68</v>
      </c>
      <c r="H116" s="201">
        <f t="shared" si="18"/>
        <v>4</v>
      </c>
      <c r="I116" s="165" t="s">
        <v>1774</v>
      </c>
    </row>
    <row r="117" spans="1:11" s="167" customFormat="1" ht="26" hidden="1">
      <c r="A117" s="231"/>
      <c r="B117" s="232" t="s">
        <v>1630</v>
      </c>
      <c r="C117" s="226" t="s">
        <v>1631</v>
      </c>
      <c r="D117" s="227" t="s">
        <v>1638</v>
      </c>
      <c r="E117" s="234">
        <v>0.55000000000000004</v>
      </c>
      <c r="F117" s="201">
        <v>829</v>
      </c>
      <c r="G117" s="195">
        <v>788</v>
      </c>
      <c r="H117" s="201">
        <f t="shared" si="18"/>
        <v>41</v>
      </c>
      <c r="I117" s="165" t="s">
        <v>1774</v>
      </c>
    </row>
    <row r="118" spans="1:11" s="167" customFormat="1" ht="26" hidden="1">
      <c r="A118" s="231" t="s">
        <v>742</v>
      </c>
      <c r="B118" s="232" t="s">
        <v>1632</v>
      </c>
      <c r="C118" s="226"/>
      <c r="D118" s="227"/>
      <c r="E118" s="233"/>
      <c r="F118" s="228"/>
      <c r="G118" s="229"/>
      <c r="H118" s="228"/>
      <c r="I118" s="165" t="s">
        <v>1774</v>
      </c>
    </row>
    <row r="119" spans="1:11" s="167" customFormat="1" ht="39" hidden="1">
      <c r="A119" s="231"/>
      <c r="B119" s="232" t="s">
        <v>1633</v>
      </c>
      <c r="C119" s="226" t="s">
        <v>1634</v>
      </c>
      <c r="D119" s="227">
        <v>20</v>
      </c>
      <c r="E119" s="227">
        <v>700</v>
      </c>
      <c r="F119" s="201">
        <v>14000</v>
      </c>
      <c r="G119" s="195">
        <v>13300</v>
      </c>
      <c r="H119" s="201">
        <f t="shared" ref="H119" si="19">+F119-G119</f>
        <v>700</v>
      </c>
      <c r="I119" s="165" t="s">
        <v>1774</v>
      </c>
    </row>
    <row r="120" spans="1:11" s="167" customFormat="1" ht="26" hidden="1">
      <c r="A120" s="231"/>
      <c r="B120" s="232" t="s">
        <v>1635</v>
      </c>
      <c r="C120" s="226"/>
      <c r="D120" s="227">
        <v>3</v>
      </c>
      <c r="E120" s="234">
        <v>0.05</v>
      </c>
      <c r="F120" s="385">
        <f t="shared" ref="F120" si="20">+D120*E120</f>
        <v>0.15000000000000002</v>
      </c>
      <c r="G120" s="386">
        <v>0.14250000000000002</v>
      </c>
      <c r="H120" s="385">
        <f>+F120-G120</f>
        <v>7.5000000000000067E-3</v>
      </c>
      <c r="I120" s="165" t="s">
        <v>1774</v>
      </c>
    </row>
    <row r="121" spans="1:11" s="30" customFormat="1" ht="18" customHeight="1">
      <c r="A121" s="26" t="s">
        <v>22</v>
      </c>
      <c r="B121" s="55" t="s">
        <v>13</v>
      </c>
      <c r="C121" s="26"/>
      <c r="D121" s="903"/>
      <c r="E121" s="914"/>
      <c r="F121" s="21">
        <f>F122+F124+F129</f>
        <v>66823</v>
      </c>
      <c r="G121" s="21">
        <f>G122+G124+G129</f>
        <v>66823</v>
      </c>
      <c r="H121" s="177">
        <f>H122+H124+H129</f>
        <v>2264</v>
      </c>
      <c r="I121" s="912"/>
    </row>
    <row r="122" spans="1:11" s="30" customFormat="1" ht="18" customHeight="1">
      <c r="A122" s="125" t="s">
        <v>911</v>
      </c>
      <c r="B122" s="394" t="s">
        <v>1939</v>
      </c>
      <c r="C122" s="29"/>
      <c r="D122" s="901"/>
      <c r="E122" s="901"/>
      <c r="F122" s="713">
        <f>+F123</f>
        <v>31244</v>
      </c>
      <c r="G122" s="713">
        <f>+G123</f>
        <v>31244</v>
      </c>
      <c r="H122" s="192">
        <f>+H123</f>
        <v>1656</v>
      </c>
      <c r="I122" s="912"/>
    </row>
    <row r="123" spans="1:11" s="30" customFormat="1" ht="26">
      <c r="A123" s="13"/>
      <c r="B123" s="12" t="s">
        <v>1940</v>
      </c>
      <c r="C123" s="29"/>
      <c r="D123" s="901"/>
      <c r="E123" s="901"/>
      <c r="F123" s="20">
        <f>+G123</f>
        <v>31244</v>
      </c>
      <c r="G123" s="44">
        <f>30997+247</f>
        <v>31244</v>
      </c>
      <c r="H123" s="201">
        <v>1656</v>
      </c>
      <c r="I123" s="912"/>
      <c r="J123" s="30">
        <v>66823</v>
      </c>
      <c r="K123" s="181">
        <f>+J123-G124-G129</f>
        <v>31244</v>
      </c>
    </row>
    <row r="124" spans="1:11" s="30" customFormat="1" ht="18" customHeight="1">
      <c r="A124" s="125" t="s">
        <v>915</v>
      </c>
      <c r="B124" s="394" t="s">
        <v>1287</v>
      </c>
      <c r="C124" s="896"/>
      <c r="D124" s="902"/>
      <c r="E124" s="902"/>
      <c r="F124" s="391">
        <f>+SUM(F126:F128)</f>
        <v>23959</v>
      </c>
      <c r="G124" s="391">
        <f>+SUM(G126:G128)</f>
        <v>23959</v>
      </c>
      <c r="H124" s="206">
        <f>+SUM(H126:H128)</f>
        <v>0</v>
      </c>
      <c r="I124" s="900"/>
    </row>
    <row r="125" spans="1:11" s="30" customFormat="1">
      <c r="A125" s="13" t="s">
        <v>927</v>
      </c>
      <c r="B125" s="12" t="s">
        <v>1613</v>
      </c>
      <c r="C125" s="28"/>
      <c r="D125" s="166"/>
      <c r="E125" s="166"/>
      <c r="F125" s="20"/>
      <c r="G125" s="20"/>
      <c r="H125" s="201"/>
      <c r="I125" s="165"/>
    </row>
    <row r="126" spans="1:11" s="30" customFormat="1" ht="42.75" customHeight="1">
      <c r="A126" s="13"/>
      <c r="B126" s="12" t="s">
        <v>1300</v>
      </c>
      <c r="C126" s="28" t="s">
        <v>745</v>
      </c>
      <c r="D126" s="166">
        <f>67+254+135+136+118+101</f>
        <v>811</v>
      </c>
      <c r="E126" s="166">
        <v>20</v>
      </c>
      <c r="F126" s="20">
        <f>+G126</f>
        <v>15409</v>
      </c>
      <c r="G126" s="44">
        <v>15409</v>
      </c>
      <c r="H126" s="201">
        <f t="shared" ref="H126:H128" si="21">+F126-G126</f>
        <v>0</v>
      </c>
      <c r="I126" s="165"/>
    </row>
    <row r="127" spans="1:11" s="502" customFormat="1" ht="39" hidden="1">
      <c r="A127" s="456"/>
      <c r="B127" s="497" t="s">
        <v>1301</v>
      </c>
      <c r="C127" s="498" t="s">
        <v>1299</v>
      </c>
      <c r="D127" s="499">
        <f>2+2+2+2+2+3</f>
        <v>13</v>
      </c>
      <c r="E127" s="499">
        <v>20</v>
      </c>
      <c r="F127" s="458">
        <f>+G127</f>
        <v>0</v>
      </c>
      <c r="G127" s="500"/>
      <c r="H127" s="201">
        <f t="shared" si="21"/>
        <v>0</v>
      </c>
      <c r="I127" s="501" t="s">
        <v>1774</v>
      </c>
    </row>
    <row r="128" spans="1:11" s="30" customFormat="1" ht="39">
      <c r="A128" s="13"/>
      <c r="B128" s="12" t="s">
        <v>1302</v>
      </c>
      <c r="C128" s="28" t="s">
        <v>1034</v>
      </c>
      <c r="D128" s="166">
        <f>2+3+2+6+5</f>
        <v>18</v>
      </c>
      <c r="E128" s="166">
        <v>500</v>
      </c>
      <c r="F128" s="20">
        <f>+G128</f>
        <v>8550</v>
      </c>
      <c r="G128" s="44">
        <v>8550</v>
      </c>
      <c r="H128" s="201">
        <f t="shared" si="21"/>
        <v>0</v>
      </c>
      <c r="I128" s="165"/>
    </row>
    <row r="129" spans="1:9" s="30" customFormat="1" ht="18" customHeight="1">
      <c r="A129" s="906" t="s">
        <v>1227</v>
      </c>
      <c r="B129" s="907" t="s">
        <v>1615</v>
      </c>
      <c r="C129" s="908"/>
      <c r="D129" s="909"/>
      <c r="E129" s="910"/>
      <c r="F129" s="911">
        <f>+G129</f>
        <v>11620</v>
      </c>
      <c r="G129" s="911">
        <f>SUM(G130:G144)</f>
        <v>11620</v>
      </c>
      <c r="H129" s="230">
        <f>SUM(H130:H144)</f>
        <v>608</v>
      </c>
      <c r="I129" s="165"/>
    </row>
    <row r="130" spans="1:9" s="223" customFormat="1" ht="52" hidden="1">
      <c r="A130" s="231" t="s">
        <v>742</v>
      </c>
      <c r="B130" s="232" t="s">
        <v>1616</v>
      </c>
      <c r="C130" s="226"/>
      <c r="D130" s="227"/>
      <c r="E130" s="233"/>
      <c r="F130" s="228"/>
      <c r="G130" s="229"/>
      <c r="H130" s="228"/>
      <c r="I130" s="165" t="s">
        <v>1774</v>
      </c>
    </row>
    <row r="131" spans="1:9" s="223" customFormat="1" ht="18" hidden="1" customHeight="1">
      <c r="A131" s="231"/>
      <c r="B131" s="232" t="s">
        <v>1617</v>
      </c>
      <c r="C131" s="226" t="s">
        <v>1618</v>
      </c>
      <c r="D131" s="227">
        <v>950</v>
      </c>
      <c r="E131" s="234">
        <v>0.03</v>
      </c>
      <c r="F131" s="201">
        <v>29</v>
      </c>
      <c r="G131" s="195">
        <v>28</v>
      </c>
      <c r="H131" s="201">
        <f t="shared" ref="H131:H136" si="22">+F131-G131</f>
        <v>1</v>
      </c>
      <c r="I131" s="165" t="s">
        <v>1774</v>
      </c>
    </row>
    <row r="132" spans="1:9" s="223" customFormat="1" ht="26" hidden="1">
      <c r="A132" s="231"/>
      <c r="B132" s="232" t="s">
        <v>1619</v>
      </c>
      <c r="C132" s="226" t="s">
        <v>1147</v>
      </c>
      <c r="D132" s="227">
        <v>1275</v>
      </c>
      <c r="E132" s="234">
        <v>0.05</v>
      </c>
      <c r="F132" s="201">
        <v>64</v>
      </c>
      <c r="G132" s="195">
        <v>61</v>
      </c>
      <c r="H132" s="201">
        <f t="shared" si="22"/>
        <v>3</v>
      </c>
      <c r="I132" s="165" t="s">
        <v>1774</v>
      </c>
    </row>
    <row r="133" spans="1:9" s="223" customFormat="1" ht="26" hidden="1">
      <c r="A133" s="231"/>
      <c r="B133" s="232" t="s">
        <v>1620</v>
      </c>
      <c r="C133" s="226" t="s">
        <v>1621</v>
      </c>
      <c r="D133" s="227">
        <v>435</v>
      </c>
      <c r="E133" s="233">
        <v>0.5</v>
      </c>
      <c r="F133" s="201">
        <v>218</v>
      </c>
      <c r="G133" s="195">
        <v>207</v>
      </c>
      <c r="H133" s="201">
        <f t="shared" si="22"/>
        <v>11</v>
      </c>
      <c r="I133" s="165" t="s">
        <v>1774</v>
      </c>
    </row>
    <row r="134" spans="1:9" s="223" customFormat="1" ht="31.5" hidden="1" customHeight="1">
      <c r="A134" s="231"/>
      <c r="B134" s="232" t="s">
        <v>1622</v>
      </c>
      <c r="C134" s="226" t="s">
        <v>1623</v>
      </c>
      <c r="D134" s="227">
        <v>175</v>
      </c>
      <c r="E134" s="233" t="s">
        <v>14</v>
      </c>
      <c r="F134" s="201">
        <v>525</v>
      </c>
      <c r="G134" s="195">
        <v>499</v>
      </c>
      <c r="H134" s="201">
        <f t="shared" si="22"/>
        <v>26</v>
      </c>
      <c r="I134" s="165" t="s">
        <v>1774</v>
      </c>
    </row>
    <row r="135" spans="1:9" s="223" customFormat="1" ht="26" hidden="1">
      <c r="A135" s="231"/>
      <c r="B135" s="232" t="s">
        <v>1624</v>
      </c>
      <c r="C135" s="226" t="s">
        <v>1623</v>
      </c>
      <c r="D135" s="227">
        <v>410</v>
      </c>
      <c r="E135" s="233">
        <v>0.5</v>
      </c>
      <c r="F135" s="201">
        <v>205</v>
      </c>
      <c r="G135" s="195">
        <v>195</v>
      </c>
      <c r="H135" s="201">
        <f t="shared" si="22"/>
        <v>10</v>
      </c>
      <c r="I135" s="165" t="s">
        <v>1774</v>
      </c>
    </row>
    <row r="136" spans="1:9" s="223" customFormat="1" ht="26" hidden="1">
      <c r="A136" s="231"/>
      <c r="B136" s="232" t="s">
        <v>1625</v>
      </c>
      <c r="C136" s="226" t="s">
        <v>1623</v>
      </c>
      <c r="D136" s="227">
        <v>435</v>
      </c>
      <c r="E136" s="233" t="s">
        <v>14</v>
      </c>
      <c r="F136" s="201">
        <v>1305</v>
      </c>
      <c r="G136" s="195">
        <v>1240</v>
      </c>
      <c r="H136" s="201">
        <f t="shared" si="22"/>
        <v>65</v>
      </c>
      <c r="I136" s="165" t="s">
        <v>1774</v>
      </c>
    </row>
    <row r="137" spans="1:9" s="223" customFormat="1" ht="52" hidden="1">
      <c r="A137" s="231" t="s">
        <v>742</v>
      </c>
      <c r="B137" s="232" t="s">
        <v>1626</v>
      </c>
      <c r="C137" s="226"/>
      <c r="D137" s="227"/>
      <c r="E137" s="233"/>
      <c r="F137" s="228"/>
      <c r="G137" s="229"/>
      <c r="H137" s="228"/>
      <c r="I137" s="165" t="s">
        <v>1774</v>
      </c>
    </row>
    <row r="138" spans="1:9" s="223" customFormat="1" ht="52" hidden="1">
      <c r="A138" s="231"/>
      <c r="B138" s="232" t="s">
        <v>1627</v>
      </c>
      <c r="C138" s="226"/>
      <c r="D138" s="227"/>
      <c r="E138" s="233"/>
      <c r="F138" s="228"/>
      <c r="G138" s="229"/>
      <c r="H138" s="228"/>
      <c r="I138" s="165" t="s">
        <v>1774</v>
      </c>
    </row>
    <row r="139" spans="1:9" s="223" customFormat="1" ht="26" hidden="1">
      <c r="A139" s="231"/>
      <c r="B139" s="232" t="s">
        <v>1628</v>
      </c>
      <c r="C139" s="226" t="s">
        <v>1193</v>
      </c>
      <c r="D139" s="227">
        <v>410</v>
      </c>
      <c r="E139" s="233">
        <v>0.5</v>
      </c>
      <c r="F139" s="201">
        <v>205</v>
      </c>
      <c r="G139" s="195">
        <v>195</v>
      </c>
      <c r="H139" s="201">
        <f t="shared" ref="H139:H141" si="23">+F139-G139</f>
        <v>10</v>
      </c>
      <c r="I139" s="165" t="s">
        <v>1774</v>
      </c>
    </row>
    <row r="140" spans="1:9" s="223" customFormat="1" ht="18" hidden="1" customHeight="1">
      <c r="A140" s="231"/>
      <c r="B140" s="232" t="s">
        <v>1629</v>
      </c>
      <c r="C140" s="226" t="s">
        <v>1193</v>
      </c>
      <c r="D140" s="227">
        <v>270</v>
      </c>
      <c r="E140" s="233" t="s">
        <v>14</v>
      </c>
      <c r="F140" s="201">
        <v>810</v>
      </c>
      <c r="G140" s="195">
        <v>770</v>
      </c>
      <c r="H140" s="201">
        <f t="shared" si="23"/>
        <v>40</v>
      </c>
      <c r="I140" s="165" t="s">
        <v>1774</v>
      </c>
    </row>
    <row r="141" spans="1:9" s="223" customFormat="1" ht="26" hidden="1">
      <c r="A141" s="231"/>
      <c r="B141" s="232" t="s">
        <v>1630</v>
      </c>
      <c r="C141" s="226" t="s">
        <v>1631</v>
      </c>
      <c r="D141" s="227">
        <v>810</v>
      </c>
      <c r="E141" s="234">
        <v>0.55000000000000004</v>
      </c>
      <c r="F141" s="201">
        <v>446</v>
      </c>
      <c r="G141" s="195">
        <v>424</v>
      </c>
      <c r="H141" s="201">
        <f t="shared" si="23"/>
        <v>22</v>
      </c>
      <c r="I141" s="165" t="s">
        <v>1774</v>
      </c>
    </row>
    <row r="142" spans="1:9" s="223" customFormat="1" ht="26" hidden="1">
      <c r="A142" s="231" t="s">
        <v>742</v>
      </c>
      <c r="B142" s="232" t="s">
        <v>1632</v>
      </c>
      <c r="C142" s="226"/>
      <c r="D142" s="227"/>
      <c r="E142" s="233"/>
      <c r="F142" s="228"/>
      <c r="G142" s="229"/>
      <c r="H142" s="228"/>
      <c r="I142" s="165" t="s">
        <v>1774</v>
      </c>
    </row>
    <row r="143" spans="1:9" s="223" customFormat="1" ht="39" hidden="1">
      <c r="A143" s="231"/>
      <c r="B143" s="232" t="s">
        <v>1633</v>
      </c>
      <c r="C143" s="226" t="s">
        <v>1634</v>
      </c>
      <c r="D143" s="227">
        <v>12</v>
      </c>
      <c r="E143" s="227">
        <v>700</v>
      </c>
      <c r="F143" s="201">
        <v>8400</v>
      </c>
      <c r="G143" s="195">
        <v>7980</v>
      </c>
      <c r="H143" s="201">
        <f t="shared" ref="H143" si="24">+F143-G143</f>
        <v>420</v>
      </c>
      <c r="I143" s="165" t="s">
        <v>1774</v>
      </c>
    </row>
    <row r="144" spans="1:9" s="223" customFormat="1" ht="26" hidden="1">
      <c r="A144" s="231"/>
      <c r="B144" s="232" t="s">
        <v>1635</v>
      </c>
      <c r="C144" s="226"/>
      <c r="D144" s="227">
        <v>420</v>
      </c>
      <c r="E144" s="234">
        <v>0.05</v>
      </c>
      <c r="F144" s="201">
        <f t="shared" ref="F144" si="25">+D144*E144</f>
        <v>21</v>
      </c>
      <c r="G144" s="195">
        <v>21</v>
      </c>
      <c r="H144" s="201">
        <f>+F144-G144</f>
        <v>0</v>
      </c>
      <c r="I144" s="165" t="s">
        <v>1774</v>
      </c>
    </row>
    <row r="145" spans="1:11" s="30" customFormat="1" ht="18" customHeight="1">
      <c r="A145" s="26" t="s">
        <v>24</v>
      </c>
      <c r="B145" s="55" t="s">
        <v>11</v>
      </c>
      <c r="C145" s="26"/>
      <c r="D145" s="903"/>
      <c r="E145" s="914"/>
      <c r="F145" s="21">
        <f>F146+F148+F153</f>
        <v>89829.047500000001</v>
      </c>
      <c r="G145" s="21">
        <f>G146+G148+G153</f>
        <v>89829.047500000001</v>
      </c>
      <c r="H145" s="177">
        <f>H146+H148+H153</f>
        <v>225.0025</v>
      </c>
      <c r="I145" s="912"/>
    </row>
    <row r="146" spans="1:11" s="30" customFormat="1" ht="18" customHeight="1">
      <c r="A146" s="125" t="s">
        <v>911</v>
      </c>
      <c r="B146" s="394" t="s">
        <v>1939</v>
      </c>
      <c r="C146" s="26"/>
      <c r="D146" s="903"/>
      <c r="E146" s="914"/>
      <c r="F146" s="391">
        <f>+F147</f>
        <v>69429</v>
      </c>
      <c r="G146" s="391">
        <f>+G147</f>
        <v>69429</v>
      </c>
      <c r="H146" s="206">
        <f>+H147</f>
        <v>0</v>
      </c>
      <c r="I146" s="915"/>
    </row>
    <row r="147" spans="1:11" s="30" customFormat="1" ht="26">
      <c r="A147" s="13"/>
      <c r="B147" s="12" t="s">
        <v>1940</v>
      </c>
      <c r="C147" s="26"/>
      <c r="D147" s="903"/>
      <c r="E147" s="914"/>
      <c r="F147" s="20">
        <f>+G147</f>
        <v>69429</v>
      </c>
      <c r="G147" s="44">
        <f>69258+171</f>
        <v>69429</v>
      </c>
      <c r="H147" s="201">
        <f>+F147-G147</f>
        <v>0</v>
      </c>
      <c r="I147" s="915"/>
      <c r="J147" s="30">
        <v>89830</v>
      </c>
      <c r="K147" s="181">
        <f>+J147-G148-G153</f>
        <v>69429.952499999999</v>
      </c>
    </row>
    <row r="148" spans="1:11" s="30" customFormat="1" ht="18" customHeight="1">
      <c r="A148" s="125" t="s">
        <v>915</v>
      </c>
      <c r="B148" s="394" t="s">
        <v>1287</v>
      </c>
      <c r="C148" s="896"/>
      <c r="D148" s="902"/>
      <c r="E148" s="902"/>
      <c r="F148" s="391">
        <f>+SUM(F150:F152)</f>
        <v>16112</v>
      </c>
      <c r="G148" s="391">
        <f>+SUM(G150:G152)</f>
        <v>16112</v>
      </c>
      <c r="H148" s="206">
        <f>+SUM(H150:H152)</f>
        <v>0</v>
      </c>
      <c r="I148" s="916"/>
    </row>
    <row r="149" spans="1:11" s="30" customFormat="1">
      <c r="A149" s="13" t="s">
        <v>927</v>
      </c>
      <c r="B149" s="12" t="s">
        <v>1614</v>
      </c>
      <c r="C149" s="28"/>
      <c r="D149" s="166"/>
      <c r="E149" s="166"/>
      <c r="F149" s="20"/>
      <c r="G149" s="20"/>
      <c r="H149" s="201"/>
      <c r="I149" s="915"/>
    </row>
    <row r="150" spans="1:11" s="30" customFormat="1" ht="39">
      <c r="A150" s="13"/>
      <c r="B150" s="12" t="s">
        <v>1300</v>
      </c>
      <c r="C150" s="28" t="s">
        <v>745</v>
      </c>
      <c r="D150" s="166">
        <v>623</v>
      </c>
      <c r="E150" s="166">
        <v>20</v>
      </c>
      <c r="F150" s="20">
        <f>+G150</f>
        <v>11837</v>
      </c>
      <c r="G150" s="44">
        <v>11837</v>
      </c>
      <c r="H150" s="201">
        <f t="shared" ref="H150:H152" si="26">+F150-G150</f>
        <v>0</v>
      </c>
      <c r="I150" s="915"/>
    </row>
    <row r="151" spans="1:11" s="502" customFormat="1" ht="39" hidden="1">
      <c r="A151" s="456"/>
      <c r="B151" s="497" t="s">
        <v>1301</v>
      </c>
      <c r="C151" s="498" t="s">
        <v>1299</v>
      </c>
      <c r="D151" s="499">
        <v>9</v>
      </c>
      <c r="E151" s="499">
        <v>20</v>
      </c>
      <c r="F151" s="458">
        <f>+G151</f>
        <v>0</v>
      </c>
      <c r="G151" s="500"/>
      <c r="H151" s="201">
        <f t="shared" si="26"/>
        <v>0</v>
      </c>
      <c r="I151" s="503" t="s">
        <v>1774</v>
      </c>
    </row>
    <row r="152" spans="1:11" s="30" customFormat="1" ht="39">
      <c r="A152" s="13"/>
      <c r="B152" s="12" t="s">
        <v>1302</v>
      </c>
      <c r="C152" s="28" t="s">
        <v>1034</v>
      </c>
      <c r="D152" s="166">
        <v>9</v>
      </c>
      <c r="E152" s="166">
        <v>500</v>
      </c>
      <c r="F152" s="20">
        <f>+G152</f>
        <v>4275</v>
      </c>
      <c r="G152" s="44">
        <v>4275</v>
      </c>
      <c r="H152" s="201">
        <f t="shared" si="26"/>
        <v>0</v>
      </c>
      <c r="I152" s="915"/>
    </row>
    <row r="153" spans="1:11" s="918" customFormat="1" ht="18" customHeight="1">
      <c r="A153" s="906" t="s">
        <v>1227</v>
      </c>
      <c r="B153" s="907" t="s">
        <v>1615</v>
      </c>
      <c r="C153" s="908"/>
      <c r="D153" s="909"/>
      <c r="E153" s="910"/>
      <c r="F153" s="911">
        <f>+G153</f>
        <v>4288.0474999999997</v>
      </c>
      <c r="G153" s="911">
        <f>SUM(G154:G168)-1</f>
        <v>4288.0474999999997</v>
      </c>
      <c r="H153" s="230">
        <f>SUM(H154:H168)</f>
        <v>225.0025</v>
      </c>
      <c r="I153" s="917"/>
    </row>
    <row r="154" spans="1:11" s="167" customFormat="1" ht="52" hidden="1">
      <c r="A154" s="231" t="s">
        <v>742</v>
      </c>
      <c r="B154" s="232" t="s">
        <v>1616</v>
      </c>
      <c r="C154" s="226"/>
      <c r="D154" s="227"/>
      <c r="E154" s="233"/>
      <c r="F154" s="228"/>
      <c r="G154" s="229"/>
      <c r="H154" s="228"/>
      <c r="I154" s="165" t="s">
        <v>1774</v>
      </c>
    </row>
    <row r="155" spans="1:11" s="167" customFormat="1" ht="18" hidden="1" customHeight="1">
      <c r="A155" s="231"/>
      <c r="B155" s="232" t="s">
        <v>1617</v>
      </c>
      <c r="C155" s="226" t="s">
        <v>1618</v>
      </c>
      <c r="D155" s="227">
        <v>1800</v>
      </c>
      <c r="E155" s="234">
        <v>0.03</v>
      </c>
      <c r="F155" s="201">
        <v>54</v>
      </c>
      <c r="G155" s="195">
        <v>51</v>
      </c>
      <c r="H155" s="201">
        <f t="shared" ref="H155:H160" si="27">+F155-G155</f>
        <v>3</v>
      </c>
      <c r="I155" s="165" t="s">
        <v>1774</v>
      </c>
    </row>
    <row r="156" spans="1:11" s="167" customFormat="1" ht="26" hidden="1">
      <c r="A156" s="231"/>
      <c r="B156" s="232" t="s">
        <v>1619</v>
      </c>
      <c r="C156" s="226" t="s">
        <v>1147</v>
      </c>
      <c r="D156" s="227">
        <v>1800</v>
      </c>
      <c r="E156" s="234">
        <v>0.05</v>
      </c>
      <c r="F156" s="201">
        <v>90</v>
      </c>
      <c r="G156" s="195">
        <v>86</v>
      </c>
      <c r="H156" s="201">
        <f t="shared" si="27"/>
        <v>4</v>
      </c>
      <c r="I156" s="165" t="s">
        <v>1774</v>
      </c>
    </row>
    <row r="157" spans="1:11" s="167" customFormat="1" ht="26" hidden="1">
      <c r="A157" s="231"/>
      <c r="B157" s="232" t="s">
        <v>1620</v>
      </c>
      <c r="C157" s="226" t="s">
        <v>1621</v>
      </c>
      <c r="D157" s="227">
        <v>600</v>
      </c>
      <c r="E157" s="233">
        <v>0.5</v>
      </c>
      <c r="F157" s="201">
        <v>300</v>
      </c>
      <c r="G157" s="195">
        <v>285</v>
      </c>
      <c r="H157" s="201">
        <f t="shared" si="27"/>
        <v>15</v>
      </c>
      <c r="I157" s="165" t="s">
        <v>1774</v>
      </c>
    </row>
    <row r="158" spans="1:11" s="167" customFormat="1" ht="26" hidden="1">
      <c r="A158" s="231"/>
      <c r="B158" s="232" t="s">
        <v>1622</v>
      </c>
      <c r="C158" s="226" t="s">
        <v>1623</v>
      </c>
      <c r="D158" s="227">
        <v>400</v>
      </c>
      <c r="E158" s="233" t="s">
        <v>14</v>
      </c>
      <c r="F158" s="201">
        <v>1200</v>
      </c>
      <c r="G158" s="195">
        <v>1140</v>
      </c>
      <c r="H158" s="201">
        <f t="shared" si="27"/>
        <v>60</v>
      </c>
      <c r="I158" s="165" t="s">
        <v>1774</v>
      </c>
    </row>
    <row r="159" spans="1:11" s="167" customFormat="1" ht="26" hidden="1">
      <c r="A159" s="231"/>
      <c r="B159" s="232" t="s">
        <v>1624</v>
      </c>
      <c r="C159" s="226" t="s">
        <v>1623</v>
      </c>
      <c r="D159" s="227">
        <v>400</v>
      </c>
      <c r="E159" s="233">
        <v>0.5</v>
      </c>
      <c r="F159" s="201">
        <v>200</v>
      </c>
      <c r="G159" s="195">
        <v>190</v>
      </c>
      <c r="H159" s="201">
        <f t="shared" si="27"/>
        <v>10</v>
      </c>
      <c r="I159" s="165" t="s">
        <v>1774</v>
      </c>
    </row>
    <row r="160" spans="1:11" s="167" customFormat="1" ht="26" hidden="1">
      <c r="A160" s="231"/>
      <c r="B160" s="232" t="s">
        <v>1625</v>
      </c>
      <c r="C160" s="226" t="s">
        <v>1623</v>
      </c>
      <c r="D160" s="227">
        <v>400</v>
      </c>
      <c r="E160" s="233" t="s">
        <v>14</v>
      </c>
      <c r="F160" s="201">
        <v>1200</v>
      </c>
      <c r="G160" s="195">
        <v>1140</v>
      </c>
      <c r="H160" s="201">
        <f t="shared" si="27"/>
        <v>60</v>
      </c>
      <c r="I160" s="165" t="s">
        <v>1774</v>
      </c>
    </row>
    <row r="161" spans="1:9" s="167" customFormat="1" ht="52" hidden="1">
      <c r="A161" s="231" t="s">
        <v>742</v>
      </c>
      <c r="B161" s="232" t="s">
        <v>1626</v>
      </c>
      <c r="C161" s="226"/>
      <c r="D161" s="227"/>
      <c r="E161" s="233"/>
      <c r="F161" s="228"/>
      <c r="G161" s="229"/>
      <c r="H161" s="228"/>
      <c r="I161" s="165" t="s">
        <v>1774</v>
      </c>
    </row>
    <row r="162" spans="1:9" s="167" customFormat="1" ht="52" hidden="1">
      <c r="A162" s="231"/>
      <c r="B162" s="232" t="s">
        <v>1627</v>
      </c>
      <c r="C162" s="226"/>
      <c r="D162" s="227"/>
      <c r="E162" s="233"/>
      <c r="F162" s="228"/>
      <c r="G162" s="229"/>
      <c r="H162" s="228"/>
      <c r="I162" s="165" t="s">
        <v>1774</v>
      </c>
    </row>
    <row r="163" spans="1:9" s="167" customFormat="1" ht="26" hidden="1">
      <c r="A163" s="231"/>
      <c r="B163" s="232" t="s">
        <v>1628</v>
      </c>
      <c r="C163" s="226" t="s">
        <v>1193</v>
      </c>
      <c r="D163" s="227">
        <v>400</v>
      </c>
      <c r="E163" s="233">
        <v>0.5</v>
      </c>
      <c r="F163" s="201">
        <v>200</v>
      </c>
      <c r="G163" s="195">
        <v>190</v>
      </c>
      <c r="H163" s="201">
        <f t="shared" ref="H163:H165" si="28">+F163-G163</f>
        <v>10</v>
      </c>
      <c r="I163" s="165" t="s">
        <v>1774</v>
      </c>
    </row>
    <row r="164" spans="1:9" s="167" customFormat="1" ht="18" hidden="1" customHeight="1">
      <c r="A164" s="231"/>
      <c r="B164" s="232" t="s">
        <v>1629</v>
      </c>
      <c r="C164" s="226" t="s">
        <v>1193</v>
      </c>
      <c r="D164" s="227">
        <v>80</v>
      </c>
      <c r="E164" s="233" t="s">
        <v>14</v>
      </c>
      <c r="F164" s="201">
        <v>240</v>
      </c>
      <c r="G164" s="195">
        <v>228</v>
      </c>
      <c r="H164" s="201">
        <f t="shared" si="28"/>
        <v>12</v>
      </c>
      <c r="I164" s="165" t="s">
        <v>1774</v>
      </c>
    </row>
    <row r="165" spans="1:9" s="167" customFormat="1" ht="26" hidden="1">
      <c r="A165" s="231"/>
      <c r="B165" s="232" t="s">
        <v>1630</v>
      </c>
      <c r="C165" s="226" t="s">
        <v>1631</v>
      </c>
      <c r="D165" s="227">
        <v>600</v>
      </c>
      <c r="E165" s="234">
        <v>0.55000000000000004</v>
      </c>
      <c r="F165" s="201">
        <v>330</v>
      </c>
      <c r="G165" s="195">
        <v>314</v>
      </c>
      <c r="H165" s="201">
        <f t="shared" si="28"/>
        <v>16</v>
      </c>
      <c r="I165" s="165" t="s">
        <v>1774</v>
      </c>
    </row>
    <row r="166" spans="1:9" s="167" customFormat="1" ht="26" hidden="1">
      <c r="A166" s="231" t="s">
        <v>742</v>
      </c>
      <c r="B166" s="232" t="s">
        <v>1632</v>
      </c>
      <c r="C166" s="226"/>
      <c r="D166" s="227"/>
      <c r="E166" s="233"/>
      <c r="F166" s="228"/>
      <c r="G166" s="229"/>
      <c r="H166" s="228"/>
      <c r="I166" s="165" t="s">
        <v>1774</v>
      </c>
    </row>
    <row r="167" spans="1:9" s="167" customFormat="1" ht="39" hidden="1">
      <c r="A167" s="231"/>
      <c r="B167" s="232" t="s">
        <v>1633</v>
      </c>
      <c r="C167" s="226" t="s">
        <v>1634</v>
      </c>
      <c r="D167" s="227">
        <v>1</v>
      </c>
      <c r="E167" s="227">
        <v>700</v>
      </c>
      <c r="F167" s="201">
        <v>700</v>
      </c>
      <c r="G167" s="195">
        <v>665</v>
      </c>
      <c r="H167" s="201">
        <f t="shared" ref="H167" si="29">+F167-G167</f>
        <v>35</v>
      </c>
      <c r="I167" s="165" t="s">
        <v>1774</v>
      </c>
    </row>
    <row r="168" spans="1:9" s="167" customFormat="1" ht="26" hidden="1">
      <c r="A168" s="207"/>
      <c r="B168" s="189" t="s">
        <v>1635</v>
      </c>
      <c r="C168" s="235"/>
      <c r="D168" s="236">
        <v>1</v>
      </c>
      <c r="E168" s="237">
        <v>0.05</v>
      </c>
      <c r="F168" s="238">
        <f t="shared" ref="F168" si="30">+D168*E168</f>
        <v>0.05</v>
      </c>
      <c r="G168" s="239">
        <v>4.7500000000000001E-2</v>
      </c>
      <c r="H168" s="240">
        <f t="shared" ref="H168" si="31">+F168-G168</f>
        <v>2.5000000000000022E-3</v>
      </c>
      <c r="I168" s="468" t="s">
        <v>1774</v>
      </c>
    </row>
    <row r="170" spans="1:9" s="453" customFormat="1" ht="15" customHeight="1">
      <c r="A170" s="1857" t="s">
        <v>2496</v>
      </c>
      <c r="B170" s="1857"/>
      <c r="C170" s="1857"/>
      <c r="D170" s="1857"/>
      <c r="E170" s="1857"/>
      <c r="F170" s="1857"/>
      <c r="G170" s="1857"/>
      <c r="H170" s="1910"/>
      <c r="I170" s="1857"/>
    </row>
    <row r="171" spans="1:9" ht="109.5" customHeight="1">
      <c r="A171" s="1817" t="s">
        <v>2495</v>
      </c>
      <c r="B171" s="1817"/>
      <c r="C171" s="1817"/>
      <c r="D171" s="1817"/>
      <c r="E171" s="1817"/>
      <c r="F171" s="1817"/>
      <c r="G171" s="1817"/>
      <c r="H171" s="1909"/>
      <c r="I171" s="1817"/>
    </row>
    <row r="225" ht="12.75" customHeight="1"/>
  </sheetData>
  <autoFilter ref="A7:M168">
    <filterColumn colId="8">
      <filters blank="1"/>
    </filterColumn>
  </autoFilter>
  <mergeCells count="16">
    <mergeCell ref="A171:I171"/>
    <mergeCell ref="A170:I170"/>
    <mergeCell ref="I5:I6"/>
    <mergeCell ref="H5:H6"/>
    <mergeCell ref="A5:A6"/>
    <mergeCell ref="B5:B6"/>
    <mergeCell ref="C5:C6"/>
    <mergeCell ref="D5:D6"/>
    <mergeCell ref="E5:E6"/>
    <mergeCell ref="G5:G6"/>
    <mergeCell ref="F5:F6"/>
    <mergeCell ref="A1:B1"/>
    <mergeCell ref="E1:I1"/>
    <mergeCell ref="A2:I2"/>
    <mergeCell ref="A3:I3"/>
    <mergeCell ref="A4:I4"/>
  </mergeCells>
  <pageMargins left="0.3" right="0.2" top="0.5" bottom="0.5" header="0.3" footer="0.3"/>
  <pageSetup paperSize="9" scale="85"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0070C0"/>
  </sheetPr>
  <dimension ref="A1:J152"/>
  <sheetViews>
    <sheetView zoomScaleNormal="100" workbookViewId="0">
      <selection activeCell="A2" sqref="A2:I152"/>
    </sheetView>
  </sheetViews>
  <sheetFormatPr defaultColWidth="9.08203125" defaultRowHeight="13"/>
  <cols>
    <col min="1" max="1" width="4.9140625" style="8" customWidth="1"/>
    <col min="2" max="2" width="61.08203125" style="8" customWidth="1"/>
    <col min="3" max="3" width="8.6640625" style="49" customWidth="1"/>
    <col min="4" max="4" width="7.4140625" style="8" customWidth="1"/>
    <col min="5" max="5" width="6.08203125" style="8" customWidth="1"/>
    <col min="6" max="6" width="8.6640625" style="75" customWidth="1"/>
    <col min="7" max="7" width="7.9140625" style="8" customWidth="1"/>
    <col min="8" max="8" width="7.9140625" style="612" hidden="1" customWidth="1"/>
    <col min="9" max="9" width="7.33203125" style="8" customWidth="1"/>
    <col min="10" max="10" width="9.08203125" style="8" customWidth="1"/>
    <col min="11" max="16384" width="9.08203125" style="8"/>
  </cols>
  <sheetData>
    <row r="1" spans="1:10" ht="18" customHeight="1">
      <c r="A1" s="1794"/>
      <c r="B1" s="1794"/>
      <c r="C1" s="1798" t="s">
        <v>1398</v>
      </c>
      <c r="D1" s="1798"/>
      <c r="E1" s="1798"/>
      <c r="F1" s="1798"/>
      <c r="G1" s="1798"/>
      <c r="H1" s="1914"/>
      <c r="I1" s="1798"/>
    </row>
    <row r="2" spans="1:10" ht="18" customHeight="1">
      <c r="A2" s="1714" t="s">
        <v>2114</v>
      </c>
      <c r="B2" s="1714"/>
      <c r="C2" s="1714"/>
      <c r="D2" s="1714"/>
      <c r="E2" s="1714"/>
      <c r="F2" s="1714"/>
      <c r="G2" s="1714"/>
      <c r="H2" s="1913"/>
      <c r="I2" s="1714"/>
    </row>
    <row r="3" spans="1:10" ht="18" customHeight="1">
      <c r="A3" s="1714" t="s">
        <v>2111</v>
      </c>
      <c r="B3" s="1714"/>
      <c r="C3" s="1714"/>
      <c r="D3" s="1714"/>
      <c r="E3" s="1714"/>
      <c r="F3" s="1714"/>
      <c r="G3" s="1714"/>
      <c r="H3" s="1913"/>
      <c r="I3" s="1714"/>
    </row>
    <row r="4" spans="1:10" ht="18" customHeight="1">
      <c r="A4" s="1911" t="s">
        <v>3</v>
      </c>
      <c r="B4" s="1911"/>
      <c r="C4" s="1911"/>
      <c r="D4" s="1911"/>
      <c r="E4" s="1911"/>
      <c r="F4" s="1911"/>
      <c r="G4" s="1911"/>
      <c r="H4" s="1912"/>
      <c r="I4" s="1911"/>
    </row>
    <row r="5" spans="1:10" ht="18" customHeight="1">
      <c r="A5" s="1778" t="s">
        <v>4</v>
      </c>
      <c r="B5" s="1778" t="s">
        <v>5</v>
      </c>
      <c r="C5" s="1778" t="s">
        <v>737</v>
      </c>
      <c r="D5" s="1778" t="s">
        <v>897</v>
      </c>
      <c r="E5" s="1778" t="s">
        <v>739</v>
      </c>
      <c r="F5" s="1786" t="s">
        <v>727</v>
      </c>
      <c r="G5" s="1721" t="s">
        <v>1600</v>
      </c>
      <c r="H5" s="1791" t="s">
        <v>1601</v>
      </c>
      <c r="I5" s="1825" t="s">
        <v>33</v>
      </c>
    </row>
    <row r="6" spans="1:10" ht="25.5" customHeight="1">
      <c r="A6" s="1778"/>
      <c r="B6" s="1778"/>
      <c r="C6" s="1778"/>
      <c r="D6" s="1778"/>
      <c r="E6" s="1778"/>
      <c r="F6" s="1786"/>
      <c r="G6" s="1723"/>
      <c r="H6" s="1793"/>
      <c r="I6" s="1826"/>
    </row>
    <row r="7" spans="1:10" s="485" customFormat="1" ht="18" customHeight="1">
      <c r="A7" s="462">
        <v>1</v>
      </c>
      <c r="B7" s="462">
        <v>2</v>
      </c>
      <c r="C7" s="462">
        <v>3</v>
      </c>
      <c r="D7" s="462">
        <v>4</v>
      </c>
      <c r="E7" s="462">
        <v>5</v>
      </c>
      <c r="F7" s="462" t="s">
        <v>716</v>
      </c>
      <c r="G7" s="462">
        <v>7</v>
      </c>
      <c r="H7" s="606">
        <v>8</v>
      </c>
      <c r="I7" s="920">
        <v>9</v>
      </c>
      <c r="J7" s="35"/>
    </row>
    <row r="8" spans="1:10" s="30" customFormat="1" ht="18" customHeight="1">
      <c r="A8" s="40"/>
      <c r="B8" s="40" t="s">
        <v>758</v>
      </c>
      <c r="C8" s="40"/>
      <c r="D8" s="919"/>
      <c r="E8" s="919"/>
      <c r="F8" s="23">
        <f>+F9+F45</f>
        <v>19093</v>
      </c>
      <c r="G8" s="23">
        <f>+G9+G45</f>
        <v>18141</v>
      </c>
      <c r="H8" s="607">
        <f>+H9+H45</f>
        <v>952</v>
      </c>
      <c r="I8" s="921"/>
    </row>
    <row r="9" spans="1:10" ht="18" customHeight="1">
      <c r="A9" s="26" t="s">
        <v>8</v>
      </c>
      <c r="B9" s="54" t="s">
        <v>733</v>
      </c>
      <c r="C9" s="40"/>
      <c r="D9" s="36"/>
      <c r="E9" s="76"/>
      <c r="F9" s="23">
        <f>+F10+F19+F33</f>
        <v>7066</v>
      </c>
      <c r="G9" s="23">
        <f t="shared" ref="G9:H9" si="0">+G10+G19+G33</f>
        <v>6714</v>
      </c>
      <c r="H9" s="608">
        <f t="shared" si="0"/>
        <v>352</v>
      </c>
      <c r="I9" s="765"/>
    </row>
    <row r="10" spans="1:10" ht="18" customHeight="1">
      <c r="A10" s="26" t="s">
        <v>10</v>
      </c>
      <c r="B10" s="54" t="s">
        <v>893</v>
      </c>
      <c r="C10" s="40"/>
      <c r="D10" s="36"/>
      <c r="E10" s="76"/>
      <c r="F10" s="23">
        <f>+F11+F13+F15</f>
        <v>4287</v>
      </c>
      <c r="G10" s="23">
        <f t="shared" ref="G10:H10" si="1">+G11+G13+G15</f>
        <v>4073</v>
      </c>
      <c r="H10" s="608">
        <f t="shared" si="1"/>
        <v>214</v>
      </c>
      <c r="I10" s="765"/>
    </row>
    <row r="11" spans="1:10" s="35" customFormat="1" ht="18" customHeight="1">
      <c r="A11" s="18" t="s">
        <v>742</v>
      </c>
      <c r="B11" s="638" t="s">
        <v>1303</v>
      </c>
      <c r="C11" s="18"/>
      <c r="D11" s="56"/>
      <c r="E11" s="53"/>
      <c r="F11" s="44">
        <f>+F12</f>
        <v>1484</v>
      </c>
      <c r="G11" s="44">
        <f t="shared" ref="G11:H11" si="2">+G12</f>
        <v>1410</v>
      </c>
      <c r="H11" s="265">
        <f t="shared" si="2"/>
        <v>74</v>
      </c>
      <c r="I11" s="922"/>
    </row>
    <row r="12" spans="1:10" s="102" customFormat="1" ht="48" hidden="1" customHeight="1">
      <c r="A12" s="122"/>
      <c r="B12" s="154" t="s">
        <v>1579</v>
      </c>
      <c r="C12" s="122" t="s">
        <v>878</v>
      </c>
      <c r="D12" s="604">
        <f>53*4</f>
        <v>212</v>
      </c>
      <c r="E12" s="605">
        <v>7</v>
      </c>
      <c r="F12" s="190">
        <f>ROUND(E12*D12,0)</f>
        <v>1484</v>
      </c>
      <c r="G12" s="190">
        <f>ROUND(F12*95%,0)</f>
        <v>1410</v>
      </c>
      <c r="H12" s="190">
        <f>F12-G12</f>
        <v>74</v>
      </c>
      <c r="I12" s="32" t="s">
        <v>1774</v>
      </c>
      <c r="J12" s="8"/>
    </row>
    <row r="13" spans="1:10" s="35" customFormat="1" ht="26">
      <c r="A13" s="18" t="s">
        <v>742</v>
      </c>
      <c r="B13" s="638" t="s">
        <v>1305</v>
      </c>
      <c r="C13" s="18"/>
      <c r="D13" s="56"/>
      <c r="E13" s="53"/>
      <c r="F13" s="44">
        <f>+F14</f>
        <v>2120</v>
      </c>
      <c r="G13" s="44">
        <f t="shared" ref="G13:H13" si="3">+G14</f>
        <v>2014</v>
      </c>
      <c r="H13" s="265">
        <f t="shared" si="3"/>
        <v>106</v>
      </c>
      <c r="I13" s="922"/>
    </row>
    <row r="14" spans="1:10" s="111" customFormat="1" ht="56.25" hidden="1" customHeight="1">
      <c r="A14" s="122"/>
      <c r="B14" s="154" t="s">
        <v>1581</v>
      </c>
      <c r="C14" s="122" t="s">
        <v>878</v>
      </c>
      <c r="D14" s="604">
        <f>53*4</f>
        <v>212</v>
      </c>
      <c r="E14" s="605">
        <v>10</v>
      </c>
      <c r="F14" s="190">
        <f>D14*E14</f>
        <v>2120</v>
      </c>
      <c r="G14" s="190">
        <f>ROUND(F14*95%,0)</f>
        <v>2014</v>
      </c>
      <c r="H14" s="190">
        <f>F14-G14</f>
        <v>106</v>
      </c>
      <c r="I14" s="32" t="s">
        <v>1774</v>
      </c>
    </row>
    <row r="15" spans="1:10" s="35" customFormat="1" ht="26">
      <c r="A15" s="18" t="s">
        <v>742</v>
      </c>
      <c r="B15" s="638" t="s">
        <v>1306</v>
      </c>
      <c r="C15" s="18"/>
      <c r="D15" s="56"/>
      <c r="E15" s="53"/>
      <c r="F15" s="44">
        <f>SUM(F16:F18)</f>
        <v>683</v>
      </c>
      <c r="G15" s="44">
        <f t="shared" ref="G15:H15" si="4">SUM(G16:G18)</f>
        <v>649</v>
      </c>
      <c r="H15" s="265">
        <f t="shared" si="4"/>
        <v>34</v>
      </c>
      <c r="I15" s="922"/>
    </row>
    <row r="16" spans="1:10" s="323" customFormat="1" hidden="1">
      <c r="A16" s="122"/>
      <c r="B16" s="154" t="s">
        <v>1582</v>
      </c>
      <c r="C16" s="112" t="s">
        <v>902</v>
      </c>
      <c r="D16" s="604">
        <v>16</v>
      </c>
      <c r="E16" s="605">
        <v>20</v>
      </c>
      <c r="F16" s="190">
        <f t="shared" ref="F16:F18" si="5">D16*E16</f>
        <v>320</v>
      </c>
      <c r="G16" s="190">
        <f t="shared" ref="G16:G18" si="6">ROUND(F16*95%,0)</f>
        <v>304</v>
      </c>
      <c r="H16" s="190">
        <f t="shared" ref="H16:H18" si="7">F16-G16</f>
        <v>16</v>
      </c>
      <c r="I16" s="32" t="s">
        <v>1774</v>
      </c>
      <c r="J16" s="111"/>
    </row>
    <row r="17" spans="1:10" s="422" customFormat="1" hidden="1">
      <c r="A17" s="122"/>
      <c r="B17" s="154" t="s">
        <v>1583</v>
      </c>
      <c r="C17" s="112" t="s">
        <v>878</v>
      </c>
      <c r="D17" s="604">
        <v>1</v>
      </c>
      <c r="E17" s="605">
        <v>100</v>
      </c>
      <c r="F17" s="190">
        <f t="shared" si="5"/>
        <v>100</v>
      </c>
      <c r="G17" s="190">
        <f t="shared" si="6"/>
        <v>95</v>
      </c>
      <c r="H17" s="190">
        <f t="shared" si="7"/>
        <v>5</v>
      </c>
      <c r="I17" s="32" t="s">
        <v>1774</v>
      </c>
      <c r="J17" s="121"/>
    </row>
    <row r="18" spans="1:10" s="323" customFormat="1" ht="18" hidden="1" customHeight="1">
      <c r="A18" s="122"/>
      <c r="B18" s="154" t="s">
        <v>1584</v>
      </c>
      <c r="C18" s="112" t="s">
        <v>878</v>
      </c>
      <c r="D18" s="604">
        <v>1</v>
      </c>
      <c r="E18" s="605">
        <v>263</v>
      </c>
      <c r="F18" s="190">
        <f t="shared" si="5"/>
        <v>263</v>
      </c>
      <c r="G18" s="190">
        <f t="shared" si="6"/>
        <v>250</v>
      </c>
      <c r="H18" s="190">
        <f t="shared" si="7"/>
        <v>13</v>
      </c>
      <c r="I18" s="32" t="s">
        <v>1774</v>
      </c>
      <c r="J18" s="111"/>
    </row>
    <row r="19" spans="1:10" ht="18" customHeight="1">
      <c r="A19" s="26" t="s">
        <v>12</v>
      </c>
      <c r="B19" s="54" t="s">
        <v>1309</v>
      </c>
      <c r="C19" s="40"/>
      <c r="D19" s="36"/>
      <c r="E19" s="76"/>
      <c r="F19" s="23">
        <f>+F20</f>
        <v>1740</v>
      </c>
      <c r="G19" s="23">
        <f t="shared" ref="G19" si="8">+G20</f>
        <v>1654</v>
      </c>
      <c r="H19" s="608">
        <f>+H20</f>
        <v>86</v>
      </c>
      <c r="I19" s="765"/>
    </row>
    <row r="20" spans="1:10" s="35" customFormat="1" ht="18" customHeight="1">
      <c r="A20" s="18" t="s">
        <v>742</v>
      </c>
      <c r="B20" s="638" t="s">
        <v>1303</v>
      </c>
      <c r="C20" s="18"/>
      <c r="D20" s="56"/>
      <c r="E20" s="53"/>
      <c r="F20" s="44">
        <f>+F21+F29+F30+F25</f>
        <v>1740</v>
      </c>
      <c r="G20" s="44">
        <f t="shared" ref="G20:H20" si="9">+G21+G29+G30+G25</f>
        <v>1654</v>
      </c>
      <c r="H20" s="265">
        <f t="shared" si="9"/>
        <v>86</v>
      </c>
      <c r="I20" s="922"/>
    </row>
    <row r="21" spans="1:10" ht="26">
      <c r="A21" s="13" t="s">
        <v>1585</v>
      </c>
      <c r="B21" s="12" t="s">
        <v>1336</v>
      </c>
      <c r="C21" s="13"/>
      <c r="D21" s="56"/>
      <c r="E21" s="53"/>
      <c r="F21" s="44">
        <v>350</v>
      </c>
      <c r="G21" s="44">
        <f t="shared" ref="G21:H21" si="10">G22+G23+G24</f>
        <v>333</v>
      </c>
      <c r="H21" s="265">
        <f t="shared" si="10"/>
        <v>17</v>
      </c>
      <c r="I21" s="765"/>
    </row>
    <row r="22" spans="1:10" s="102" customFormat="1" ht="18" hidden="1" customHeight="1">
      <c r="A22" s="122"/>
      <c r="B22" s="154" t="s">
        <v>1586</v>
      </c>
      <c r="C22" s="112" t="s">
        <v>1208</v>
      </c>
      <c r="D22" s="604">
        <v>132.4</v>
      </c>
      <c r="E22" s="605">
        <v>2.5</v>
      </c>
      <c r="F22" s="190">
        <v>331</v>
      </c>
      <c r="G22" s="190">
        <f>ROUND(F22*95%,0)</f>
        <v>314</v>
      </c>
      <c r="H22" s="190">
        <f>F22-G22</f>
        <v>17</v>
      </c>
      <c r="I22" s="32" t="s">
        <v>1774</v>
      </c>
      <c r="J22" s="8"/>
    </row>
    <row r="23" spans="1:10" s="102" customFormat="1" ht="18" hidden="1" customHeight="1">
      <c r="A23" s="122"/>
      <c r="B23" s="154" t="s">
        <v>1587</v>
      </c>
      <c r="C23" s="112" t="s">
        <v>838</v>
      </c>
      <c r="D23" s="604">
        <v>1</v>
      </c>
      <c r="E23" s="605">
        <v>9</v>
      </c>
      <c r="F23" s="190">
        <f t="shared" ref="F23:F29" si="11">D23*E23</f>
        <v>9</v>
      </c>
      <c r="G23" s="190">
        <f t="shared" ref="G23:G29" si="12">ROUND(F23*95%,0)</f>
        <v>9</v>
      </c>
      <c r="H23" s="190">
        <f t="shared" ref="H23:H24" si="13">F23-G23</f>
        <v>0</v>
      </c>
      <c r="I23" s="32" t="s">
        <v>1774</v>
      </c>
      <c r="J23" s="8"/>
    </row>
    <row r="24" spans="1:10" s="102" customFormat="1" ht="18" hidden="1" customHeight="1">
      <c r="A24" s="122"/>
      <c r="B24" s="154" t="s">
        <v>1337</v>
      </c>
      <c r="C24" s="112" t="s">
        <v>838</v>
      </c>
      <c r="D24" s="604">
        <v>1</v>
      </c>
      <c r="E24" s="605">
        <v>10</v>
      </c>
      <c r="F24" s="190">
        <f t="shared" si="11"/>
        <v>10</v>
      </c>
      <c r="G24" s="190">
        <f t="shared" si="12"/>
        <v>10</v>
      </c>
      <c r="H24" s="190">
        <f t="shared" si="13"/>
        <v>0</v>
      </c>
      <c r="I24" s="32" t="s">
        <v>1774</v>
      </c>
      <c r="J24" s="8"/>
    </row>
    <row r="25" spans="1:10" ht="26">
      <c r="A25" s="18" t="s">
        <v>742</v>
      </c>
      <c r="B25" s="638" t="s">
        <v>2284</v>
      </c>
      <c r="C25" s="18"/>
      <c r="D25" s="56"/>
      <c r="E25" s="53"/>
      <c r="F25" s="44">
        <v>350</v>
      </c>
      <c r="G25" s="44">
        <f t="shared" ref="G25:H25" si="14">SUM(G26:G28)</f>
        <v>333</v>
      </c>
      <c r="H25" s="265">
        <f t="shared" si="14"/>
        <v>17</v>
      </c>
      <c r="I25" s="765"/>
    </row>
    <row r="26" spans="1:10" s="102" customFormat="1" hidden="1">
      <c r="A26" s="122"/>
      <c r="B26" s="154" t="s">
        <v>1586</v>
      </c>
      <c r="C26" s="112" t="s">
        <v>838</v>
      </c>
      <c r="D26" s="604">
        <v>3080</v>
      </c>
      <c r="E26" s="605"/>
      <c r="F26" s="190">
        <v>308</v>
      </c>
      <c r="G26" s="190">
        <f t="shared" si="12"/>
        <v>293</v>
      </c>
      <c r="H26" s="190">
        <f t="shared" ref="H26:H29" si="15">F26-G26</f>
        <v>15</v>
      </c>
      <c r="I26" s="32" t="s">
        <v>1774</v>
      </c>
      <c r="J26" s="8"/>
    </row>
    <row r="27" spans="1:10" s="102" customFormat="1" hidden="1">
      <c r="A27" s="122"/>
      <c r="B27" s="154" t="s">
        <v>1587</v>
      </c>
      <c r="C27" s="112" t="s">
        <v>838</v>
      </c>
      <c r="D27" s="604">
        <v>4</v>
      </c>
      <c r="E27" s="605">
        <v>10</v>
      </c>
      <c r="F27" s="190">
        <v>40</v>
      </c>
      <c r="G27" s="190">
        <f t="shared" si="12"/>
        <v>38</v>
      </c>
      <c r="H27" s="190">
        <f t="shared" si="15"/>
        <v>2</v>
      </c>
      <c r="I27" s="32" t="s">
        <v>1774</v>
      </c>
      <c r="J27" s="8"/>
    </row>
    <row r="28" spans="1:10" s="102" customFormat="1" hidden="1">
      <c r="A28" s="122"/>
      <c r="B28" s="154" t="s">
        <v>1337</v>
      </c>
      <c r="C28" s="112" t="s">
        <v>838</v>
      </c>
      <c r="D28" s="604"/>
      <c r="E28" s="605">
        <v>263</v>
      </c>
      <c r="F28" s="190">
        <v>2</v>
      </c>
      <c r="G28" s="190">
        <f t="shared" si="12"/>
        <v>2</v>
      </c>
      <c r="H28" s="190">
        <f t="shared" si="15"/>
        <v>0</v>
      </c>
      <c r="I28" s="32" t="s">
        <v>1774</v>
      </c>
      <c r="J28" s="8"/>
    </row>
    <row r="29" spans="1:10" ht="26">
      <c r="A29" s="13" t="s">
        <v>1585</v>
      </c>
      <c r="B29" s="12" t="s">
        <v>1340</v>
      </c>
      <c r="C29" s="13" t="s">
        <v>1229</v>
      </c>
      <c r="D29" s="174">
        <v>2</v>
      </c>
      <c r="E29" s="53">
        <v>360</v>
      </c>
      <c r="F29" s="44">
        <f t="shared" si="11"/>
        <v>720</v>
      </c>
      <c r="G29" s="44">
        <f t="shared" si="12"/>
        <v>684</v>
      </c>
      <c r="H29" s="265">
        <f t="shared" si="15"/>
        <v>36</v>
      </c>
      <c r="I29" s="765"/>
    </row>
    <row r="30" spans="1:10" ht="26">
      <c r="A30" s="13" t="s">
        <v>1585</v>
      </c>
      <c r="B30" s="12" t="s">
        <v>1347</v>
      </c>
      <c r="C30" s="13"/>
      <c r="D30" s="56"/>
      <c r="E30" s="53"/>
      <c r="F30" s="44">
        <f>F31+F32</f>
        <v>320</v>
      </c>
      <c r="G30" s="44">
        <f t="shared" ref="G30" si="16">F30/100*95</f>
        <v>304</v>
      </c>
      <c r="H30" s="265">
        <f t="shared" ref="H30" si="17">F30/100*5</f>
        <v>16</v>
      </c>
      <c r="I30" s="765"/>
    </row>
    <row r="31" spans="1:10" s="102" customFormat="1" ht="18" hidden="1" customHeight="1">
      <c r="A31" s="122"/>
      <c r="B31" s="148" t="s">
        <v>1589</v>
      </c>
      <c r="C31" s="112" t="s">
        <v>878</v>
      </c>
      <c r="D31" s="604">
        <v>8</v>
      </c>
      <c r="E31" s="605">
        <v>25</v>
      </c>
      <c r="F31" s="190">
        <f t="shared" ref="F31:F32" si="18">D31*E31</f>
        <v>200</v>
      </c>
      <c r="G31" s="190">
        <f t="shared" ref="G31:G32" si="19">ROUND(F31*95%,0)</f>
        <v>190</v>
      </c>
      <c r="H31" s="190">
        <f t="shared" ref="H31:H32" si="20">F31-G31</f>
        <v>10</v>
      </c>
      <c r="I31" s="32" t="s">
        <v>1774</v>
      </c>
      <c r="J31" s="8"/>
    </row>
    <row r="32" spans="1:10" s="164" customFormat="1" hidden="1">
      <c r="A32" s="122"/>
      <c r="B32" s="148" t="s">
        <v>1590</v>
      </c>
      <c r="C32" s="112" t="s">
        <v>878</v>
      </c>
      <c r="D32" s="604">
        <v>12</v>
      </c>
      <c r="E32" s="605">
        <v>10</v>
      </c>
      <c r="F32" s="190">
        <f t="shared" si="18"/>
        <v>120</v>
      </c>
      <c r="G32" s="190">
        <f t="shared" si="19"/>
        <v>114</v>
      </c>
      <c r="H32" s="190">
        <f t="shared" si="20"/>
        <v>6</v>
      </c>
      <c r="I32" s="32" t="s">
        <v>1774</v>
      </c>
    </row>
    <row r="33" spans="1:10" ht="18" customHeight="1">
      <c r="A33" s="26" t="s">
        <v>14</v>
      </c>
      <c r="B33" s="54" t="s">
        <v>1723</v>
      </c>
      <c r="C33" s="40"/>
      <c r="D33" s="36"/>
      <c r="E33" s="76"/>
      <c r="F33" s="23">
        <v>1039</v>
      </c>
      <c r="G33" s="23">
        <f>ROUND(F33*95%,0)</f>
        <v>987</v>
      </c>
      <c r="H33" s="608">
        <f>F33-G33</f>
        <v>52</v>
      </c>
      <c r="I33" s="765"/>
    </row>
    <row r="34" spans="1:10" ht="18" customHeight="1">
      <c r="A34" s="18" t="s">
        <v>2303</v>
      </c>
      <c r="B34" s="638" t="s">
        <v>1303</v>
      </c>
      <c r="C34" s="18"/>
      <c r="D34" s="56"/>
      <c r="E34" s="53"/>
      <c r="F34" s="44">
        <f>F35+F41+F42</f>
        <v>859</v>
      </c>
      <c r="G34" s="44">
        <f t="shared" ref="G34:H34" si="21">G35+G41+G42</f>
        <v>816</v>
      </c>
      <c r="H34" s="609">
        <f t="shared" si="21"/>
        <v>43</v>
      </c>
      <c r="I34" s="32"/>
    </row>
    <row r="35" spans="1:10" ht="26">
      <c r="A35" s="18" t="s">
        <v>701</v>
      </c>
      <c r="B35" s="638" t="s">
        <v>2304</v>
      </c>
      <c r="C35" s="18"/>
      <c r="D35" s="56"/>
      <c r="E35" s="53"/>
      <c r="F35" s="44">
        <f>SUM(F36:F40)</f>
        <v>679</v>
      </c>
      <c r="G35" s="44">
        <f t="shared" ref="G35:H35" si="22">SUM(G36:G40)</f>
        <v>645</v>
      </c>
      <c r="H35" s="609">
        <f t="shared" si="22"/>
        <v>34</v>
      </c>
      <c r="I35" s="32"/>
    </row>
    <row r="36" spans="1:10" s="323" customFormat="1" ht="18" hidden="1" customHeight="1">
      <c r="A36" s="122" t="s">
        <v>2305</v>
      </c>
      <c r="B36" s="154" t="s">
        <v>2306</v>
      </c>
      <c r="C36" s="122" t="s">
        <v>2286</v>
      </c>
      <c r="D36" s="129">
        <f>8*50</f>
        <v>400</v>
      </c>
      <c r="E36" s="605">
        <v>0.04</v>
      </c>
      <c r="F36" s="190">
        <f>D36*E36</f>
        <v>16</v>
      </c>
      <c r="G36" s="190">
        <f t="shared" ref="G36:G44" si="23">ROUND(F36*95%,0)</f>
        <v>15</v>
      </c>
      <c r="H36" s="190">
        <f t="shared" ref="H36:H44" si="24">F36-G36</f>
        <v>1</v>
      </c>
      <c r="I36" s="568" t="s">
        <v>1774</v>
      </c>
    </row>
    <row r="37" spans="1:10" s="460" customFormat="1" ht="18" hidden="1" customHeight="1">
      <c r="A37" s="122" t="s">
        <v>2305</v>
      </c>
      <c r="B37" s="154" t="s">
        <v>2307</v>
      </c>
      <c r="C37" s="122" t="s">
        <v>2286</v>
      </c>
      <c r="D37" s="129">
        <v>16700</v>
      </c>
      <c r="E37" s="605">
        <v>0.01</v>
      </c>
      <c r="F37" s="190">
        <f>D37*E37</f>
        <v>167</v>
      </c>
      <c r="G37" s="190">
        <f t="shared" si="23"/>
        <v>159</v>
      </c>
      <c r="H37" s="190">
        <f t="shared" si="24"/>
        <v>8</v>
      </c>
      <c r="I37" s="32" t="s">
        <v>1774</v>
      </c>
    </row>
    <row r="38" spans="1:10" s="102" customFormat="1" ht="39" hidden="1">
      <c r="A38" s="122" t="s">
        <v>2305</v>
      </c>
      <c r="B38" s="154" t="s">
        <v>2308</v>
      </c>
      <c r="C38" s="122" t="s">
        <v>1018</v>
      </c>
      <c r="D38" s="604">
        <v>1</v>
      </c>
      <c r="E38" s="605">
        <v>160</v>
      </c>
      <c r="F38" s="190">
        <f t="shared" ref="F38:F44" si="25">D38*E38</f>
        <v>160</v>
      </c>
      <c r="G38" s="190">
        <f t="shared" si="23"/>
        <v>152</v>
      </c>
      <c r="H38" s="190">
        <f t="shared" si="24"/>
        <v>8</v>
      </c>
      <c r="I38" s="32" t="s">
        <v>1774</v>
      </c>
    </row>
    <row r="39" spans="1:10" s="102" customFormat="1" ht="26" hidden="1">
      <c r="A39" s="122" t="s">
        <v>2305</v>
      </c>
      <c r="B39" s="154" t="s">
        <v>2309</v>
      </c>
      <c r="C39" s="122" t="s">
        <v>902</v>
      </c>
      <c r="D39" s="604">
        <v>32</v>
      </c>
      <c r="E39" s="605">
        <v>6</v>
      </c>
      <c r="F39" s="190">
        <f t="shared" si="25"/>
        <v>192</v>
      </c>
      <c r="G39" s="190">
        <f t="shared" si="23"/>
        <v>182</v>
      </c>
      <c r="H39" s="190">
        <v>10</v>
      </c>
      <c r="I39" s="32" t="s">
        <v>1774</v>
      </c>
      <c r="J39" s="8"/>
    </row>
    <row r="40" spans="1:10" s="102" customFormat="1" ht="26" hidden="1">
      <c r="A40" s="122" t="s">
        <v>2305</v>
      </c>
      <c r="B40" s="154" t="s">
        <v>2310</v>
      </c>
      <c r="C40" s="122" t="s">
        <v>1167</v>
      </c>
      <c r="D40" s="129">
        <v>8</v>
      </c>
      <c r="E40" s="605">
        <v>18</v>
      </c>
      <c r="F40" s="190">
        <f t="shared" si="25"/>
        <v>144</v>
      </c>
      <c r="G40" s="190">
        <f>ROUND(F40*95%,0)</f>
        <v>137</v>
      </c>
      <c r="H40" s="190">
        <f>F40-G40</f>
        <v>7</v>
      </c>
      <c r="I40" s="32" t="s">
        <v>1774</v>
      </c>
      <c r="J40" s="8"/>
    </row>
    <row r="41" spans="1:10" ht="26">
      <c r="A41" s="18" t="s">
        <v>701</v>
      </c>
      <c r="B41" s="638" t="s">
        <v>2311</v>
      </c>
      <c r="C41" s="18" t="s">
        <v>1591</v>
      </c>
      <c r="D41" s="174">
        <v>8</v>
      </c>
      <c r="E41" s="53">
        <v>10</v>
      </c>
      <c r="F41" s="44">
        <f t="shared" si="25"/>
        <v>80</v>
      </c>
      <c r="G41" s="44">
        <f>ROUND(F41*95%,0)</f>
        <v>76</v>
      </c>
      <c r="H41" s="609">
        <v>4</v>
      </c>
      <c r="I41" s="32"/>
    </row>
    <row r="42" spans="1:10" ht="26">
      <c r="A42" s="18" t="s">
        <v>701</v>
      </c>
      <c r="B42" s="638" t="s">
        <v>2312</v>
      </c>
      <c r="C42" s="18" t="s">
        <v>902</v>
      </c>
      <c r="D42" s="174">
        <v>1</v>
      </c>
      <c r="E42" s="53">
        <v>100</v>
      </c>
      <c r="F42" s="44">
        <f t="shared" si="25"/>
        <v>100</v>
      </c>
      <c r="G42" s="44">
        <f>ROUND(F42*95%,0)</f>
        <v>95</v>
      </c>
      <c r="H42" s="609">
        <v>5</v>
      </c>
      <c r="I42" s="32"/>
    </row>
    <row r="43" spans="1:10">
      <c r="A43" s="18" t="s">
        <v>2313</v>
      </c>
      <c r="B43" s="638" t="s">
        <v>2314</v>
      </c>
      <c r="C43" s="18"/>
      <c r="D43" s="174"/>
      <c r="E43" s="37"/>
      <c r="F43" s="44">
        <f>F44</f>
        <v>180</v>
      </c>
      <c r="G43" s="44">
        <f>ROUND(F43*95%,0)</f>
        <v>171</v>
      </c>
      <c r="H43" s="610">
        <v>9</v>
      </c>
      <c r="I43" s="32"/>
    </row>
    <row r="44" spans="1:10" ht="26">
      <c r="A44" s="18" t="s">
        <v>701</v>
      </c>
      <c r="B44" s="638" t="s">
        <v>2315</v>
      </c>
      <c r="C44" s="18" t="s">
        <v>1229</v>
      </c>
      <c r="D44" s="56">
        <v>2</v>
      </c>
      <c r="E44" s="53">
        <v>90</v>
      </c>
      <c r="F44" s="44">
        <f t="shared" si="25"/>
        <v>180</v>
      </c>
      <c r="G44" s="44">
        <f t="shared" si="23"/>
        <v>171</v>
      </c>
      <c r="H44" s="609">
        <f t="shared" si="24"/>
        <v>9</v>
      </c>
      <c r="I44" s="765"/>
    </row>
    <row r="45" spans="1:10" s="30" customFormat="1" ht="18" customHeight="1">
      <c r="A45" s="26" t="s">
        <v>26</v>
      </c>
      <c r="B45" s="54" t="s">
        <v>736</v>
      </c>
      <c r="C45" s="40"/>
      <c r="D45" s="36"/>
      <c r="E45" s="76"/>
      <c r="F45" s="23">
        <f>+F46+F60+F73+F85+F97+F112+F125+F138</f>
        <v>12027</v>
      </c>
      <c r="G45" s="23">
        <f>+G46+G60+G73+G85+G97+G112+G125+G138</f>
        <v>11427</v>
      </c>
      <c r="H45" s="608">
        <f>+H46+H60+H73+H85+H97+H112+H125+H138</f>
        <v>600</v>
      </c>
      <c r="I45" s="765"/>
      <c r="J45" s="181">
        <f>7464-F45</f>
        <v>-4563</v>
      </c>
    </row>
    <row r="46" spans="1:10" s="30" customFormat="1" ht="18" customHeight="1">
      <c r="A46" s="26" t="s">
        <v>10</v>
      </c>
      <c r="B46" s="55" t="s">
        <v>25</v>
      </c>
      <c r="C46" s="26"/>
      <c r="D46" s="34"/>
      <c r="E46" s="741"/>
      <c r="F46" s="21">
        <f>+F47+F56+F57+F58+F59</f>
        <v>448</v>
      </c>
      <c r="G46" s="21">
        <f>+G47+G56+G57+G58+G59</f>
        <v>424</v>
      </c>
      <c r="H46" s="264">
        <f>+H47+H56+H57+H58+H59</f>
        <v>24</v>
      </c>
      <c r="I46" s="781"/>
      <c r="J46" s="181"/>
    </row>
    <row r="47" spans="1:10" s="35" customFormat="1" ht="18" customHeight="1">
      <c r="A47" s="18" t="s">
        <v>742</v>
      </c>
      <c r="B47" s="638" t="s">
        <v>1303</v>
      </c>
      <c r="C47" s="18"/>
      <c r="D47" s="56"/>
      <c r="E47" s="53"/>
      <c r="F47" s="44">
        <f>SUM(F48:F55)</f>
        <v>0</v>
      </c>
      <c r="G47" s="44">
        <f t="shared" ref="G47:H47" si="26">SUM(G48:G55)</f>
        <v>0</v>
      </c>
      <c r="H47" s="265">
        <f t="shared" si="26"/>
        <v>0</v>
      </c>
      <c r="I47" s="894"/>
    </row>
    <row r="48" spans="1:10" s="323" customFormat="1" ht="39" hidden="1">
      <c r="A48" s="122"/>
      <c r="B48" s="154" t="s">
        <v>2316</v>
      </c>
      <c r="C48" s="154" t="s">
        <v>878</v>
      </c>
      <c r="D48" s="604"/>
      <c r="E48" s="605">
        <v>20</v>
      </c>
      <c r="F48" s="190">
        <f t="shared" ref="F48:F50" si="27">ROUND(D48*E48,0)</f>
        <v>0</v>
      </c>
      <c r="G48" s="190">
        <f>ROUND(F48*95%,0)</f>
        <v>0</v>
      </c>
      <c r="H48" s="190">
        <f t="shared" ref="H48:H59" si="28">F48-G48</f>
        <v>0</v>
      </c>
      <c r="I48" s="32" t="s">
        <v>1774</v>
      </c>
      <c r="J48" s="111"/>
    </row>
    <row r="49" spans="1:10" s="323" customFormat="1" ht="26" hidden="1">
      <c r="A49" s="122"/>
      <c r="B49" s="154" t="s">
        <v>1593</v>
      </c>
      <c r="C49" s="154" t="s">
        <v>878</v>
      </c>
      <c r="D49" s="604"/>
      <c r="E49" s="605">
        <v>5</v>
      </c>
      <c r="F49" s="190">
        <f t="shared" si="27"/>
        <v>0</v>
      </c>
      <c r="G49" s="190">
        <f t="shared" ref="G49:G51" si="29">ROUND(F49*95%,0)</f>
        <v>0</v>
      </c>
      <c r="H49" s="190">
        <f t="shared" si="28"/>
        <v>0</v>
      </c>
      <c r="I49" s="32" t="s">
        <v>1774</v>
      </c>
      <c r="J49" s="111"/>
    </row>
    <row r="50" spans="1:10" s="323" customFormat="1" ht="18" hidden="1" customHeight="1">
      <c r="A50" s="122"/>
      <c r="B50" s="154" t="s">
        <v>1594</v>
      </c>
      <c r="C50" s="154" t="s">
        <v>878</v>
      </c>
      <c r="D50" s="604"/>
      <c r="E50" s="605">
        <f>3282/1000</f>
        <v>3.282</v>
      </c>
      <c r="F50" s="190">
        <f t="shared" si="27"/>
        <v>0</v>
      </c>
      <c r="G50" s="190">
        <f t="shared" si="29"/>
        <v>0</v>
      </c>
      <c r="H50" s="190">
        <f t="shared" si="28"/>
        <v>0</v>
      </c>
      <c r="I50" s="32" t="s">
        <v>1774</v>
      </c>
      <c r="J50" s="111"/>
    </row>
    <row r="51" spans="1:10" s="323" customFormat="1" hidden="1">
      <c r="A51" s="122"/>
      <c r="B51" s="154" t="s">
        <v>1595</v>
      </c>
      <c r="C51" s="154" t="s">
        <v>1596</v>
      </c>
      <c r="D51" s="604"/>
      <c r="E51" s="605">
        <f>150/1000</f>
        <v>0.15</v>
      </c>
      <c r="F51" s="190">
        <f>ROUND(D51*E51,0)</f>
        <v>0</v>
      </c>
      <c r="G51" s="190">
        <f t="shared" si="29"/>
        <v>0</v>
      </c>
      <c r="H51" s="190">
        <f t="shared" si="28"/>
        <v>0</v>
      </c>
      <c r="I51" s="32" t="s">
        <v>1774</v>
      </c>
      <c r="J51" s="111"/>
    </row>
    <row r="52" spans="1:10" s="422" customFormat="1" ht="51.75" hidden="1" customHeight="1">
      <c r="A52" s="122"/>
      <c r="B52" s="154" t="s">
        <v>2317</v>
      </c>
      <c r="C52" s="122" t="s">
        <v>1591</v>
      </c>
      <c r="D52" s="129"/>
      <c r="E52" s="605">
        <v>5</v>
      </c>
      <c r="F52" s="190">
        <f>D52*E52</f>
        <v>0</v>
      </c>
      <c r="G52" s="190">
        <f>ROUND(F52*95%,0)</f>
        <v>0</v>
      </c>
      <c r="H52" s="190">
        <f>F52-G52</f>
        <v>0</v>
      </c>
      <c r="I52" s="32" t="s">
        <v>1774</v>
      </c>
    </row>
    <row r="53" spans="1:10" s="422" customFormat="1" ht="52.5" hidden="1" customHeight="1">
      <c r="A53" s="122"/>
      <c r="B53" s="154" t="s">
        <v>2318</v>
      </c>
      <c r="C53" s="122" t="s">
        <v>1167</v>
      </c>
      <c r="D53" s="129"/>
      <c r="E53" s="605">
        <v>9</v>
      </c>
      <c r="F53" s="190">
        <f t="shared" ref="F53:F55" si="30">D53*E53</f>
        <v>0</v>
      </c>
      <c r="G53" s="190">
        <f t="shared" ref="G53:G55" si="31">ROUND(F53*95%,0)</f>
        <v>0</v>
      </c>
      <c r="H53" s="190">
        <f t="shared" ref="H53:H55" si="32">F53-G53</f>
        <v>0</v>
      </c>
      <c r="I53" s="32" t="s">
        <v>1774</v>
      </c>
    </row>
    <row r="54" spans="1:10" s="422" customFormat="1" ht="26" hidden="1">
      <c r="A54" s="122"/>
      <c r="B54" s="154" t="s">
        <v>2285</v>
      </c>
      <c r="C54" s="122" t="s">
        <v>2286</v>
      </c>
      <c r="D54" s="129"/>
      <c r="E54" s="605">
        <v>0.04</v>
      </c>
      <c r="F54" s="190">
        <f t="shared" si="30"/>
        <v>0</v>
      </c>
      <c r="G54" s="190">
        <f t="shared" si="31"/>
        <v>0</v>
      </c>
      <c r="H54" s="190">
        <f t="shared" si="32"/>
        <v>0</v>
      </c>
      <c r="I54" s="32" t="s">
        <v>1774</v>
      </c>
    </row>
    <row r="55" spans="1:10" s="422" customFormat="1" ht="26" hidden="1">
      <c r="A55" s="122"/>
      <c r="B55" s="154" t="s">
        <v>2287</v>
      </c>
      <c r="C55" s="122" t="s">
        <v>2286</v>
      </c>
      <c r="D55" s="129"/>
      <c r="E55" s="605">
        <v>0.01</v>
      </c>
      <c r="F55" s="190">
        <f t="shared" si="30"/>
        <v>0</v>
      </c>
      <c r="G55" s="190">
        <f t="shared" si="31"/>
        <v>0</v>
      </c>
      <c r="H55" s="190">
        <f t="shared" si="32"/>
        <v>0</v>
      </c>
      <c r="I55" s="32" t="s">
        <v>1774</v>
      </c>
    </row>
    <row r="56" spans="1:10" s="30" customFormat="1" ht="51" customHeight="1">
      <c r="A56" s="18" t="s">
        <v>742</v>
      </c>
      <c r="B56" s="638" t="s">
        <v>1304</v>
      </c>
      <c r="C56" s="18" t="s">
        <v>1580</v>
      </c>
      <c r="D56" s="56">
        <v>9</v>
      </c>
      <c r="E56" s="53">
        <v>28</v>
      </c>
      <c r="F56" s="44">
        <f>D56*E56</f>
        <v>252</v>
      </c>
      <c r="G56" s="44">
        <f>ROUND(F56*95%,0)</f>
        <v>239</v>
      </c>
      <c r="H56" s="265">
        <f>F56-G56</f>
        <v>13</v>
      </c>
      <c r="I56" s="781"/>
      <c r="J56" s="181">
        <f>265-F56</f>
        <v>13</v>
      </c>
    </row>
    <row r="57" spans="1:10" s="35" customFormat="1" ht="51" customHeight="1">
      <c r="A57" s="18" t="s">
        <v>742</v>
      </c>
      <c r="B57" s="638" t="s">
        <v>2069</v>
      </c>
      <c r="C57" s="18" t="s">
        <v>1034</v>
      </c>
      <c r="D57" s="56">
        <v>2</v>
      </c>
      <c r="E57" s="53">
        <v>50</v>
      </c>
      <c r="F57" s="44">
        <f>ROUND(D57*E57,0)</f>
        <v>100</v>
      </c>
      <c r="G57" s="44">
        <f>ROUND(F57*95%,0)</f>
        <v>95</v>
      </c>
      <c r="H57" s="265">
        <f>F57-G57</f>
        <v>5</v>
      </c>
      <c r="I57" s="894"/>
    </row>
    <row r="58" spans="1:10" s="164" customFormat="1" ht="26" hidden="1">
      <c r="A58" s="122" t="s">
        <v>742</v>
      </c>
      <c r="B58" s="154" t="s">
        <v>1305</v>
      </c>
      <c r="C58" s="122" t="s">
        <v>903</v>
      </c>
      <c r="D58" s="604"/>
      <c r="E58" s="605">
        <v>7</v>
      </c>
      <c r="F58" s="190">
        <f>ROUND(D58*E58,0)</f>
        <v>0</v>
      </c>
      <c r="G58" s="190">
        <f>ROUND(F58*95%,0)</f>
        <v>0</v>
      </c>
      <c r="H58" s="190">
        <f t="shared" si="28"/>
        <v>0</v>
      </c>
      <c r="I58" s="32" t="s">
        <v>1774</v>
      </c>
    </row>
    <row r="59" spans="1:10" ht="26">
      <c r="A59" s="18" t="s">
        <v>742</v>
      </c>
      <c r="B59" s="638" t="s">
        <v>1306</v>
      </c>
      <c r="C59" s="18" t="s">
        <v>1028</v>
      </c>
      <c r="D59" s="56">
        <v>16</v>
      </c>
      <c r="E59" s="53">
        <v>6</v>
      </c>
      <c r="F59" s="44">
        <f>ROUND(D59*E59,0)</f>
        <v>96</v>
      </c>
      <c r="G59" s="44">
        <f>ROUND(F59*95%,0)-2+1</f>
        <v>90</v>
      </c>
      <c r="H59" s="265">
        <f t="shared" si="28"/>
        <v>6</v>
      </c>
      <c r="I59" s="32"/>
    </row>
    <row r="60" spans="1:10" ht="18" customHeight="1">
      <c r="A60" s="26" t="s">
        <v>12</v>
      </c>
      <c r="B60" s="55" t="s">
        <v>23</v>
      </c>
      <c r="C60" s="26"/>
      <c r="D60" s="34"/>
      <c r="E60" s="741"/>
      <c r="F60" s="21">
        <f>+F61+F68+F70+F71+F72</f>
        <v>839</v>
      </c>
      <c r="G60" s="21">
        <f>+G61+G68+G70+G71+G72</f>
        <v>798</v>
      </c>
      <c r="H60" s="264">
        <f>+H61+H68+H70+H71+H72</f>
        <v>41</v>
      </c>
      <c r="I60" s="32"/>
    </row>
    <row r="61" spans="1:10" s="323" customFormat="1" hidden="1">
      <c r="A61" s="122" t="s">
        <v>742</v>
      </c>
      <c r="B61" s="154" t="s">
        <v>1303</v>
      </c>
      <c r="C61" s="122"/>
      <c r="D61" s="604"/>
      <c r="E61" s="605"/>
      <c r="F61" s="190">
        <f>SUM(F62:F67)</f>
        <v>0</v>
      </c>
      <c r="G61" s="190"/>
      <c r="H61" s="190"/>
      <c r="I61" s="32" t="s">
        <v>1774</v>
      </c>
      <c r="J61" s="111"/>
    </row>
    <row r="62" spans="1:10" s="422" customFormat="1" ht="53.25" hidden="1" customHeight="1">
      <c r="A62" s="122"/>
      <c r="B62" s="154" t="s">
        <v>1592</v>
      </c>
      <c r="C62" s="154" t="s">
        <v>878</v>
      </c>
      <c r="D62" s="604"/>
      <c r="E62" s="605">
        <v>50</v>
      </c>
      <c r="F62" s="190">
        <f t="shared" ref="F62:F65" si="33">ROUND(D62*E62,0)</f>
        <v>0</v>
      </c>
      <c r="G62" s="190">
        <f t="shared" ref="G62:G65" si="34">ROUND(F62*95%,0)</f>
        <v>0</v>
      </c>
      <c r="H62" s="190">
        <f t="shared" ref="H62:H65" si="35">F62-G62</f>
        <v>0</v>
      </c>
      <c r="I62" s="32" t="s">
        <v>1774</v>
      </c>
    </row>
    <row r="63" spans="1:10" s="323" customFormat="1" ht="18" hidden="1" customHeight="1">
      <c r="A63" s="122"/>
      <c r="B63" s="154" t="s">
        <v>1593</v>
      </c>
      <c r="C63" s="154" t="s">
        <v>878</v>
      </c>
      <c r="D63" s="604"/>
      <c r="E63" s="605">
        <v>5</v>
      </c>
      <c r="F63" s="190">
        <f t="shared" si="33"/>
        <v>0</v>
      </c>
      <c r="G63" s="190"/>
      <c r="H63" s="190"/>
      <c r="I63" s="32" t="s">
        <v>1774</v>
      </c>
      <c r="J63" s="111"/>
    </row>
    <row r="64" spans="1:10" s="422" customFormat="1" ht="51.75" hidden="1" customHeight="1">
      <c r="A64" s="122"/>
      <c r="B64" s="154" t="s">
        <v>1594</v>
      </c>
      <c r="C64" s="154" t="s">
        <v>878</v>
      </c>
      <c r="D64" s="604"/>
      <c r="E64" s="605">
        <f>3282/1000</f>
        <v>3.282</v>
      </c>
      <c r="F64" s="190">
        <f t="shared" si="33"/>
        <v>0</v>
      </c>
      <c r="G64" s="190"/>
      <c r="H64" s="190"/>
      <c r="I64" s="32" t="s">
        <v>1774</v>
      </c>
    </row>
    <row r="65" spans="1:10" s="164" customFormat="1" hidden="1">
      <c r="A65" s="122"/>
      <c r="B65" s="154" t="s">
        <v>1595</v>
      </c>
      <c r="C65" s="154" t="s">
        <v>1596</v>
      </c>
      <c r="D65" s="604"/>
      <c r="E65" s="605">
        <f>150/1000</f>
        <v>0.15</v>
      </c>
      <c r="F65" s="190">
        <f t="shared" si="33"/>
        <v>0</v>
      </c>
      <c r="G65" s="190">
        <f t="shared" si="34"/>
        <v>0</v>
      </c>
      <c r="H65" s="190">
        <f t="shared" si="35"/>
        <v>0</v>
      </c>
      <c r="I65" s="32" t="s">
        <v>1774</v>
      </c>
    </row>
    <row r="66" spans="1:10" s="422" customFormat="1" hidden="1">
      <c r="A66" s="122"/>
      <c r="B66" s="154" t="s">
        <v>2317</v>
      </c>
      <c r="C66" s="122" t="s">
        <v>1591</v>
      </c>
      <c r="D66" s="129"/>
      <c r="E66" s="605">
        <v>5</v>
      </c>
      <c r="F66" s="190">
        <f>D66*E66</f>
        <v>0</v>
      </c>
      <c r="G66" s="190">
        <f>ROUND(F66*95%,0)</f>
        <v>0</v>
      </c>
      <c r="H66" s="190">
        <f>F66-G66</f>
        <v>0</v>
      </c>
      <c r="I66" s="32" t="s">
        <v>1774</v>
      </c>
    </row>
    <row r="67" spans="1:10" s="327" customFormat="1" ht="18" hidden="1" customHeight="1">
      <c r="A67" s="122"/>
      <c r="B67" s="154" t="s">
        <v>2318</v>
      </c>
      <c r="C67" s="122" t="s">
        <v>1167</v>
      </c>
      <c r="D67" s="129"/>
      <c r="E67" s="605">
        <v>9</v>
      </c>
      <c r="F67" s="190">
        <f t="shared" ref="F67" si="36">D67*E67</f>
        <v>0</v>
      </c>
      <c r="G67" s="190"/>
      <c r="H67" s="190"/>
      <c r="I67" s="32" t="s">
        <v>1774</v>
      </c>
      <c r="J67" s="569">
        <f>163-F67</f>
        <v>163</v>
      </c>
    </row>
    <row r="68" spans="1:10" s="35" customFormat="1" ht="51" customHeight="1">
      <c r="A68" s="18" t="s">
        <v>742</v>
      </c>
      <c r="B68" s="638" t="s">
        <v>1304</v>
      </c>
      <c r="C68" s="18" t="s">
        <v>1580</v>
      </c>
      <c r="D68" s="56">
        <v>8</v>
      </c>
      <c r="E68" s="53">
        <v>30</v>
      </c>
      <c r="F68" s="44">
        <f>ROUND(D68*E68,0)</f>
        <v>240</v>
      </c>
      <c r="G68" s="44">
        <f>ROUND(F68*95%,0)</f>
        <v>228</v>
      </c>
      <c r="H68" s="265">
        <f>F68-G68</f>
        <v>12</v>
      </c>
      <c r="I68" s="894"/>
    </row>
    <row r="69" spans="1:10" s="164" customFormat="1" hidden="1">
      <c r="A69" s="122"/>
      <c r="B69" s="154" t="s">
        <v>1597</v>
      </c>
      <c r="C69" s="122"/>
      <c r="D69" s="604"/>
      <c r="E69" s="605">
        <v>30</v>
      </c>
      <c r="F69" s="190">
        <f>ROUND(D69*E69,0)</f>
        <v>0</v>
      </c>
      <c r="G69" s="190">
        <f>ROUND(F69*95%,0)</f>
        <v>0</v>
      </c>
      <c r="H69" s="190">
        <f t="shared" ref="H69:H70" si="37">F69-G69</f>
        <v>0</v>
      </c>
      <c r="I69" s="32" t="s">
        <v>1774</v>
      </c>
    </row>
    <row r="70" spans="1:10" ht="51" customHeight="1">
      <c r="A70" s="18" t="s">
        <v>742</v>
      </c>
      <c r="B70" s="638" t="s">
        <v>2069</v>
      </c>
      <c r="C70" s="18" t="s">
        <v>1034</v>
      </c>
      <c r="D70" s="56">
        <v>6</v>
      </c>
      <c r="E70" s="53">
        <v>50</v>
      </c>
      <c r="F70" s="44">
        <f>ROUND(D70*E70,0)</f>
        <v>300</v>
      </c>
      <c r="G70" s="44">
        <f>ROUND(F70*95%,0)</f>
        <v>285</v>
      </c>
      <c r="H70" s="265">
        <f t="shared" si="37"/>
        <v>15</v>
      </c>
      <c r="I70" s="32"/>
    </row>
    <row r="71" spans="1:10" s="323" customFormat="1" ht="18" hidden="1" customHeight="1">
      <c r="A71" s="122" t="s">
        <v>742</v>
      </c>
      <c r="B71" s="154" t="s">
        <v>1305</v>
      </c>
      <c r="C71" s="122" t="s">
        <v>903</v>
      </c>
      <c r="D71" s="604"/>
      <c r="E71" s="605">
        <v>10</v>
      </c>
      <c r="F71" s="190">
        <f t="shared" ref="F71" si="38">D71*E71</f>
        <v>0</v>
      </c>
      <c r="G71" s="190"/>
      <c r="H71" s="190"/>
      <c r="I71" s="32" t="s">
        <v>1774</v>
      </c>
      <c r="J71" s="111"/>
    </row>
    <row r="72" spans="1:10" ht="26">
      <c r="A72" s="18" t="s">
        <v>742</v>
      </c>
      <c r="B72" s="638" t="s">
        <v>1306</v>
      </c>
      <c r="C72" s="18" t="s">
        <v>1028</v>
      </c>
      <c r="D72" s="56">
        <v>16</v>
      </c>
      <c r="E72" s="53">
        <v>18.7</v>
      </c>
      <c r="F72" s="44">
        <f>ROUND(D72*E72,0)</f>
        <v>299</v>
      </c>
      <c r="G72" s="44">
        <f>ROUND(F72*95%,0)+1</f>
        <v>285</v>
      </c>
      <c r="H72" s="265">
        <f t="shared" ref="H72" si="39">F72-G72</f>
        <v>14</v>
      </c>
      <c r="I72" s="32"/>
    </row>
    <row r="73" spans="1:10" s="35" customFormat="1" ht="18" customHeight="1">
      <c r="A73" s="26" t="s">
        <v>14</v>
      </c>
      <c r="B73" s="55" t="s">
        <v>21</v>
      </c>
      <c r="C73" s="26"/>
      <c r="D73" s="34"/>
      <c r="E73" s="741"/>
      <c r="F73" s="21">
        <f>+F74+F81+F82+F83+F84</f>
        <v>509</v>
      </c>
      <c r="G73" s="21">
        <f t="shared" ref="G73:H73" si="40">+G74+G81+G82+G83+G84</f>
        <v>487</v>
      </c>
      <c r="H73" s="264">
        <f t="shared" si="40"/>
        <v>22</v>
      </c>
      <c r="I73" s="894"/>
    </row>
    <row r="74" spans="1:10" s="422" customFormat="1" ht="53.25" hidden="1" customHeight="1">
      <c r="A74" s="122" t="s">
        <v>742</v>
      </c>
      <c r="B74" s="154" t="s">
        <v>1303</v>
      </c>
      <c r="C74" s="122"/>
      <c r="D74" s="604"/>
      <c r="E74" s="605"/>
      <c r="F74" s="190">
        <f>SUM(F75:F80)</f>
        <v>0</v>
      </c>
      <c r="G74" s="190">
        <f t="shared" ref="G74:H74" si="41">SUM(G75:G80)</f>
        <v>0</v>
      </c>
      <c r="H74" s="190">
        <f t="shared" si="41"/>
        <v>0</v>
      </c>
      <c r="I74" s="32" t="s">
        <v>1774</v>
      </c>
    </row>
    <row r="75" spans="1:10" s="164" customFormat="1" ht="39" hidden="1">
      <c r="A75" s="122"/>
      <c r="B75" s="154" t="s">
        <v>1592</v>
      </c>
      <c r="C75" s="154" t="s">
        <v>878</v>
      </c>
      <c r="D75" s="604"/>
      <c r="E75" s="605">
        <v>50</v>
      </c>
      <c r="F75" s="190">
        <f t="shared" ref="F75:F78" si="42">ROUND(D75*E75,0)</f>
        <v>0</v>
      </c>
      <c r="G75" s="190">
        <f t="shared" ref="G75:G77" si="43">ROUND(F75*95%,0)</f>
        <v>0</v>
      </c>
      <c r="H75" s="190">
        <f t="shared" ref="H75:H82" si="44">F75-G75</f>
        <v>0</v>
      </c>
      <c r="I75" s="32" t="s">
        <v>1774</v>
      </c>
    </row>
    <row r="76" spans="1:10" s="422" customFormat="1" ht="26" hidden="1">
      <c r="A76" s="122"/>
      <c r="B76" s="154" t="s">
        <v>1593</v>
      </c>
      <c r="C76" s="154" t="s">
        <v>878</v>
      </c>
      <c r="D76" s="604"/>
      <c r="E76" s="605">
        <v>5</v>
      </c>
      <c r="F76" s="190">
        <f t="shared" si="42"/>
        <v>0</v>
      </c>
      <c r="G76" s="190"/>
      <c r="H76" s="190"/>
      <c r="I76" s="32" t="s">
        <v>1774</v>
      </c>
    </row>
    <row r="77" spans="1:10" s="327" customFormat="1" ht="18" hidden="1" customHeight="1">
      <c r="A77" s="122"/>
      <c r="B77" s="154" t="s">
        <v>1594</v>
      </c>
      <c r="C77" s="154" t="s">
        <v>878</v>
      </c>
      <c r="D77" s="604"/>
      <c r="E77" s="605">
        <f>3282/1000</f>
        <v>3.282</v>
      </c>
      <c r="F77" s="190">
        <f t="shared" si="42"/>
        <v>0</v>
      </c>
      <c r="G77" s="190">
        <f t="shared" si="43"/>
        <v>0</v>
      </c>
      <c r="H77" s="190">
        <f t="shared" si="44"/>
        <v>0</v>
      </c>
      <c r="I77" s="32" t="s">
        <v>1774</v>
      </c>
      <c r="J77" s="569">
        <f>416-F77</f>
        <v>416</v>
      </c>
    </row>
    <row r="78" spans="1:10" s="422" customFormat="1" ht="18" hidden="1" customHeight="1">
      <c r="A78" s="122"/>
      <c r="B78" s="154" t="s">
        <v>1595</v>
      </c>
      <c r="C78" s="154" t="s">
        <v>1596</v>
      </c>
      <c r="D78" s="604"/>
      <c r="E78" s="605">
        <f>150/1000</f>
        <v>0.15</v>
      </c>
      <c r="F78" s="190">
        <f t="shared" si="42"/>
        <v>0</v>
      </c>
      <c r="G78" s="190"/>
      <c r="H78" s="190"/>
      <c r="I78" s="32" t="s">
        <v>1774</v>
      </c>
    </row>
    <row r="79" spans="1:10" s="323" customFormat="1" hidden="1">
      <c r="A79" s="122"/>
      <c r="B79" s="154" t="s">
        <v>2317</v>
      </c>
      <c r="C79" s="122" t="s">
        <v>1591</v>
      </c>
      <c r="D79" s="129"/>
      <c r="E79" s="605">
        <v>5</v>
      </c>
      <c r="F79" s="190">
        <f>D79*E79</f>
        <v>0</v>
      </c>
      <c r="G79" s="190">
        <f>ROUND(F79*95%,0)</f>
        <v>0</v>
      </c>
      <c r="H79" s="190">
        <f>F79-G79</f>
        <v>0</v>
      </c>
      <c r="I79" s="32" t="s">
        <v>1774</v>
      </c>
      <c r="J79" s="111"/>
    </row>
    <row r="80" spans="1:10" s="323" customFormat="1" hidden="1">
      <c r="A80" s="122"/>
      <c r="B80" s="154" t="s">
        <v>2318</v>
      </c>
      <c r="C80" s="122" t="s">
        <v>1167</v>
      </c>
      <c r="D80" s="129"/>
      <c r="E80" s="605">
        <v>9</v>
      </c>
      <c r="F80" s="190">
        <f t="shared" ref="F80" si="45">D80*E80</f>
        <v>0</v>
      </c>
      <c r="G80" s="190"/>
      <c r="H80" s="190"/>
      <c r="I80" s="32" t="s">
        <v>1774</v>
      </c>
      <c r="J80" s="111"/>
    </row>
    <row r="81" spans="1:9" ht="51" customHeight="1">
      <c r="A81" s="18" t="s">
        <v>742</v>
      </c>
      <c r="B81" s="638" t="s">
        <v>1304</v>
      </c>
      <c r="C81" s="18" t="s">
        <v>1580</v>
      </c>
      <c r="D81" s="56">
        <f>8-6</f>
        <v>2</v>
      </c>
      <c r="E81" s="53">
        <v>30</v>
      </c>
      <c r="F81" s="44">
        <f>ROUND(D81*E81,0)</f>
        <v>60</v>
      </c>
      <c r="G81" s="44">
        <f>ROUND(F81*95%,0)</f>
        <v>57</v>
      </c>
      <c r="H81" s="265">
        <f t="shared" si="44"/>
        <v>3</v>
      </c>
      <c r="I81" s="32"/>
    </row>
    <row r="82" spans="1:9" ht="51" customHeight="1">
      <c r="A82" s="18" t="s">
        <v>742</v>
      </c>
      <c r="B82" s="638" t="s">
        <v>2069</v>
      </c>
      <c r="C82" s="18" t="s">
        <v>1034</v>
      </c>
      <c r="D82" s="56">
        <f>4-1</f>
        <v>3</v>
      </c>
      <c r="E82" s="53">
        <v>50</v>
      </c>
      <c r="F82" s="44">
        <f>ROUND(D82*E82,0)</f>
        <v>150</v>
      </c>
      <c r="G82" s="44">
        <f>ROUND(F82*95%,0)</f>
        <v>143</v>
      </c>
      <c r="H82" s="265">
        <f t="shared" si="44"/>
        <v>7</v>
      </c>
      <c r="I82" s="32"/>
    </row>
    <row r="83" spans="1:9" s="164" customFormat="1" ht="26" hidden="1">
      <c r="A83" s="122" t="s">
        <v>742</v>
      </c>
      <c r="B83" s="154" t="s">
        <v>1305</v>
      </c>
      <c r="C83" s="122" t="s">
        <v>903</v>
      </c>
      <c r="D83" s="604"/>
      <c r="E83" s="605">
        <v>10</v>
      </c>
      <c r="F83" s="190">
        <f t="shared" ref="F83" si="46">D83*E83</f>
        <v>0</v>
      </c>
      <c r="G83" s="190"/>
      <c r="H83" s="190"/>
      <c r="I83" s="32" t="s">
        <v>1774</v>
      </c>
    </row>
    <row r="84" spans="1:9" ht="26">
      <c r="A84" s="18" t="s">
        <v>742</v>
      </c>
      <c r="B84" s="638" t="s">
        <v>1306</v>
      </c>
      <c r="C84" s="18" t="s">
        <v>1028</v>
      </c>
      <c r="D84" s="56">
        <v>16</v>
      </c>
      <c r="E84" s="53">
        <v>18.7</v>
      </c>
      <c r="F84" s="44">
        <f>ROUND(D84*E84,0)</f>
        <v>299</v>
      </c>
      <c r="G84" s="44">
        <f>ROUND(F84*95%,0)+4-1</f>
        <v>287</v>
      </c>
      <c r="H84" s="265">
        <f t="shared" ref="H84" si="47">F84-G84</f>
        <v>12</v>
      </c>
      <c r="I84" s="32"/>
    </row>
    <row r="85" spans="1:9" ht="18" customHeight="1">
      <c r="A85" s="26" t="s">
        <v>16</v>
      </c>
      <c r="B85" s="55" t="s">
        <v>19</v>
      </c>
      <c r="C85" s="26"/>
      <c r="D85" s="34"/>
      <c r="E85" s="741"/>
      <c r="F85" s="21">
        <f>+F86+F93+F94+F95+F96</f>
        <v>1314</v>
      </c>
      <c r="G85" s="21">
        <f t="shared" ref="G85:H85" si="48">+G86+G93+G94+G95+G96</f>
        <v>1247</v>
      </c>
      <c r="H85" s="264">
        <f t="shared" si="48"/>
        <v>67</v>
      </c>
      <c r="I85" s="32"/>
    </row>
    <row r="86" spans="1:9" s="164" customFormat="1" hidden="1">
      <c r="A86" s="122" t="s">
        <v>742</v>
      </c>
      <c r="B86" s="154" t="s">
        <v>1303</v>
      </c>
      <c r="C86" s="122"/>
      <c r="D86" s="604"/>
      <c r="E86" s="605"/>
      <c r="F86" s="190">
        <f>SUM(F87:F92)</f>
        <v>0</v>
      </c>
      <c r="G86" s="190">
        <f t="shared" ref="G86:H86" si="49">SUM(G87:G92)</f>
        <v>0</v>
      </c>
      <c r="H86" s="190">
        <f t="shared" si="49"/>
        <v>0</v>
      </c>
      <c r="I86" s="32" t="s">
        <v>1774</v>
      </c>
    </row>
    <row r="87" spans="1:9" s="164" customFormat="1" ht="39" hidden="1">
      <c r="A87" s="122"/>
      <c r="B87" s="154" t="s">
        <v>1592</v>
      </c>
      <c r="C87" s="154" t="s">
        <v>878</v>
      </c>
      <c r="D87" s="604"/>
      <c r="E87" s="605">
        <v>50</v>
      </c>
      <c r="F87" s="190">
        <f t="shared" ref="F87:F90" si="50">ROUND(D87*E87,0)</f>
        <v>0</v>
      </c>
      <c r="G87" s="190">
        <f t="shared" ref="G87:G88" si="51">ROUND(F87*95%,0)</f>
        <v>0</v>
      </c>
      <c r="H87" s="190">
        <f t="shared" ref="H87:H90" si="52">F87-G87</f>
        <v>0</v>
      </c>
      <c r="I87" s="32" t="s">
        <v>1774</v>
      </c>
    </row>
    <row r="88" spans="1:9" s="164" customFormat="1" ht="26" hidden="1">
      <c r="A88" s="122"/>
      <c r="B88" s="154" t="s">
        <v>1593</v>
      </c>
      <c r="C88" s="154" t="s">
        <v>878</v>
      </c>
      <c r="D88" s="604"/>
      <c r="E88" s="605">
        <v>5</v>
      </c>
      <c r="F88" s="190">
        <f t="shared" si="50"/>
        <v>0</v>
      </c>
      <c r="G88" s="190">
        <f t="shared" si="51"/>
        <v>0</v>
      </c>
      <c r="H88" s="190">
        <f t="shared" si="52"/>
        <v>0</v>
      </c>
      <c r="I88" s="32" t="s">
        <v>1774</v>
      </c>
    </row>
    <row r="89" spans="1:9" s="164" customFormat="1" hidden="1">
      <c r="A89" s="122"/>
      <c r="B89" s="154" t="s">
        <v>1594</v>
      </c>
      <c r="C89" s="154" t="s">
        <v>878</v>
      </c>
      <c r="D89" s="604"/>
      <c r="E89" s="605">
        <f>3282/1000</f>
        <v>3.282</v>
      </c>
      <c r="F89" s="190">
        <f t="shared" si="50"/>
        <v>0</v>
      </c>
      <c r="G89" s="190">
        <f>ROUND(F89*95%,0)</f>
        <v>0</v>
      </c>
      <c r="H89" s="190">
        <f t="shared" si="52"/>
        <v>0</v>
      </c>
      <c r="I89" s="32" t="s">
        <v>1774</v>
      </c>
    </row>
    <row r="90" spans="1:9" s="164" customFormat="1" hidden="1">
      <c r="A90" s="122"/>
      <c r="B90" s="154" t="s">
        <v>1595</v>
      </c>
      <c r="C90" s="154" t="s">
        <v>1596</v>
      </c>
      <c r="D90" s="604"/>
      <c r="E90" s="605">
        <f>150/1000</f>
        <v>0.15</v>
      </c>
      <c r="F90" s="190">
        <f t="shared" si="50"/>
        <v>0</v>
      </c>
      <c r="G90" s="190">
        <f>ROUND(F90*95%,0)</f>
        <v>0</v>
      </c>
      <c r="H90" s="190">
        <f t="shared" si="52"/>
        <v>0</v>
      </c>
      <c r="I90" s="32" t="s">
        <v>1774</v>
      </c>
    </row>
    <row r="91" spans="1:9" s="164" customFormat="1" hidden="1">
      <c r="A91" s="122"/>
      <c r="B91" s="154" t="s">
        <v>2317</v>
      </c>
      <c r="C91" s="122" t="s">
        <v>1591</v>
      </c>
      <c r="D91" s="129"/>
      <c r="E91" s="605">
        <v>5</v>
      </c>
      <c r="F91" s="190">
        <f>D91*E91</f>
        <v>0</v>
      </c>
      <c r="G91" s="190">
        <f>ROUND(F91*95%,0)</f>
        <v>0</v>
      </c>
      <c r="H91" s="190">
        <f>F91-G91</f>
        <v>0</v>
      </c>
      <c r="I91" s="32" t="s">
        <v>1774</v>
      </c>
    </row>
    <row r="92" spans="1:9" s="164" customFormat="1" hidden="1">
      <c r="A92" s="122"/>
      <c r="B92" s="154" t="s">
        <v>2318</v>
      </c>
      <c r="C92" s="122" t="s">
        <v>1167</v>
      </c>
      <c r="D92" s="129"/>
      <c r="E92" s="605">
        <v>9</v>
      </c>
      <c r="F92" s="190">
        <f t="shared" ref="F92:F95" si="53">D92*E92</f>
        <v>0</v>
      </c>
      <c r="G92" s="190"/>
      <c r="H92" s="190"/>
      <c r="I92" s="32" t="s">
        <v>1774</v>
      </c>
    </row>
    <row r="93" spans="1:9" ht="51" customHeight="1">
      <c r="A93" s="18" t="s">
        <v>742</v>
      </c>
      <c r="B93" s="638" t="s">
        <v>1304</v>
      </c>
      <c r="C93" s="18" t="s">
        <v>1580</v>
      </c>
      <c r="D93" s="56">
        <f>8+4</f>
        <v>12</v>
      </c>
      <c r="E93" s="53">
        <v>30</v>
      </c>
      <c r="F93" s="44">
        <f t="shared" si="53"/>
        <v>360</v>
      </c>
      <c r="G93" s="44">
        <f t="shared" ref="G93:G94" si="54">ROUND(F93*95%,0)</f>
        <v>342</v>
      </c>
      <c r="H93" s="265">
        <f t="shared" ref="H93:H94" si="55">F93-G93</f>
        <v>18</v>
      </c>
      <c r="I93" s="32"/>
    </row>
    <row r="94" spans="1:9" ht="51" customHeight="1">
      <c r="A94" s="18" t="s">
        <v>742</v>
      </c>
      <c r="B94" s="638" t="s">
        <v>2069</v>
      </c>
      <c r="C94" s="18" t="s">
        <v>1580</v>
      </c>
      <c r="D94" s="56">
        <f>11+2</f>
        <v>13</v>
      </c>
      <c r="E94" s="53">
        <v>50</v>
      </c>
      <c r="F94" s="44">
        <f t="shared" si="53"/>
        <v>650</v>
      </c>
      <c r="G94" s="44">
        <f t="shared" si="54"/>
        <v>618</v>
      </c>
      <c r="H94" s="265">
        <f t="shared" si="55"/>
        <v>32</v>
      </c>
      <c r="I94" s="32"/>
    </row>
    <row r="95" spans="1:9" ht="26">
      <c r="A95" s="18" t="s">
        <v>742</v>
      </c>
      <c r="B95" s="638" t="s">
        <v>1305</v>
      </c>
      <c r="C95" s="18" t="s">
        <v>903</v>
      </c>
      <c r="D95" s="56"/>
      <c r="E95" s="53">
        <v>10</v>
      </c>
      <c r="F95" s="44">
        <f t="shared" si="53"/>
        <v>0</v>
      </c>
      <c r="G95" s="44"/>
      <c r="H95" s="265"/>
      <c r="I95" s="32"/>
    </row>
    <row r="96" spans="1:9" ht="26">
      <c r="A96" s="18" t="s">
        <v>742</v>
      </c>
      <c r="B96" s="638" t="s">
        <v>1306</v>
      </c>
      <c r="C96" s="18" t="s">
        <v>1028</v>
      </c>
      <c r="D96" s="56">
        <v>16</v>
      </c>
      <c r="E96" s="53">
        <v>19</v>
      </c>
      <c r="F96" s="44">
        <f>ROUND(D96*E96,0)</f>
        <v>304</v>
      </c>
      <c r="G96" s="44">
        <f>ROUND(F96*95%,0)-2</f>
        <v>287</v>
      </c>
      <c r="H96" s="265">
        <f t="shared" ref="H96" si="56">F96-G96</f>
        <v>17</v>
      </c>
      <c r="I96" s="32"/>
    </row>
    <row r="97" spans="1:9" ht="18" customHeight="1">
      <c r="A97" s="26" t="s">
        <v>18</v>
      </c>
      <c r="B97" s="55" t="s">
        <v>17</v>
      </c>
      <c r="C97" s="26"/>
      <c r="D97" s="34"/>
      <c r="E97" s="741"/>
      <c r="F97" s="21">
        <f>+F98+F107+F108+F109+F111</f>
        <v>2944</v>
      </c>
      <c r="G97" s="21">
        <f>+G98+G107+G108+G109+G111</f>
        <v>2798</v>
      </c>
      <c r="H97" s="264">
        <f>+H98+H107+H108+H109+H111</f>
        <v>146</v>
      </c>
      <c r="I97" s="32"/>
    </row>
    <row r="98" spans="1:9" s="164" customFormat="1" hidden="1">
      <c r="A98" s="122" t="s">
        <v>742</v>
      </c>
      <c r="B98" s="154" t="s">
        <v>1303</v>
      </c>
      <c r="C98" s="122"/>
      <c r="D98" s="604"/>
      <c r="E98" s="605"/>
      <c r="F98" s="190">
        <f>SUM(F99:F106)</f>
        <v>0</v>
      </c>
      <c r="G98" s="190">
        <f t="shared" ref="G98:H98" si="57">SUM(G99:G106)</f>
        <v>0</v>
      </c>
      <c r="H98" s="190">
        <f t="shared" si="57"/>
        <v>0</v>
      </c>
      <c r="I98" s="32" t="s">
        <v>1774</v>
      </c>
    </row>
    <row r="99" spans="1:9" s="164" customFormat="1" ht="39" hidden="1">
      <c r="A99" s="122"/>
      <c r="B99" s="154" t="s">
        <v>1592</v>
      </c>
      <c r="C99" s="154" t="s">
        <v>878</v>
      </c>
      <c r="D99" s="604"/>
      <c r="E99" s="605">
        <v>50</v>
      </c>
      <c r="F99" s="190">
        <f t="shared" ref="F99:F102" si="58">ROUND(D99*E99,0)</f>
        <v>0</v>
      </c>
      <c r="G99" s="190">
        <f t="shared" ref="G99:G102" si="59">ROUND(F99*95%,0)</f>
        <v>0</v>
      </c>
      <c r="H99" s="190">
        <f t="shared" ref="H99:H102" si="60">F99-G99</f>
        <v>0</v>
      </c>
      <c r="I99" s="32" t="s">
        <v>1774</v>
      </c>
    </row>
    <row r="100" spans="1:9" s="164" customFormat="1" ht="26" hidden="1">
      <c r="A100" s="122"/>
      <c r="B100" s="154" t="s">
        <v>1593</v>
      </c>
      <c r="C100" s="154" t="s">
        <v>878</v>
      </c>
      <c r="D100" s="604"/>
      <c r="E100" s="605">
        <v>5</v>
      </c>
      <c r="F100" s="190">
        <f t="shared" si="58"/>
        <v>0</v>
      </c>
      <c r="G100" s="190"/>
      <c r="H100" s="190"/>
      <c r="I100" s="32" t="s">
        <v>1774</v>
      </c>
    </row>
    <row r="101" spans="1:9" s="164" customFormat="1" hidden="1">
      <c r="A101" s="122"/>
      <c r="B101" s="154" t="s">
        <v>1594</v>
      </c>
      <c r="C101" s="154" t="s">
        <v>878</v>
      </c>
      <c r="D101" s="604"/>
      <c r="E101" s="605">
        <f>3282/1000</f>
        <v>3.282</v>
      </c>
      <c r="F101" s="190">
        <f t="shared" si="58"/>
        <v>0</v>
      </c>
      <c r="G101" s="190">
        <f t="shared" si="59"/>
        <v>0</v>
      </c>
      <c r="H101" s="190">
        <f t="shared" si="60"/>
        <v>0</v>
      </c>
      <c r="I101" s="32" t="s">
        <v>1774</v>
      </c>
    </row>
    <row r="102" spans="1:9" s="164" customFormat="1" hidden="1">
      <c r="A102" s="122"/>
      <c r="B102" s="154" t="s">
        <v>1595</v>
      </c>
      <c r="C102" s="154" t="s">
        <v>1596</v>
      </c>
      <c r="D102" s="604"/>
      <c r="E102" s="605">
        <f>150/1000</f>
        <v>0.15</v>
      </c>
      <c r="F102" s="190">
        <f t="shared" si="58"/>
        <v>0</v>
      </c>
      <c r="G102" s="190">
        <f t="shared" si="59"/>
        <v>0</v>
      </c>
      <c r="H102" s="190">
        <f t="shared" si="60"/>
        <v>0</v>
      </c>
      <c r="I102" s="32" t="s">
        <v>1774</v>
      </c>
    </row>
    <row r="103" spans="1:9" s="164" customFormat="1" hidden="1">
      <c r="A103" s="122"/>
      <c r="B103" s="154" t="s">
        <v>2317</v>
      </c>
      <c r="C103" s="122" t="s">
        <v>1591</v>
      </c>
      <c r="D103" s="129"/>
      <c r="E103" s="605">
        <v>5</v>
      </c>
      <c r="F103" s="190">
        <f>D103*E103</f>
        <v>0</v>
      </c>
      <c r="G103" s="190">
        <f>ROUND(F103*95%,0)</f>
        <v>0</v>
      </c>
      <c r="H103" s="190">
        <f>F103-G103</f>
        <v>0</v>
      </c>
      <c r="I103" s="32" t="s">
        <v>1774</v>
      </c>
    </row>
    <row r="104" spans="1:9" s="164" customFormat="1" hidden="1">
      <c r="A104" s="122"/>
      <c r="B104" s="154" t="s">
        <v>2318</v>
      </c>
      <c r="C104" s="122" t="s">
        <v>1167</v>
      </c>
      <c r="D104" s="129"/>
      <c r="E104" s="605">
        <v>9</v>
      </c>
      <c r="F104" s="190">
        <f t="shared" ref="F104:F106" si="61">D104*E104</f>
        <v>0</v>
      </c>
      <c r="G104" s="190"/>
      <c r="H104" s="190"/>
      <c r="I104" s="32" t="s">
        <v>1774</v>
      </c>
    </row>
    <row r="105" spans="1:9" s="164" customFormat="1" ht="26" hidden="1">
      <c r="A105" s="122"/>
      <c r="B105" s="154" t="s">
        <v>2285</v>
      </c>
      <c r="C105" s="122" t="s">
        <v>2286</v>
      </c>
      <c r="D105" s="129"/>
      <c r="E105" s="605">
        <v>0.04</v>
      </c>
      <c r="F105" s="190">
        <f t="shared" si="61"/>
        <v>0</v>
      </c>
      <c r="G105" s="190">
        <f t="shared" ref="G105:G106" si="62">ROUND(F105*95%,0)</f>
        <v>0</v>
      </c>
      <c r="H105" s="190">
        <f t="shared" ref="H105:H106" si="63">F105-G105</f>
        <v>0</v>
      </c>
      <c r="I105" s="32" t="s">
        <v>1774</v>
      </c>
    </row>
    <row r="106" spans="1:9" s="164" customFormat="1" ht="26" hidden="1">
      <c r="A106" s="122"/>
      <c r="B106" s="154" t="s">
        <v>2287</v>
      </c>
      <c r="C106" s="122" t="s">
        <v>2286</v>
      </c>
      <c r="D106" s="129"/>
      <c r="E106" s="605">
        <v>0.01</v>
      </c>
      <c r="F106" s="190">
        <f t="shared" si="61"/>
        <v>0</v>
      </c>
      <c r="G106" s="190">
        <f t="shared" si="62"/>
        <v>0</v>
      </c>
      <c r="H106" s="190">
        <f t="shared" si="63"/>
        <v>0</v>
      </c>
      <c r="I106" s="32" t="s">
        <v>1774</v>
      </c>
    </row>
    <row r="107" spans="1:9" ht="51" customHeight="1">
      <c r="A107" s="18" t="s">
        <v>742</v>
      </c>
      <c r="B107" s="638" t="s">
        <v>1304</v>
      </c>
      <c r="C107" s="18" t="s">
        <v>1580</v>
      </c>
      <c r="D107" s="56">
        <f>8+7</f>
        <v>15</v>
      </c>
      <c r="E107" s="53">
        <v>30</v>
      </c>
      <c r="F107" s="44">
        <f>ROUND(D107*E107,0)</f>
        <v>450</v>
      </c>
      <c r="G107" s="44">
        <f>ROUND(F107*95%,0)</f>
        <v>428</v>
      </c>
      <c r="H107" s="265">
        <f>F107-G107</f>
        <v>22</v>
      </c>
      <c r="I107" s="32"/>
    </row>
    <row r="108" spans="1:9" ht="51" customHeight="1">
      <c r="A108" s="18" t="s">
        <v>742</v>
      </c>
      <c r="B108" s="638" t="s">
        <v>2069</v>
      </c>
      <c r="C108" s="18" t="s">
        <v>1580</v>
      </c>
      <c r="D108" s="56">
        <f>27+4</f>
        <v>31</v>
      </c>
      <c r="E108" s="53">
        <v>50</v>
      </c>
      <c r="F108" s="44">
        <f t="shared" ref="F108" si="64">D108*E108</f>
        <v>1550</v>
      </c>
      <c r="G108" s="44">
        <f>ROUND(F108*95%,0)</f>
        <v>1473</v>
      </c>
      <c r="H108" s="265">
        <f>F108-G108</f>
        <v>77</v>
      </c>
      <c r="I108" s="32"/>
    </row>
    <row r="109" spans="1:9" s="164" customFormat="1" ht="26" hidden="1">
      <c r="A109" s="122" t="s">
        <v>742</v>
      </c>
      <c r="B109" s="154" t="s">
        <v>1305</v>
      </c>
      <c r="C109" s="122"/>
      <c r="D109" s="604"/>
      <c r="E109" s="605">
        <v>20</v>
      </c>
      <c r="F109" s="190">
        <f>ROUND(D109*E109,0)</f>
        <v>0</v>
      </c>
      <c r="G109" s="190">
        <f>ROUND(F109*95%,0)</f>
        <v>0</v>
      </c>
      <c r="H109" s="190">
        <f t="shared" ref="H109" si="65">F109-G109</f>
        <v>0</v>
      </c>
      <c r="I109" s="32" t="s">
        <v>1774</v>
      </c>
    </row>
    <row r="110" spans="1:9" s="164" customFormat="1" hidden="1">
      <c r="A110" s="122"/>
      <c r="B110" s="154" t="s">
        <v>1598</v>
      </c>
      <c r="C110" s="148" t="s">
        <v>878</v>
      </c>
      <c r="D110" s="604"/>
      <c r="E110" s="605">
        <v>60</v>
      </c>
      <c r="F110" s="190">
        <f t="shared" ref="F110" si="66">E110*D110</f>
        <v>0</v>
      </c>
      <c r="G110" s="190">
        <f t="shared" ref="G110" si="67">F110/100*95</f>
        <v>0</v>
      </c>
      <c r="H110" s="190">
        <f t="shared" ref="H110" si="68">F110/100*5</f>
        <v>0</v>
      </c>
      <c r="I110" s="32" t="s">
        <v>1774</v>
      </c>
    </row>
    <row r="111" spans="1:9" ht="26">
      <c r="A111" s="18" t="s">
        <v>742</v>
      </c>
      <c r="B111" s="638" t="s">
        <v>1306</v>
      </c>
      <c r="C111" s="18" t="s">
        <v>1028</v>
      </c>
      <c r="D111" s="56">
        <v>16</v>
      </c>
      <c r="E111" s="53">
        <v>59</v>
      </c>
      <c r="F111" s="44">
        <f>ROUND(D111*E111,0)</f>
        <v>944</v>
      </c>
      <c r="G111" s="44">
        <f>ROUND(F111*95%,0)</f>
        <v>897</v>
      </c>
      <c r="H111" s="265">
        <f>F111-G111</f>
        <v>47</v>
      </c>
      <c r="I111" s="32"/>
    </row>
    <row r="112" spans="1:9" ht="18" customHeight="1">
      <c r="A112" s="26" t="s">
        <v>20</v>
      </c>
      <c r="B112" s="55" t="s">
        <v>15</v>
      </c>
      <c r="C112" s="26"/>
      <c r="D112" s="34"/>
      <c r="E112" s="741"/>
      <c r="F112" s="21">
        <f>+F113+F121+F122+F123+F124</f>
        <v>3216</v>
      </c>
      <c r="G112" s="21">
        <f t="shared" ref="G112:H112" si="69">+G113+G121+G122+G123+G124</f>
        <v>3055</v>
      </c>
      <c r="H112" s="264">
        <f t="shared" si="69"/>
        <v>161</v>
      </c>
      <c r="I112" s="32"/>
    </row>
    <row r="113" spans="1:9" s="164" customFormat="1" hidden="1">
      <c r="A113" s="122" t="s">
        <v>742</v>
      </c>
      <c r="B113" s="154" t="s">
        <v>1303</v>
      </c>
      <c r="C113" s="122"/>
      <c r="D113" s="604"/>
      <c r="E113" s="605"/>
      <c r="F113" s="190">
        <f>SUM(F114:F120)</f>
        <v>0</v>
      </c>
      <c r="G113" s="190">
        <f t="shared" ref="G113:H113" si="70">SUM(G114:G120)</f>
        <v>0</v>
      </c>
      <c r="H113" s="190">
        <f t="shared" si="70"/>
        <v>0</v>
      </c>
      <c r="I113" s="32" t="s">
        <v>1774</v>
      </c>
    </row>
    <row r="114" spans="1:9" s="164" customFormat="1" ht="39" hidden="1">
      <c r="A114" s="122"/>
      <c r="B114" s="154" t="s">
        <v>1592</v>
      </c>
      <c r="C114" s="154" t="s">
        <v>878</v>
      </c>
      <c r="D114" s="604"/>
      <c r="E114" s="605">
        <v>50</v>
      </c>
      <c r="F114" s="190">
        <f t="shared" ref="F114:F117" si="71">ROUND(D114*E114,0)</f>
        <v>0</v>
      </c>
      <c r="G114" s="190">
        <f t="shared" ref="G114:G117" si="72">ROUND(F114*95%,0)</f>
        <v>0</v>
      </c>
      <c r="H114" s="190">
        <f t="shared" ref="H114:H117" si="73">F114-G114</f>
        <v>0</v>
      </c>
      <c r="I114" s="32" t="s">
        <v>1774</v>
      </c>
    </row>
    <row r="115" spans="1:9" s="164" customFormat="1" ht="26" hidden="1">
      <c r="A115" s="122"/>
      <c r="B115" s="154" t="s">
        <v>1593</v>
      </c>
      <c r="C115" s="154" t="s">
        <v>878</v>
      </c>
      <c r="D115" s="604"/>
      <c r="E115" s="605">
        <v>5</v>
      </c>
      <c r="F115" s="190">
        <f t="shared" si="71"/>
        <v>0</v>
      </c>
      <c r="G115" s="190"/>
      <c r="H115" s="190"/>
      <c r="I115" s="32" t="s">
        <v>1774</v>
      </c>
    </row>
    <row r="116" spans="1:9" s="164" customFormat="1" hidden="1">
      <c r="A116" s="122"/>
      <c r="B116" s="154" t="s">
        <v>1594</v>
      </c>
      <c r="C116" s="154" t="s">
        <v>878</v>
      </c>
      <c r="D116" s="604"/>
      <c r="E116" s="605">
        <f>3282/1000</f>
        <v>3.282</v>
      </c>
      <c r="F116" s="190">
        <f t="shared" si="71"/>
        <v>0</v>
      </c>
      <c r="G116" s="190">
        <f t="shared" si="72"/>
        <v>0</v>
      </c>
      <c r="H116" s="190">
        <f t="shared" si="73"/>
        <v>0</v>
      </c>
      <c r="I116" s="32" t="s">
        <v>1774</v>
      </c>
    </row>
    <row r="117" spans="1:9" s="164" customFormat="1" hidden="1">
      <c r="A117" s="122"/>
      <c r="B117" s="154" t="s">
        <v>1595</v>
      </c>
      <c r="C117" s="154" t="s">
        <v>1596</v>
      </c>
      <c r="D117" s="604"/>
      <c r="E117" s="605">
        <f>150/1000</f>
        <v>0.15</v>
      </c>
      <c r="F117" s="190">
        <f t="shared" si="71"/>
        <v>0</v>
      </c>
      <c r="G117" s="190">
        <f t="shared" si="72"/>
        <v>0</v>
      </c>
      <c r="H117" s="190">
        <f t="shared" si="73"/>
        <v>0</v>
      </c>
      <c r="I117" s="32" t="s">
        <v>1774</v>
      </c>
    </row>
    <row r="118" spans="1:9" s="164" customFormat="1" hidden="1">
      <c r="A118" s="122"/>
      <c r="B118" s="154" t="s">
        <v>2317</v>
      </c>
      <c r="C118" s="122" t="s">
        <v>1591</v>
      </c>
      <c r="D118" s="129"/>
      <c r="E118" s="605">
        <v>5</v>
      </c>
      <c r="F118" s="190">
        <f>D118*E118</f>
        <v>0</v>
      </c>
      <c r="G118" s="190">
        <f>ROUND(F118*95%,0)</f>
        <v>0</v>
      </c>
      <c r="H118" s="190">
        <f>F118-G118</f>
        <v>0</v>
      </c>
      <c r="I118" s="32" t="s">
        <v>1774</v>
      </c>
    </row>
    <row r="119" spans="1:9" s="164" customFormat="1" hidden="1">
      <c r="A119" s="122"/>
      <c r="B119" s="154" t="s">
        <v>2318</v>
      </c>
      <c r="C119" s="122" t="s">
        <v>1167</v>
      </c>
      <c r="D119" s="129"/>
      <c r="E119" s="605">
        <v>9</v>
      </c>
      <c r="F119" s="190">
        <f t="shared" ref="F119:F120" si="74">D119*E119</f>
        <v>0</v>
      </c>
      <c r="G119" s="190"/>
      <c r="H119" s="190"/>
      <c r="I119" s="32" t="s">
        <v>1774</v>
      </c>
    </row>
    <row r="120" spans="1:9" s="164" customFormat="1" ht="26" hidden="1">
      <c r="A120" s="122"/>
      <c r="B120" s="154" t="s">
        <v>2285</v>
      </c>
      <c r="C120" s="122" t="s">
        <v>2286</v>
      </c>
      <c r="D120" s="129"/>
      <c r="E120" s="605">
        <v>0.04</v>
      </c>
      <c r="F120" s="190">
        <f t="shared" si="74"/>
        <v>0</v>
      </c>
      <c r="G120" s="190"/>
      <c r="H120" s="190"/>
      <c r="I120" s="32" t="s">
        <v>1774</v>
      </c>
    </row>
    <row r="121" spans="1:9" ht="51" customHeight="1">
      <c r="A121" s="18" t="s">
        <v>742</v>
      </c>
      <c r="B121" s="638" t="s">
        <v>1304</v>
      </c>
      <c r="C121" s="18" t="s">
        <v>1580</v>
      </c>
      <c r="D121" s="56">
        <f>8+10</f>
        <v>18</v>
      </c>
      <c r="E121" s="53">
        <v>30</v>
      </c>
      <c r="F121" s="44">
        <f t="shared" ref="F121:F123" si="75">E121*D121</f>
        <v>540</v>
      </c>
      <c r="G121" s="44">
        <f t="shared" ref="G121:G123" si="76">F121/100*95</f>
        <v>513</v>
      </c>
      <c r="H121" s="265">
        <f t="shared" ref="H121:H123" si="77">F121/100*5</f>
        <v>27</v>
      </c>
      <c r="I121" s="32"/>
    </row>
    <row r="122" spans="1:9" ht="51" customHeight="1">
      <c r="A122" s="18" t="s">
        <v>742</v>
      </c>
      <c r="B122" s="638" t="s">
        <v>2069</v>
      </c>
      <c r="C122" s="18" t="s">
        <v>1580</v>
      </c>
      <c r="D122" s="56">
        <f>27+7</f>
        <v>34</v>
      </c>
      <c r="E122" s="53">
        <v>50</v>
      </c>
      <c r="F122" s="44">
        <f t="shared" si="75"/>
        <v>1700</v>
      </c>
      <c r="G122" s="44">
        <f t="shared" si="76"/>
        <v>1615</v>
      </c>
      <c r="H122" s="265">
        <f t="shared" si="77"/>
        <v>85</v>
      </c>
      <c r="I122" s="32"/>
    </row>
    <row r="123" spans="1:9" s="164" customFormat="1" ht="26" hidden="1">
      <c r="A123" s="122" t="s">
        <v>742</v>
      </c>
      <c r="B123" s="154" t="s">
        <v>1305</v>
      </c>
      <c r="C123" s="122" t="s">
        <v>903</v>
      </c>
      <c r="D123" s="604"/>
      <c r="E123" s="605">
        <v>20</v>
      </c>
      <c r="F123" s="190">
        <f t="shared" si="75"/>
        <v>0</v>
      </c>
      <c r="G123" s="190">
        <f t="shared" si="76"/>
        <v>0</v>
      </c>
      <c r="H123" s="190">
        <f t="shared" si="77"/>
        <v>0</v>
      </c>
      <c r="I123" s="32" t="s">
        <v>1774</v>
      </c>
    </row>
    <row r="124" spans="1:9" ht="26">
      <c r="A124" s="18" t="s">
        <v>742</v>
      </c>
      <c r="B124" s="638" t="s">
        <v>1306</v>
      </c>
      <c r="C124" s="18" t="s">
        <v>1028</v>
      </c>
      <c r="D124" s="56">
        <v>16</v>
      </c>
      <c r="E124" s="53">
        <v>61</v>
      </c>
      <c r="F124" s="44">
        <f t="shared" ref="F124" si="78">ROUND(D124*E124,0)</f>
        <v>976</v>
      </c>
      <c r="G124" s="44">
        <f t="shared" ref="G124" si="79">ROUND(F124*95%,0)</f>
        <v>927</v>
      </c>
      <c r="H124" s="265">
        <f t="shared" ref="H124" si="80">F124-G124</f>
        <v>49</v>
      </c>
      <c r="I124" s="32"/>
    </row>
    <row r="125" spans="1:9" ht="18" customHeight="1">
      <c r="A125" s="26" t="s">
        <v>22</v>
      </c>
      <c r="B125" s="55" t="s">
        <v>13</v>
      </c>
      <c r="C125" s="26"/>
      <c r="D125" s="34"/>
      <c r="E125" s="741"/>
      <c r="F125" s="21">
        <f>+F126+F134+F135+F136+F137</f>
        <v>1687</v>
      </c>
      <c r="G125" s="21">
        <f t="shared" ref="G125:H125" si="81">+G126+G134+G135+G136+G137</f>
        <v>1601</v>
      </c>
      <c r="H125" s="264">
        <f t="shared" si="81"/>
        <v>86</v>
      </c>
      <c r="I125" s="32"/>
    </row>
    <row r="126" spans="1:9" s="164" customFormat="1" hidden="1">
      <c r="A126" s="122" t="s">
        <v>742</v>
      </c>
      <c r="B126" s="154" t="s">
        <v>1303</v>
      </c>
      <c r="C126" s="122"/>
      <c r="D126" s="604"/>
      <c r="E126" s="605"/>
      <c r="F126" s="190">
        <f>SUM(F127:F133)</f>
        <v>0</v>
      </c>
      <c r="G126" s="190"/>
      <c r="H126" s="190"/>
      <c r="I126" s="32" t="s">
        <v>1774</v>
      </c>
    </row>
    <row r="127" spans="1:9" s="164" customFormat="1" ht="39" hidden="1">
      <c r="A127" s="122"/>
      <c r="B127" s="154" t="s">
        <v>1592</v>
      </c>
      <c r="C127" s="154" t="s">
        <v>878</v>
      </c>
      <c r="D127" s="604"/>
      <c r="E127" s="605">
        <v>50</v>
      </c>
      <c r="F127" s="190">
        <f t="shared" ref="F127:F130" si="82">ROUND(D127*E127,0)</f>
        <v>0</v>
      </c>
      <c r="G127" s="190">
        <f t="shared" ref="G127:G129" si="83">ROUND(F127*95%,0)</f>
        <v>0</v>
      </c>
      <c r="H127" s="190">
        <f t="shared" ref="H127:H129" si="84">F127-G127</f>
        <v>0</v>
      </c>
      <c r="I127" s="32" t="s">
        <v>1774</v>
      </c>
    </row>
    <row r="128" spans="1:9" s="164" customFormat="1" ht="26" hidden="1">
      <c r="A128" s="122"/>
      <c r="B128" s="154" t="s">
        <v>1593</v>
      </c>
      <c r="C128" s="154" t="s">
        <v>878</v>
      </c>
      <c r="D128" s="604"/>
      <c r="E128" s="605">
        <v>5</v>
      </c>
      <c r="F128" s="190">
        <f t="shared" si="82"/>
        <v>0</v>
      </c>
      <c r="G128" s="190"/>
      <c r="H128" s="190"/>
      <c r="I128" s="32" t="s">
        <v>1774</v>
      </c>
    </row>
    <row r="129" spans="1:9" s="164" customFormat="1" hidden="1">
      <c r="A129" s="122"/>
      <c r="B129" s="154" t="s">
        <v>1594</v>
      </c>
      <c r="C129" s="154" t="s">
        <v>878</v>
      </c>
      <c r="D129" s="604"/>
      <c r="E129" s="605">
        <f>3282/1000</f>
        <v>3.282</v>
      </c>
      <c r="F129" s="190">
        <f t="shared" si="82"/>
        <v>0</v>
      </c>
      <c r="G129" s="190">
        <f t="shared" si="83"/>
        <v>0</v>
      </c>
      <c r="H129" s="190">
        <f t="shared" si="84"/>
        <v>0</v>
      </c>
      <c r="I129" s="32" t="s">
        <v>1774</v>
      </c>
    </row>
    <row r="130" spans="1:9" s="164" customFormat="1" hidden="1">
      <c r="A130" s="122"/>
      <c r="B130" s="154" t="s">
        <v>1595</v>
      </c>
      <c r="C130" s="154" t="s">
        <v>1596</v>
      </c>
      <c r="D130" s="604"/>
      <c r="E130" s="605">
        <f>150/1000</f>
        <v>0.15</v>
      </c>
      <c r="F130" s="190">
        <f t="shared" si="82"/>
        <v>0</v>
      </c>
      <c r="G130" s="190"/>
      <c r="H130" s="190"/>
      <c r="I130" s="32" t="s">
        <v>1774</v>
      </c>
    </row>
    <row r="131" spans="1:9" s="164" customFormat="1" hidden="1">
      <c r="A131" s="122"/>
      <c r="B131" s="154" t="s">
        <v>2317</v>
      </c>
      <c r="C131" s="122" t="s">
        <v>1591</v>
      </c>
      <c r="D131" s="129"/>
      <c r="E131" s="605">
        <v>5</v>
      </c>
      <c r="F131" s="190">
        <f>D131*E131</f>
        <v>0</v>
      </c>
      <c r="G131" s="190">
        <f>ROUND(F131*95%,0)</f>
        <v>0</v>
      </c>
      <c r="H131" s="190">
        <f>F131-G131</f>
        <v>0</v>
      </c>
      <c r="I131" s="32" t="s">
        <v>1774</v>
      </c>
    </row>
    <row r="132" spans="1:9" s="164" customFormat="1" hidden="1">
      <c r="A132" s="122"/>
      <c r="B132" s="154" t="s">
        <v>2318</v>
      </c>
      <c r="C132" s="122" t="s">
        <v>1167</v>
      </c>
      <c r="D132" s="129"/>
      <c r="E132" s="605">
        <v>9</v>
      </c>
      <c r="F132" s="190">
        <f t="shared" ref="F132:F134" si="85">D132*E132</f>
        <v>0</v>
      </c>
      <c r="G132" s="190"/>
      <c r="H132" s="190"/>
      <c r="I132" s="32" t="s">
        <v>1774</v>
      </c>
    </row>
    <row r="133" spans="1:9" s="164" customFormat="1" ht="26" hidden="1">
      <c r="A133" s="122"/>
      <c r="B133" s="154" t="s">
        <v>2285</v>
      </c>
      <c r="C133" s="122" t="s">
        <v>2286</v>
      </c>
      <c r="D133" s="129"/>
      <c r="E133" s="605">
        <v>0.04</v>
      </c>
      <c r="F133" s="190">
        <f t="shared" si="85"/>
        <v>0</v>
      </c>
      <c r="G133" s="190">
        <f>ROUND(F133*95%,0)</f>
        <v>0</v>
      </c>
      <c r="H133" s="190">
        <f t="shared" ref="H133:H137" si="86">F133-G133</f>
        <v>0</v>
      </c>
      <c r="I133" s="32" t="s">
        <v>1774</v>
      </c>
    </row>
    <row r="134" spans="1:9" ht="51" customHeight="1">
      <c r="A134" s="18" t="s">
        <v>742</v>
      </c>
      <c r="B134" s="638" t="s">
        <v>1304</v>
      </c>
      <c r="C134" s="18" t="s">
        <v>1580</v>
      </c>
      <c r="D134" s="56">
        <v>8</v>
      </c>
      <c r="E134" s="53">
        <v>30</v>
      </c>
      <c r="F134" s="44">
        <f t="shared" si="85"/>
        <v>240</v>
      </c>
      <c r="G134" s="44">
        <f t="shared" ref="G134:G136" si="87">ROUND(F134*95%,0)</f>
        <v>228</v>
      </c>
      <c r="H134" s="265">
        <f t="shared" si="86"/>
        <v>12</v>
      </c>
      <c r="I134" s="32"/>
    </row>
    <row r="135" spans="1:9" ht="51" customHeight="1">
      <c r="A135" s="18" t="s">
        <v>742</v>
      </c>
      <c r="B135" s="638" t="s">
        <v>2069</v>
      </c>
      <c r="C135" s="18" t="s">
        <v>1580</v>
      </c>
      <c r="D135" s="56">
        <f>15-2</f>
        <v>13</v>
      </c>
      <c r="E135" s="53">
        <v>50</v>
      </c>
      <c r="F135" s="44">
        <f t="shared" ref="F135:F137" si="88">ROUND(D135*E135,0)</f>
        <v>650</v>
      </c>
      <c r="G135" s="44">
        <f t="shared" si="87"/>
        <v>618</v>
      </c>
      <c r="H135" s="265">
        <f t="shared" si="86"/>
        <v>32</v>
      </c>
      <c r="I135" s="32"/>
    </row>
    <row r="136" spans="1:9" s="164" customFormat="1" ht="26" hidden="1">
      <c r="A136" s="122" t="s">
        <v>742</v>
      </c>
      <c r="B136" s="154" t="s">
        <v>1305</v>
      </c>
      <c r="C136" s="122" t="s">
        <v>903</v>
      </c>
      <c r="D136" s="604"/>
      <c r="E136" s="605">
        <v>10</v>
      </c>
      <c r="F136" s="190">
        <f t="shared" si="88"/>
        <v>0</v>
      </c>
      <c r="G136" s="190">
        <f t="shared" si="87"/>
        <v>0</v>
      </c>
      <c r="H136" s="190">
        <f t="shared" si="86"/>
        <v>0</v>
      </c>
      <c r="I136" s="32" t="s">
        <v>1774</v>
      </c>
    </row>
    <row r="137" spans="1:9" ht="26">
      <c r="A137" s="18" t="s">
        <v>742</v>
      </c>
      <c r="B137" s="638" t="s">
        <v>1306</v>
      </c>
      <c r="C137" s="18" t="s">
        <v>1028</v>
      </c>
      <c r="D137" s="56">
        <v>16</v>
      </c>
      <c r="E137" s="53">
        <v>49.8</v>
      </c>
      <c r="F137" s="44">
        <f t="shared" si="88"/>
        <v>797</v>
      </c>
      <c r="G137" s="44">
        <f>ROUND(F137*95%,0)-2</f>
        <v>755</v>
      </c>
      <c r="H137" s="265">
        <f t="shared" si="86"/>
        <v>42</v>
      </c>
      <c r="I137" s="32"/>
    </row>
    <row r="138" spans="1:9" ht="18" customHeight="1">
      <c r="A138" s="26" t="s">
        <v>24</v>
      </c>
      <c r="B138" s="55" t="s">
        <v>11</v>
      </c>
      <c r="C138" s="26"/>
      <c r="D138" s="34"/>
      <c r="E138" s="741"/>
      <c r="F138" s="21">
        <f>+F139+F147+F148+F149+F150</f>
        <v>1070</v>
      </c>
      <c r="G138" s="21">
        <f t="shared" ref="G138:H138" si="89">+G139+G147+G148+G149+G150</f>
        <v>1017</v>
      </c>
      <c r="H138" s="264">
        <f t="shared" si="89"/>
        <v>53</v>
      </c>
      <c r="I138" s="32"/>
    </row>
    <row r="139" spans="1:9" s="164" customFormat="1" hidden="1">
      <c r="A139" s="122" t="s">
        <v>742</v>
      </c>
      <c r="B139" s="154" t="s">
        <v>1303</v>
      </c>
      <c r="C139" s="122"/>
      <c r="D139" s="604"/>
      <c r="E139" s="605"/>
      <c r="F139" s="190">
        <f>SUM(F140:F146)</f>
        <v>0</v>
      </c>
      <c r="G139" s="190">
        <f t="shared" ref="G139:H139" si="90">SUM(G140:G146)</f>
        <v>0</v>
      </c>
      <c r="H139" s="190">
        <f t="shared" si="90"/>
        <v>0</v>
      </c>
      <c r="I139" s="32" t="s">
        <v>1774</v>
      </c>
    </row>
    <row r="140" spans="1:9" s="164" customFormat="1" ht="39" hidden="1">
      <c r="A140" s="122"/>
      <c r="B140" s="154" t="s">
        <v>1592</v>
      </c>
      <c r="C140" s="154" t="s">
        <v>878</v>
      </c>
      <c r="D140" s="604"/>
      <c r="E140" s="605">
        <v>50</v>
      </c>
      <c r="F140" s="190">
        <f t="shared" ref="F140:F141" si="91">ROUND(D140*E140,0)</f>
        <v>0</v>
      </c>
      <c r="G140" s="190">
        <f t="shared" ref="G140:G143" si="92">ROUND(F140*95%,0)</f>
        <v>0</v>
      </c>
      <c r="H140" s="190">
        <f t="shared" ref="H140:H143" si="93">F140-G140</f>
        <v>0</v>
      </c>
      <c r="I140" s="32" t="s">
        <v>1774</v>
      </c>
    </row>
    <row r="141" spans="1:9" s="164" customFormat="1" ht="26" hidden="1">
      <c r="A141" s="122"/>
      <c r="B141" s="154" t="s">
        <v>1593</v>
      </c>
      <c r="C141" s="154" t="s">
        <v>878</v>
      </c>
      <c r="D141" s="604"/>
      <c r="E141" s="605">
        <v>5</v>
      </c>
      <c r="F141" s="190">
        <f t="shared" si="91"/>
        <v>0</v>
      </c>
      <c r="G141" s="190"/>
      <c r="H141" s="190"/>
      <c r="I141" s="32" t="s">
        <v>1774</v>
      </c>
    </row>
    <row r="142" spans="1:9" s="164" customFormat="1" hidden="1">
      <c r="A142" s="122"/>
      <c r="B142" s="154" t="s">
        <v>1594</v>
      </c>
      <c r="C142" s="154" t="s">
        <v>878</v>
      </c>
      <c r="D142" s="604"/>
      <c r="E142" s="605">
        <f>3282/1000</f>
        <v>3.282</v>
      </c>
      <c r="F142" s="190">
        <f>ROUND(D142*E142,0)</f>
        <v>0</v>
      </c>
      <c r="G142" s="190">
        <f t="shared" si="92"/>
        <v>0</v>
      </c>
      <c r="H142" s="190">
        <f t="shared" si="93"/>
        <v>0</v>
      </c>
      <c r="I142" s="32" t="s">
        <v>1774</v>
      </c>
    </row>
    <row r="143" spans="1:9" s="164" customFormat="1" hidden="1">
      <c r="A143" s="122"/>
      <c r="B143" s="154" t="s">
        <v>1595</v>
      </c>
      <c r="C143" s="154" t="s">
        <v>1596</v>
      </c>
      <c r="D143" s="604"/>
      <c r="E143" s="605">
        <f>150/1000</f>
        <v>0.15</v>
      </c>
      <c r="F143" s="190">
        <f>ROUND(D143*E143,0)</f>
        <v>0</v>
      </c>
      <c r="G143" s="190">
        <f t="shared" si="92"/>
        <v>0</v>
      </c>
      <c r="H143" s="190">
        <f t="shared" si="93"/>
        <v>0</v>
      </c>
      <c r="I143" s="32" t="s">
        <v>1774</v>
      </c>
    </row>
    <row r="144" spans="1:9" s="164" customFormat="1" hidden="1">
      <c r="A144" s="122"/>
      <c r="B144" s="154" t="s">
        <v>2317</v>
      </c>
      <c r="C144" s="122" t="s">
        <v>1591</v>
      </c>
      <c r="D144" s="129"/>
      <c r="E144" s="605">
        <v>5</v>
      </c>
      <c r="F144" s="190">
        <f>D144*E144</f>
        <v>0</v>
      </c>
      <c r="G144" s="190">
        <f>ROUND(F144*95%,0)</f>
        <v>0</v>
      </c>
      <c r="H144" s="190">
        <f>F144-G144</f>
        <v>0</v>
      </c>
      <c r="I144" s="32" t="s">
        <v>1774</v>
      </c>
    </row>
    <row r="145" spans="1:9" s="164" customFormat="1" hidden="1">
      <c r="A145" s="122"/>
      <c r="B145" s="154" t="s">
        <v>2318</v>
      </c>
      <c r="C145" s="122" t="s">
        <v>1167</v>
      </c>
      <c r="D145" s="129"/>
      <c r="E145" s="605">
        <v>9</v>
      </c>
      <c r="F145" s="190">
        <f t="shared" ref="F145:F149" si="94">D145*E145</f>
        <v>0</v>
      </c>
      <c r="G145" s="190">
        <f>ROUND(F145*95%,0)</f>
        <v>0</v>
      </c>
      <c r="H145" s="190">
        <f t="shared" ref="H145:H148" si="95">F145-G145</f>
        <v>0</v>
      </c>
      <c r="I145" s="32" t="s">
        <v>1774</v>
      </c>
    </row>
    <row r="146" spans="1:9" s="164" customFormat="1" ht="26" hidden="1">
      <c r="A146" s="122"/>
      <c r="B146" s="154" t="s">
        <v>2285</v>
      </c>
      <c r="C146" s="122" t="s">
        <v>2286</v>
      </c>
      <c r="D146" s="129"/>
      <c r="E146" s="605">
        <v>0.04</v>
      </c>
      <c r="F146" s="190">
        <f t="shared" si="94"/>
        <v>0</v>
      </c>
      <c r="G146" s="190">
        <f>ROUND(F146*95%,0)</f>
        <v>0</v>
      </c>
      <c r="H146" s="190">
        <f t="shared" si="95"/>
        <v>0</v>
      </c>
      <c r="I146" s="32" t="s">
        <v>1774</v>
      </c>
    </row>
    <row r="147" spans="1:9" ht="51" customHeight="1">
      <c r="A147" s="18" t="s">
        <v>742</v>
      </c>
      <c r="B147" s="638" t="s">
        <v>1304</v>
      </c>
      <c r="C147" s="18" t="s">
        <v>1580</v>
      </c>
      <c r="D147" s="56">
        <f>8-4</f>
        <v>4</v>
      </c>
      <c r="E147" s="53">
        <v>30</v>
      </c>
      <c r="F147" s="44">
        <f t="shared" si="94"/>
        <v>120</v>
      </c>
      <c r="G147" s="44">
        <f t="shared" ref="G147:G148" si="96">ROUND(F147*95%,0)</f>
        <v>114</v>
      </c>
      <c r="H147" s="265">
        <f t="shared" si="95"/>
        <v>6</v>
      </c>
      <c r="I147" s="32"/>
    </row>
    <row r="148" spans="1:9" ht="51" customHeight="1">
      <c r="A148" s="18" t="s">
        <v>742</v>
      </c>
      <c r="B148" s="638" t="s">
        <v>2069</v>
      </c>
      <c r="C148" s="18" t="s">
        <v>1580</v>
      </c>
      <c r="D148" s="56">
        <f>6-3</f>
        <v>3</v>
      </c>
      <c r="E148" s="53">
        <v>50</v>
      </c>
      <c r="F148" s="44">
        <f>ROUND(D148*E148,0)</f>
        <v>150</v>
      </c>
      <c r="G148" s="44">
        <f t="shared" si="96"/>
        <v>143</v>
      </c>
      <c r="H148" s="265">
        <f t="shared" si="95"/>
        <v>7</v>
      </c>
      <c r="I148" s="32"/>
    </row>
    <row r="149" spans="1:9" s="164" customFormat="1" ht="26" hidden="1">
      <c r="A149" s="122" t="s">
        <v>742</v>
      </c>
      <c r="B149" s="154" t="s">
        <v>1305</v>
      </c>
      <c r="C149" s="122" t="s">
        <v>903</v>
      </c>
      <c r="D149" s="604"/>
      <c r="E149" s="605">
        <v>20</v>
      </c>
      <c r="F149" s="190">
        <f t="shared" si="94"/>
        <v>0</v>
      </c>
      <c r="G149" s="190"/>
      <c r="H149" s="190"/>
      <c r="I149" s="32" t="s">
        <v>1774</v>
      </c>
    </row>
    <row r="150" spans="1:9" s="35" customFormat="1" ht="26">
      <c r="A150" s="704" t="s">
        <v>742</v>
      </c>
      <c r="B150" s="923" t="s">
        <v>1306</v>
      </c>
      <c r="C150" s="704" t="s">
        <v>1028</v>
      </c>
      <c r="D150" s="60">
        <v>16</v>
      </c>
      <c r="E150" s="774">
        <v>50</v>
      </c>
      <c r="F150" s="45">
        <f>ROUND(D150*E150,0)</f>
        <v>800</v>
      </c>
      <c r="G150" s="45">
        <f>ROUND(F150*95%,0)</f>
        <v>760</v>
      </c>
      <c r="H150" s="611">
        <f t="shared" ref="H150" si="97">F150-G150</f>
        <v>40</v>
      </c>
      <c r="I150" s="924"/>
    </row>
    <row r="152" spans="1:9">
      <c r="A152" s="1817" t="s">
        <v>2516</v>
      </c>
      <c r="B152" s="1817"/>
      <c r="C152" s="1817"/>
      <c r="D152" s="1817"/>
      <c r="E152" s="1817"/>
      <c r="F152" s="1817"/>
      <c r="G152" s="1817"/>
      <c r="H152" s="1909"/>
      <c r="I152" s="1817"/>
    </row>
  </sheetData>
  <autoFilter ref="A7:WVD150">
    <filterColumn colId="8">
      <filters blank="1"/>
    </filterColumn>
  </autoFilter>
  <mergeCells count="15">
    <mergeCell ref="C1:I1"/>
    <mergeCell ref="F5:F6"/>
    <mergeCell ref="A1:B1"/>
    <mergeCell ref="A5:A6"/>
    <mergeCell ref="B5:B6"/>
    <mergeCell ref="C5:C6"/>
    <mergeCell ref="D5:D6"/>
    <mergeCell ref="E5:E6"/>
    <mergeCell ref="G5:G6"/>
    <mergeCell ref="H5:H6"/>
    <mergeCell ref="A152:I152"/>
    <mergeCell ref="I5:I6"/>
    <mergeCell ref="A4:I4"/>
    <mergeCell ref="A3:I3"/>
    <mergeCell ref="A2:I2"/>
  </mergeCells>
  <pageMargins left="0.5" right="0.2" top="0.4" bottom="0.4" header="0.3" footer="0.3"/>
  <pageSetup paperSize="9" scale="85"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236"/>
  <sheetViews>
    <sheetView workbookViewId="0">
      <selection activeCell="B11" sqref="B11"/>
    </sheetView>
  </sheetViews>
  <sheetFormatPr defaultColWidth="9.08203125" defaultRowHeight="13"/>
  <cols>
    <col min="1" max="1" width="4.9140625" style="331" customWidth="1"/>
    <col min="2" max="2" width="55.9140625" style="331" customWidth="1"/>
    <col min="3" max="3" width="12.6640625" style="331" customWidth="1"/>
    <col min="4" max="5" width="7.9140625" style="331" hidden="1" customWidth="1"/>
    <col min="6" max="6" width="7.9140625" style="248" hidden="1" customWidth="1"/>
    <col min="7" max="7" width="8.4140625" style="248" hidden="1" customWidth="1"/>
    <col min="8" max="8" width="7.9140625" style="248" hidden="1" customWidth="1"/>
    <col min="9" max="9" width="7.9140625" style="331" hidden="1" customWidth="1"/>
    <col min="10" max="10" width="17.08203125" style="331" customWidth="1"/>
    <col min="11" max="16384" width="9.08203125" style="331"/>
  </cols>
  <sheetData>
    <row r="1" spans="1:11" ht="21" customHeight="1">
      <c r="A1" s="1831" t="s">
        <v>2795</v>
      </c>
      <c r="B1" s="1831"/>
      <c r="C1" s="1831"/>
      <c r="D1" s="1831"/>
      <c r="E1" s="1831"/>
      <c r="F1" s="1831"/>
      <c r="G1" s="1831"/>
      <c r="H1" s="1831"/>
      <c r="I1" s="1831"/>
      <c r="J1" s="1831"/>
    </row>
    <row r="2" spans="1:11" ht="18" hidden="1" customHeight="1">
      <c r="A2" s="1830"/>
      <c r="B2" s="1830"/>
      <c r="C2" s="433"/>
      <c r="D2" s="433"/>
      <c r="E2" s="433"/>
      <c r="F2" s="433"/>
      <c r="G2" s="433"/>
      <c r="H2" s="433"/>
      <c r="I2" s="1823" t="s">
        <v>2112</v>
      </c>
      <c r="J2" s="1823"/>
    </row>
    <row r="3" spans="1:11" ht="18" customHeight="1">
      <c r="A3" s="1831" t="s">
        <v>47</v>
      </c>
      <c r="B3" s="1831"/>
      <c r="C3" s="1831"/>
      <c r="D3" s="1831"/>
      <c r="E3" s="1831"/>
      <c r="F3" s="1831"/>
      <c r="G3" s="1831"/>
      <c r="H3" s="1831"/>
      <c r="I3" s="1831"/>
      <c r="J3" s="1831"/>
    </row>
    <row r="4" spans="1:11" ht="30" customHeight="1">
      <c r="A4" s="1831" t="s">
        <v>65</v>
      </c>
      <c r="B4" s="1831"/>
      <c r="C4" s="1831"/>
      <c r="D4" s="1831"/>
      <c r="E4" s="1831"/>
      <c r="F4" s="1831"/>
      <c r="G4" s="1831"/>
      <c r="H4" s="1831"/>
      <c r="I4" s="1831"/>
      <c r="J4" s="1831"/>
    </row>
    <row r="5" spans="1:11" s="333" customFormat="1" ht="30" customHeight="1">
      <c r="A5" s="1837" t="e">
        <f>#REF!</f>
        <v>#REF!</v>
      </c>
      <c r="B5" s="1837"/>
      <c r="C5" s="1837"/>
      <c r="D5" s="1837"/>
      <c r="E5" s="1837"/>
      <c r="F5" s="1837"/>
      <c r="G5" s="1837"/>
      <c r="H5" s="1837"/>
      <c r="I5" s="1837"/>
      <c r="J5" s="1837"/>
    </row>
    <row r="6" spans="1:11" ht="18" customHeight="1">
      <c r="A6" s="1835" t="s">
        <v>3</v>
      </c>
      <c r="B6" s="1835"/>
      <c r="C6" s="1835"/>
      <c r="D6" s="1835"/>
      <c r="E6" s="1835"/>
      <c r="F6" s="1835"/>
      <c r="G6" s="1835"/>
      <c r="H6" s="1835"/>
      <c r="I6" s="1835"/>
      <c r="J6" s="1835"/>
    </row>
    <row r="7" spans="1:11" ht="18" customHeight="1">
      <c r="A7" s="1832" t="s">
        <v>4</v>
      </c>
      <c r="B7" s="1832" t="s">
        <v>5</v>
      </c>
      <c r="C7" s="1833" t="s">
        <v>2537</v>
      </c>
      <c r="D7" s="1049"/>
      <c r="E7" s="1050"/>
      <c r="F7" s="1832" t="s">
        <v>724</v>
      </c>
      <c r="G7" s="1832"/>
      <c r="H7" s="1832"/>
      <c r="I7" s="1832" t="s">
        <v>727</v>
      </c>
      <c r="J7" s="1832" t="s">
        <v>33</v>
      </c>
    </row>
    <row r="8" spans="1:11" ht="36" customHeight="1">
      <c r="A8" s="1832"/>
      <c r="B8" s="1832"/>
      <c r="C8" s="1836"/>
      <c r="D8" s="789" t="s">
        <v>720</v>
      </c>
      <c r="E8" s="789" t="s">
        <v>6</v>
      </c>
      <c r="F8" s="789" t="s">
        <v>719</v>
      </c>
      <c r="G8" s="789" t="s">
        <v>720</v>
      </c>
      <c r="H8" s="789" t="s">
        <v>6</v>
      </c>
      <c r="I8" s="1832"/>
      <c r="J8" s="1832"/>
    </row>
    <row r="9" spans="1:11" s="487" customFormat="1" ht="18" hidden="1" customHeight="1">
      <c r="A9" s="484">
        <v>1</v>
      </c>
      <c r="B9" s="484">
        <v>2</v>
      </c>
      <c r="C9" s="484" t="s">
        <v>14</v>
      </c>
      <c r="D9" s="484" t="s">
        <v>16</v>
      </c>
      <c r="E9" s="484" t="s">
        <v>77</v>
      </c>
      <c r="F9" s="484" t="s">
        <v>20</v>
      </c>
      <c r="G9" s="484" t="s">
        <v>22</v>
      </c>
      <c r="H9" s="484" t="s">
        <v>69</v>
      </c>
      <c r="I9" s="484">
        <v>6</v>
      </c>
      <c r="J9" s="484">
        <v>7</v>
      </c>
    </row>
    <row r="10" spans="1:11" ht="32.25" customHeight="1">
      <c r="A10" s="40"/>
      <c r="B10" s="721" t="s">
        <v>7</v>
      </c>
      <c r="C10" s="23">
        <f t="shared" ref="C10:I10" si="0">+C11+C26+C30</f>
        <v>27614</v>
      </c>
      <c r="D10" s="23">
        <f t="shared" si="0"/>
        <v>43574</v>
      </c>
      <c r="E10" s="23">
        <f t="shared" si="0"/>
        <v>71188</v>
      </c>
      <c r="F10" s="23">
        <f t="shared" si="0"/>
        <v>0</v>
      </c>
      <c r="G10" s="23">
        <f t="shared" si="0"/>
        <v>2362</v>
      </c>
      <c r="H10" s="23">
        <f t="shared" si="0"/>
        <v>2362</v>
      </c>
      <c r="I10" s="23">
        <f t="shared" si="0"/>
        <v>71188</v>
      </c>
      <c r="J10" s="721"/>
    </row>
    <row r="11" spans="1:11" ht="51.75" customHeight="1">
      <c r="A11" s="40" t="s">
        <v>8</v>
      </c>
      <c r="B11" s="54" t="s">
        <v>1307</v>
      </c>
      <c r="C11" s="1056">
        <f>+C18+C19+C20+C21+C22+C23+C24+C25</f>
        <v>0</v>
      </c>
      <c r="D11" s="23">
        <f t="shared" ref="D11:I11" si="1">+D12+D17</f>
        <v>27416</v>
      </c>
      <c r="E11" s="23">
        <f t="shared" si="1"/>
        <v>27416</v>
      </c>
      <c r="F11" s="23">
        <f t="shared" si="1"/>
        <v>0</v>
      </c>
      <c r="G11" s="23">
        <f t="shared" si="1"/>
        <v>1442</v>
      </c>
      <c r="H11" s="23">
        <f t="shared" si="1"/>
        <v>1442</v>
      </c>
      <c r="I11" s="23">
        <f t="shared" si="1"/>
        <v>27416</v>
      </c>
      <c r="J11" s="1046" t="s">
        <v>1308</v>
      </c>
      <c r="K11" s="331">
        <f>'[2]10-1'!F8-'10'!I11</f>
        <v>35714.375</v>
      </c>
    </row>
    <row r="12" spans="1:11" s="333" customFormat="1" ht="18" hidden="1" customHeight="1">
      <c r="A12" s="482">
        <v>1</v>
      </c>
      <c r="B12" s="712" t="s">
        <v>733</v>
      </c>
      <c r="C12" s="713"/>
      <c r="D12" s="713">
        <f>SUM(D13:D16)</f>
        <v>16526</v>
      </c>
      <c r="E12" s="713">
        <f t="shared" ref="E12:I12" si="2">SUM(E13:E16)</f>
        <v>16526</v>
      </c>
      <c r="F12" s="713">
        <f t="shared" si="2"/>
        <v>0</v>
      </c>
      <c r="G12" s="713">
        <f t="shared" si="2"/>
        <v>891</v>
      </c>
      <c r="H12" s="713">
        <f t="shared" si="2"/>
        <v>891</v>
      </c>
      <c r="I12" s="713">
        <f t="shared" si="2"/>
        <v>16526</v>
      </c>
      <c r="J12" s="889"/>
    </row>
    <row r="13" spans="1:11" ht="18" hidden="1" customHeight="1">
      <c r="A13" s="18"/>
      <c r="B13" s="638" t="s">
        <v>893</v>
      </c>
      <c r="C13" s="44"/>
      <c r="D13" s="44">
        <f>+'10-1 SN'!G10+'10-1 SN'!G54</f>
        <v>5091</v>
      </c>
      <c r="E13" s="44">
        <f>+C13+D13</f>
        <v>5091</v>
      </c>
      <c r="F13" s="44"/>
      <c r="G13" s="44">
        <f>+'10-1 SN'!H10+'10-1 SN'!H54</f>
        <v>273</v>
      </c>
      <c r="H13" s="20">
        <f t="shared" ref="H13" si="3">+F13+G13</f>
        <v>273</v>
      </c>
      <c r="I13" s="20">
        <f>+E13</f>
        <v>5091</v>
      </c>
      <c r="J13" s="722"/>
    </row>
    <row r="14" spans="1:11" ht="18" hidden="1" customHeight="1">
      <c r="A14" s="18"/>
      <c r="B14" s="638" t="s">
        <v>1309</v>
      </c>
      <c r="C14" s="44"/>
      <c r="D14" s="44">
        <f>+'10-1 SN'!G28+'10-1 SN'!G88</f>
        <v>5215</v>
      </c>
      <c r="E14" s="44">
        <f>+C14+D14</f>
        <v>5215</v>
      </c>
      <c r="F14" s="44"/>
      <c r="G14" s="44">
        <f>+'10-1 SN'!H28+'10-1 SN'!H88</f>
        <v>291</v>
      </c>
      <c r="H14" s="20">
        <f>+F14+G14</f>
        <v>291</v>
      </c>
      <c r="I14" s="20">
        <f t="shared" ref="I14:I16" si="4">+E14</f>
        <v>5215</v>
      </c>
      <c r="J14" s="722"/>
    </row>
    <row r="15" spans="1:11" ht="18" hidden="1" customHeight="1">
      <c r="A15" s="18"/>
      <c r="B15" s="638" t="s">
        <v>1310</v>
      </c>
      <c r="C15" s="44"/>
      <c r="D15" s="44">
        <f>+'10-1 SN'!G48</f>
        <v>5220</v>
      </c>
      <c r="E15" s="44">
        <f>+'10-1 SN'!G48</f>
        <v>5220</v>
      </c>
      <c r="F15" s="44"/>
      <c r="G15" s="44">
        <f>+'10-1 SN'!H48</f>
        <v>274</v>
      </c>
      <c r="H15" s="20">
        <f>+F15+G15</f>
        <v>274</v>
      </c>
      <c r="I15" s="20">
        <f t="shared" si="4"/>
        <v>5220</v>
      </c>
      <c r="J15" s="722"/>
    </row>
    <row r="16" spans="1:11" ht="18" hidden="1" customHeight="1">
      <c r="A16" s="18"/>
      <c r="B16" s="638" t="s">
        <v>1728</v>
      </c>
      <c r="C16" s="44"/>
      <c r="D16" s="44">
        <f>+'10-1 SN'!G58</f>
        <v>1000</v>
      </c>
      <c r="E16" s="44">
        <f>+C16+D16</f>
        <v>1000</v>
      </c>
      <c r="F16" s="44"/>
      <c r="G16" s="44">
        <f>+'10-1 SN'!H58</f>
        <v>53</v>
      </c>
      <c r="H16" s="20">
        <f>+F16+G16</f>
        <v>53</v>
      </c>
      <c r="I16" s="20">
        <f t="shared" si="4"/>
        <v>1000</v>
      </c>
      <c r="J16" s="722"/>
    </row>
    <row r="17" spans="1:11" s="333" customFormat="1" ht="18" hidden="1" customHeight="1">
      <c r="A17" s="482">
        <v>2</v>
      </c>
      <c r="B17" s="712" t="s">
        <v>736</v>
      </c>
      <c r="C17" s="713"/>
      <c r="D17" s="713">
        <f>SUM(D18:D25)</f>
        <v>10890</v>
      </c>
      <c r="E17" s="713">
        <f t="shared" ref="E17:I17" si="5">SUM(E18:E25)</f>
        <v>10890</v>
      </c>
      <c r="F17" s="713">
        <f t="shared" si="5"/>
        <v>0</v>
      </c>
      <c r="G17" s="713">
        <f t="shared" si="5"/>
        <v>551</v>
      </c>
      <c r="H17" s="713">
        <f t="shared" si="5"/>
        <v>551</v>
      </c>
      <c r="I17" s="713">
        <f t="shared" si="5"/>
        <v>10890</v>
      </c>
      <c r="J17" s="889"/>
    </row>
    <row r="18" spans="1:11" ht="18" hidden="1" customHeight="1">
      <c r="A18" s="13"/>
      <c r="B18" s="12" t="s">
        <v>25</v>
      </c>
      <c r="C18" s="20"/>
      <c r="D18" s="20">
        <f>VLOOKUP(B18,'10-1 SN'!B119:G466,6,0)</f>
        <v>719</v>
      </c>
      <c r="E18" s="20">
        <f>+C18+D18</f>
        <v>719</v>
      </c>
      <c r="F18" s="20"/>
      <c r="G18" s="20">
        <v>36</v>
      </c>
      <c r="H18" s="20">
        <f>+F18+G18</f>
        <v>36</v>
      </c>
      <c r="I18" s="20">
        <f t="shared" ref="I18:I25" si="6">E18</f>
        <v>719</v>
      </c>
      <c r="J18" s="714"/>
    </row>
    <row r="19" spans="1:11" ht="18" hidden="1" customHeight="1">
      <c r="A19" s="13"/>
      <c r="B19" s="12" t="s">
        <v>23</v>
      </c>
      <c r="C19" s="20"/>
      <c r="D19" s="20">
        <f>VLOOKUP(B19,'10-1 SN'!B120:G467,6,0)</f>
        <v>1233</v>
      </c>
      <c r="E19" s="20">
        <f t="shared" ref="E19:E55" si="7">+C19+D19</f>
        <v>1233</v>
      </c>
      <c r="F19" s="20"/>
      <c r="G19" s="20">
        <v>59</v>
      </c>
      <c r="H19" s="20">
        <f t="shared" ref="H19:H25" si="8">+F19+G19</f>
        <v>59</v>
      </c>
      <c r="I19" s="20">
        <f t="shared" si="6"/>
        <v>1233</v>
      </c>
      <c r="J19" s="714"/>
    </row>
    <row r="20" spans="1:11" ht="18" hidden="1" customHeight="1">
      <c r="A20" s="13"/>
      <c r="B20" s="12" t="s">
        <v>21</v>
      </c>
      <c r="C20" s="20"/>
      <c r="D20" s="20">
        <f>VLOOKUP(B20,'10-1 SN'!B121:G468,6,0)</f>
        <v>1027</v>
      </c>
      <c r="E20" s="20">
        <f t="shared" si="7"/>
        <v>1027</v>
      </c>
      <c r="F20" s="20"/>
      <c r="G20" s="20">
        <v>53</v>
      </c>
      <c r="H20" s="20">
        <f t="shared" si="8"/>
        <v>53</v>
      </c>
      <c r="I20" s="20">
        <f t="shared" si="6"/>
        <v>1027</v>
      </c>
      <c r="J20" s="714"/>
    </row>
    <row r="21" spans="1:11" ht="18" hidden="1" customHeight="1">
      <c r="A21" s="13"/>
      <c r="B21" s="12" t="s">
        <v>19</v>
      </c>
      <c r="C21" s="20"/>
      <c r="D21" s="20">
        <f>VLOOKUP(B21,'10-1 SN'!B122:G469,6,0)</f>
        <v>1336</v>
      </c>
      <c r="E21" s="20">
        <f t="shared" si="7"/>
        <v>1336</v>
      </c>
      <c r="F21" s="20"/>
      <c r="G21" s="20">
        <v>68</v>
      </c>
      <c r="H21" s="20">
        <f t="shared" si="8"/>
        <v>68</v>
      </c>
      <c r="I21" s="20">
        <f t="shared" si="6"/>
        <v>1336</v>
      </c>
      <c r="J21" s="714"/>
    </row>
    <row r="22" spans="1:11" ht="18" hidden="1" customHeight="1">
      <c r="A22" s="13"/>
      <c r="B22" s="12" t="s">
        <v>17</v>
      </c>
      <c r="C22" s="20"/>
      <c r="D22" s="20">
        <f>VLOOKUP(B22,'10-1 SN'!B123:G470,6,0)</f>
        <v>1747</v>
      </c>
      <c r="E22" s="20">
        <f t="shared" si="7"/>
        <v>1747</v>
      </c>
      <c r="F22" s="20"/>
      <c r="G22" s="20">
        <v>89</v>
      </c>
      <c r="H22" s="20">
        <f t="shared" si="8"/>
        <v>89</v>
      </c>
      <c r="I22" s="20">
        <f t="shared" si="6"/>
        <v>1747</v>
      </c>
      <c r="J22" s="714"/>
    </row>
    <row r="23" spans="1:11" ht="18" hidden="1" customHeight="1">
      <c r="A23" s="13"/>
      <c r="B23" s="12" t="s">
        <v>15</v>
      </c>
      <c r="C23" s="20"/>
      <c r="D23" s="20">
        <f>VLOOKUP(B23,'10-1 SN'!B124:G471,6,0)</f>
        <v>2260</v>
      </c>
      <c r="E23" s="20">
        <f t="shared" si="7"/>
        <v>2260</v>
      </c>
      <c r="F23" s="20"/>
      <c r="G23" s="20">
        <v>116</v>
      </c>
      <c r="H23" s="20">
        <f t="shared" si="8"/>
        <v>116</v>
      </c>
      <c r="I23" s="20">
        <f t="shared" si="6"/>
        <v>2260</v>
      </c>
      <c r="J23" s="714"/>
    </row>
    <row r="24" spans="1:11" ht="18" hidden="1" customHeight="1">
      <c r="A24" s="13"/>
      <c r="B24" s="12" t="s">
        <v>13</v>
      </c>
      <c r="C24" s="20"/>
      <c r="D24" s="20">
        <f>VLOOKUP(B24,'10-1 SN'!B125:G472,6,0)</f>
        <v>1130</v>
      </c>
      <c r="E24" s="20">
        <f t="shared" si="7"/>
        <v>1130</v>
      </c>
      <c r="F24" s="20"/>
      <c r="G24" s="20">
        <v>57</v>
      </c>
      <c r="H24" s="20">
        <f t="shared" si="8"/>
        <v>57</v>
      </c>
      <c r="I24" s="20">
        <f t="shared" si="6"/>
        <v>1130</v>
      </c>
      <c r="J24" s="714"/>
    </row>
    <row r="25" spans="1:11" ht="18" hidden="1" customHeight="1">
      <c r="A25" s="13"/>
      <c r="B25" s="12" t="s">
        <v>11</v>
      </c>
      <c r="C25" s="20"/>
      <c r="D25" s="20">
        <f>VLOOKUP(B25,'10-1 SN'!B126:G473,6,0)</f>
        <v>1438</v>
      </c>
      <c r="E25" s="20">
        <f t="shared" si="7"/>
        <v>1438</v>
      </c>
      <c r="F25" s="20"/>
      <c r="G25" s="20">
        <v>73</v>
      </c>
      <c r="H25" s="20">
        <f t="shared" si="8"/>
        <v>73</v>
      </c>
      <c r="I25" s="20">
        <f t="shared" si="6"/>
        <v>1438</v>
      </c>
      <c r="J25" s="714"/>
    </row>
    <row r="26" spans="1:11" s="334" customFormat="1" ht="43.5" customHeight="1">
      <c r="A26" s="26" t="s">
        <v>26</v>
      </c>
      <c r="B26" s="54" t="s">
        <v>1311</v>
      </c>
      <c r="C26" s="23">
        <f t="shared" ref="C26:I26" si="9">+C27+C29</f>
        <v>27614</v>
      </c>
      <c r="D26" s="23">
        <f t="shared" si="9"/>
        <v>6881</v>
      </c>
      <c r="E26" s="23">
        <f t="shared" si="9"/>
        <v>34495</v>
      </c>
      <c r="F26" s="23">
        <f t="shared" si="9"/>
        <v>0</v>
      </c>
      <c r="G26" s="23">
        <f t="shared" si="9"/>
        <v>362</v>
      </c>
      <c r="H26" s="23">
        <f t="shared" si="9"/>
        <v>362</v>
      </c>
      <c r="I26" s="23">
        <f t="shared" si="9"/>
        <v>34495</v>
      </c>
      <c r="J26" s="1046" t="s">
        <v>2119</v>
      </c>
    </row>
    <row r="27" spans="1:11" s="333" customFormat="1" ht="22.5" customHeight="1">
      <c r="A27" s="482">
        <v>1</v>
      </c>
      <c r="B27" s="712" t="s">
        <v>733</v>
      </c>
      <c r="C27" s="713">
        <f>+C28</f>
        <v>27614</v>
      </c>
      <c r="D27" s="713">
        <f>+D28</f>
        <v>6881</v>
      </c>
      <c r="E27" s="713">
        <f>+E28</f>
        <v>34495</v>
      </c>
      <c r="F27" s="713">
        <f t="shared" ref="F27:H27" si="10">+F28</f>
        <v>0</v>
      </c>
      <c r="G27" s="713">
        <f t="shared" si="10"/>
        <v>362</v>
      </c>
      <c r="H27" s="713">
        <f t="shared" si="10"/>
        <v>362</v>
      </c>
      <c r="I27" s="713">
        <f>+I28</f>
        <v>34495</v>
      </c>
      <c r="J27" s="925"/>
    </row>
    <row r="28" spans="1:11" ht="24" customHeight="1">
      <c r="A28" s="13"/>
      <c r="B28" s="12" t="s">
        <v>1702</v>
      </c>
      <c r="C28" s="20">
        <f>+'10-2 ĐT'!G11</f>
        <v>27614</v>
      </c>
      <c r="D28" s="20">
        <f>+'10-2 SN'!F9</f>
        <v>6881</v>
      </c>
      <c r="E28" s="20">
        <f>+SUM(C28:D28)</f>
        <v>34495</v>
      </c>
      <c r="F28" s="20"/>
      <c r="G28" s="20">
        <f>+'10-2 SN'!I9</f>
        <v>362</v>
      </c>
      <c r="H28" s="20">
        <f>+SUM(F28:G28)</f>
        <v>362</v>
      </c>
      <c r="I28" s="20">
        <f>+E28</f>
        <v>34495</v>
      </c>
      <c r="J28" s="925"/>
    </row>
    <row r="29" spans="1:11" ht="18" customHeight="1">
      <c r="A29" s="482">
        <v>2</v>
      </c>
      <c r="B29" s="712" t="s">
        <v>736</v>
      </c>
      <c r="C29" s="20"/>
      <c r="D29" s="20"/>
      <c r="E29" s="20"/>
      <c r="F29" s="20"/>
      <c r="G29" s="20"/>
      <c r="H29" s="20"/>
      <c r="I29" s="20"/>
      <c r="J29" s="925"/>
    </row>
    <row r="30" spans="1:11" s="334" customFormat="1" ht="42.75" customHeight="1">
      <c r="A30" s="26" t="s">
        <v>28</v>
      </c>
      <c r="B30" s="441" t="s">
        <v>1312</v>
      </c>
      <c r="C30" s="1056">
        <f>+C48+C49+C50+C51+C52+C53+C54+C55</f>
        <v>0</v>
      </c>
      <c r="D30" s="23">
        <f t="shared" ref="D30:E30" si="11">+D31+D47</f>
        <v>9277</v>
      </c>
      <c r="E30" s="23">
        <f t="shared" si="11"/>
        <v>9277</v>
      </c>
      <c r="F30" s="23">
        <f t="shared" ref="F30:I30" si="12">+F31+F47</f>
        <v>0</v>
      </c>
      <c r="G30" s="23">
        <f t="shared" si="12"/>
        <v>558</v>
      </c>
      <c r="H30" s="23">
        <f t="shared" si="12"/>
        <v>558</v>
      </c>
      <c r="I30" s="23">
        <f t="shared" si="12"/>
        <v>9277</v>
      </c>
      <c r="J30" s="1046" t="s">
        <v>1399</v>
      </c>
      <c r="K30" s="334">
        <f>'[2]10-2'!F9-I30</f>
        <v>-962</v>
      </c>
    </row>
    <row r="31" spans="1:11" s="333" customFormat="1" ht="18" hidden="1" customHeight="1">
      <c r="A31" s="125">
        <v>1</v>
      </c>
      <c r="B31" s="712" t="s">
        <v>733</v>
      </c>
      <c r="C31" s="713"/>
      <c r="D31" s="713">
        <f t="shared" ref="D31:E31" si="13">SUM(D32:D46)</f>
        <v>5101</v>
      </c>
      <c r="E31" s="713">
        <f t="shared" si="13"/>
        <v>5101</v>
      </c>
      <c r="F31" s="713">
        <f t="shared" ref="F31" si="14">+F32</f>
        <v>0</v>
      </c>
      <c r="G31" s="713">
        <f>SUM(G32:G46)</f>
        <v>283</v>
      </c>
      <c r="H31" s="713">
        <f>SUM(H32:H46)</f>
        <v>283</v>
      </c>
      <c r="I31" s="713">
        <f t="shared" ref="I31" si="15">SUM(I32:I46)</f>
        <v>5101</v>
      </c>
      <c r="J31" s="889"/>
    </row>
    <row r="32" spans="1:11" ht="18" hidden="1" customHeight="1">
      <c r="A32" s="13"/>
      <c r="B32" s="12" t="s">
        <v>1721</v>
      </c>
      <c r="C32" s="44"/>
      <c r="D32" s="44">
        <f>+'10-3 SN'!G11</f>
        <v>2133</v>
      </c>
      <c r="E32" s="44">
        <f>SUM(C32:D32)</f>
        <v>2133</v>
      </c>
      <c r="F32" s="44"/>
      <c r="G32" s="44">
        <f>+'10-3 SN'!H11</f>
        <v>112</v>
      </c>
      <c r="H32" s="44">
        <f>SUM(F32:G32)</f>
        <v>112</v>
      </c>
      <c r="I32" s="20">
        <f>+E32</f>
        <v>2133</v>
      </c>
      <c r="J32" s="722"/>
    </row>
    <row r="33" spans="1:10" ht="18" hidden="1" customHeight="1">
      <c r="A33" s="13"/>
      <c r="B33" s="12" t="s">
        <v>1722</v>
      </c>
      <c r="C33" s="44"/>
      <c r="D33" s="44">
        <f>+'10-3 SN'!G12</f>
        <v>464</v>
      </c>
      <c r="E33" s="44">
        <f t="shared" ref="E33:E46" si="16">SUM(C33:D33)</f>
        <v>464</v>
      </c>
      <c r="F33" s="44"/>
      <c r="G33" s="44">
        <f>+'10-3 SN'!H12</f>
        <v>24</v>
      </c>
      <c r="H33" s="44">
        <f t="shared" ref="H33:H46" si="17">SUM(F33:G33)</f>
        <v>24</v>
      </c>
      <c r="I33" s="20">
        <f t="shared" ref="I33:I46" si="18">+E33</f>
        <v>464</v>
      </c>
      <c r="J33" s="722"/>
    </row>
    <row r="34" spans="1:10" ht="18" hidden="1" customHeight="1">
      <c r="A34" s="13"/>
      <c r="B34" s="12" t="s">
        <v>734</v>
      </c>
      <c r="C34" s="44"/>
      <c r="D34" s="44">
        <f>VLOOKUP(B34,'10-3 SN'!$B$11:$G$36,6,0)</f>
        <v>278</v>
      </c>
      <c r="E34" s="44">
        <f t="shared" si="16"/>
        <v>278</v>
      </c>
      <c r="F34" s="44"/>
      <c r="G34" s="44">
        <v>15</v>
      </c>
      <c r="H34" s="44">
        <f t="shared" si="17"/>
        <v>15</v>
      </c>
      <c r="I34" s="20">
        <f t="shared" si="18"/>
        <v>278</v>
      </c>
      <c r="J34" s="722"/>
    </row>
    <row r="35" spans="1:10" ht="18" hidden="1" customHeight="1">
      <c r="A35" s="13"/>
      <c r="B35" s="12" t="s">
        <v>1723</v>
      </c>
      <c r="C35" s="44"/>
      <c r="D35" s="44">
        <f>VLOOKUP(B35,'10-3 SN'!$B$11:$G$36,6,0)</f>
        <v>278</v>
      </c>
      <c r="E35" s="44">
        <f t="shared" si="16"/>
        <v>278</v>
      </c>
      <c r="F35" s="44"/>
      <c r="G35" s="44">
        <v>15</v>
      </c>
      <c r="H35" s="44">
        <f t="shared" si="17"/>
        <v>15</v>
      </c>
      <c r="I35" s="20">
        <f t="shared" si="18"/>
        <v>278</v>
      </c>
      <c r="J35" s="722"/>
    </row>
    <row r="36" spans="1:10" ht="18" hidden="1" customHeight="1">
      <c r="A36" s="13"/>
      <c r="B36" s="12" t="s">
        <v>910</v>
      </c>
      <c r="C36" s="44"/>
      <c r="D36" s="44">
        <f>VLOOKUP(B36,'10-3 SN'!$B$11:$G$36,6,0)</f>
        <v>278</v>
      </c>
      <c r="E36" s="44">
        <f t="shared" si="16"/>
        <v>278</v>
      </c>
      <c r="F36" s="44"/>
      <c r="G36" s="44">
        <v>15</v>
      </c>
      <c r="H36" s="44">
        <f t="shared" si="17"/>
        <v>15</v>
      </c>
      <c r="I36" s="20">
        <f t="shared" si="18"/>
        <v>278</v>
      </c>
      <c r="J36" s="722"/>
    </row>
    <row r="37" spans="1:10" ht="18" hidden="1" customHeight="1">
      <c r="A37" s="13"/>
      <c r="B37" s="12" t="s">
        <v>1948</v>
      </c>
      <c r="C37" s="44"/>
      <c r="D37" s="44">
        <f>VLOOKUP(B37,'10-3 SN'!$B$11:$G$36,6,0)</f>
        <v>278</v>
      </c>
      <c r="E37" s="44">
        <f t="shared" si="16"/>
        <v>278</v>
      </c>
      <c r="F37" s="44"/>
      <c r="G37" s="44">
        <v>15</v>
      </c>
      <c r="H37" s="44">
        <f t="shared" si="17"/>
        <v>15</v>
      </c>
      <c r="I37" s="20">
        <f t="shared" si="18"/>
        <v>278</v>
      </c>
      <c r="J37" s="722"/>
    </row>
    <row r="38" spans="1:10" ht="18" hidden="1" customHeight="1">
      <c r="A38" s="13"/>
      <c r="B38" s="12" t="s">
        <v>697</v>
      </c>
      <c r="C38" s="44"/>
      <c r="D38" s="44">
        <f>VLOOKUP(B38,'10-3 SN'!$B$11:$G$36,6,0)</f>
        <v>278</v>
      </c>
      <c r="E38" s="44">
        <f t="shared" si="16"/>
        <v>278</v>
      </c>
      <c r="F38" s="44"/>
      <c r="G38" s="44">
        <v>15</v>
      </c>
      <c r="H38" s="44">
        <f t="shared" si="17"/>
        <v>15</v>
      </c>
      <c r="I38" s="20">
        <f t="shared" si="18"/>
        <v>278</v>
      </c>
      <c r="J38" s="722"/>
    </row>
    <row r="39" spans="1:10" ht="18" hidden="1" customHeight="1">
      <c r="A39" s="13"/>
      <c r="B39" s="12" t="s">
        <v>1702</v>
      </c>
      <c r="C39" s="44"/>
      <c r="D39" s="44">
        <f>VLOOKUP(B39,'10-3 SN'!$B$11:$G$36,6,0)</f>
        <v>278</v>
      </c>
      <c r="E39" s="44">
        <f t="shared" ref="E39" si="19">SUM(C39:D39)</f>
        <v>278</v>
      </c>
      <c r="F39" s="44"/>
      <c r="G39" s="44">
        <v>15</v>
      </c>
      <c r="H39" s="44">
        <f t="shared" ref="H39" si="20">SUM(F39:G39)</f>
        <v>15</v>
      </c>
      <c r="I39" s="20">
        <f t="shared" ref="I39" si="21">+E39</f>
        <v>278</v>
      </c>
      <c r="J39" s="722"/>
    </row>
    <row r="40" spans="1:10" ht="18" hidden="1" customHeight="1">
      <c r="A40" s="13"/>
      <c r="B40" s="12" t="s">
        <v>1725</v>
      </c>
      <c r="C40" s="44"/>
      <c r="D40" s="44">
        <f>VLOOKUP(B40,'10-3 SN'!$B$11:$G$36,6,0)</f>
        <v>278</v>
      </c>
      <c r="E40" s="44">
        <f t="shared" si="16"/>
        <v>278</v>
      </c>
      <c r="F40" s="44"/>
      <c r="G40" s="44">
        <v>15</v>
      </c>
      <c r="H40" s="44">
        <f t="shared" si="17"/>
        <v>15</v>
      </c>
      <c r="I40" s="20">
        <f t="shared" si="18"/>
        <v>278</v>
      </c>
      <c r="J40" s="722"/>
    </row>
    <row r="41" spans="1:10" ht="18" hidden="1" customHeight="1">
      <c r="A41" s="13"/>
      <c r="B41" s="12" t="s">
        <v>1726</v>
      </c>
      <c r="C41" s="44"/>
      <c r="D41" s="44">
        <f>VLOOKUP(B41,'10-3 SN'!$B$11:$G$36,6,0)</f>
        <v>93</v>
      </c>
      <c r="E41" s="44">
        <f t="shared" si="16"/>
        <v>93</v>
      </c>
      <c r="F41" s="44"/>
      <c r="G41" s="44">
        <v>7</v>
      </c>
      <c r="H41" s="44">
        <f t="shared" si="17"/>
        <v>7</v>
      </c>
      <c r="I41" s="20">
        <f t="shared" si="18"/>
        <v>93</v>
      </c>
      <c r="J41" s="722"/>
    </row>
    <row r="42" spans="1:10" ht="18" hidden="1" customHeight="1">
      <c r="A42" s="13"/>
      <c r="B42" s="12" t="s">
        <v>1727</v>
      </c>
      <c r="C42" s="44"/>
      <c r="D42" s="44">
        <f>VLOOKUP(B42,'10-3 SN'!$B$11:$G$36,6,0)</f>
        <v>93</v>
      </c>
      <c r="E42" s="44">
        <f t="shared" si="16"/>
        <v>93</v>
      </c>
      <c r="F42" s="44"/>
      <c r="G42" s="44">
        <v>7</v>
      </c>
      <c r="H42" s="44">
        <f t="shared" si="17"/>
        <v>7</v>
      </c>
      <c r="I42" s="20">
        <f t="shared" si="18"/>
        <v>93</v>
      </c>
      <c r="J42" s="722"/>
    </row>
    <row r="43" spans="1:10" ht="18" hidden="1" customHeight="1">
      <c r="A43" s="13"/>
      <c r="B43" s="12" t="s">
        <v>1309</v>
      </c>
      <c r="C43" s="44"/>
      <c r="D43" s="44">
        <f>VLOOKUP(B43,'10-3 SN'!$B$11:$G$36,6,0)</f>
        <v>93</v>
      </c>
      <c r="E43" s="44">
        <f t="shared" si="16"/>
        <v>93</v>
      </c>
      <c r="F43" s="44"/>
      <c r="G43" s="44">
        <v>7</v>
      </c>
      <c r="H43" s="44">
        <f t="shared" si="17"/>
        <v>7</v>
      </c>
      <c r="I43" s="20">
        <f t="shared" si="18"/>
        <v>93</v>
      </c>
      <c r="J43" s="722"/>
    </row>
    <row r="44" spans="1:10" ht="18" hidden="1" customHeight="1">
      <c r="A44" s="13"/>
      <c r="B44" s="12" t="s">
        <v>735</v>
      </c>
      <c r="C44" s="44"/>
      <c r="D44" s="44">
        <f>VLOOKUP(B44,'10-3 SN'!$B$11:$G$36,6,0)</f>
        <v>93</v>
      </c>
      <c r="E44" s="44">
        <f t="shared" si="16"/>
        <v>93</v>
      </c>
      <c r="F44" s="44"/>
      <c r="G44" s="44">
        <v>7</v>
      </c>
      <c r="H44" s="44">
        <f t="shared" si="17"/>
        <v>7</v>
      </c>
      <c r="I44" s="20">
        <f t="shared" si="18"/>
        <v>93</v>
      </c>
      <c r="J44" s="722"/>
    </row>
    <row r="45" spans="1:10" ht="18" hidden="1" customHeight="1">
      <c r="A45" s="13"/>
      <c r="B45" s="12" t="s">
        <v>1728</v>
      </c>
      <c r="C45" s="44"/>
      <c r="D45" s="44">
        <f>VLOOKUP(B45,'10-3 SN'!$B$11:$G$36,6,0)</f>
        <v>93</v>
      </c>
      <c r="E45" s="44">
        <f t="shared" si="16"/>
        <v>93</v>
      </c>
      <c r="F45" s="44"/>
      <c r="G45" s="44">
        <v>7</v>
      </c>
      <c r="H45" s="44">
        <f t="shared" si="17"/>
        <v>7</v>
      </c>
      <c r="I45" s="20">
        <f t="shared" si="18"/>
        <v>93</v>
      </c>
      <c r="J45" s="722"/>
    </row>
    <row r="46" spans="1:10" ht="18" hidden="1" customHeight="1">
      <c r="A46" s="13"/>
      <c r="B46" s="12" t="s">
        <v>1576</v>
      </c>
      <c r="C46" s="44"/>
      <c r="D46" s="44">
        <f>VLOOKUP(B46,'10-3 SN'!$B$11:$G$36,6,0)</f>
        <v>93</v>
      </c>
      <c r="E46" s="44">
        <f t="shared" si="16"/>
        <v>93</v>
      </c>
      <c r="F46" s="44"/>
      <c r="G46" s="44">
        <v>7</v>
      </c>
      <c r="H46" s="44">
        <f t="shared" si="17"/>
        <v>7</v>
      </c>
      <c r="I46" s="20">
        <f t="shared" si="18"/>
        <v>93</v>
      </c>
      <c r="J46" s="722"/>
    </row>
    <row r="47" spans="1:10" s="333" customFormat="1" ht="18" hidden="1" customHeight="1">
      <c r="A47" s="125">
        <v>2</v>
      </c>
      <c r="B47" s="712" t="s">
        <v>736</v>
      </c>
      <c r="C47" s="713"/>
      <c r="D47" s="713">
        <f>SUM(D48:D55)</f>
        <v>4176</v>
      </c>
      <c r="E47" s="713">
        <f t="shared" ref="E47:I47" si="22">SUM(E48:E55)</f>
        <v>4176</v>
      </c>
      <c r="F47" s="713">
        <f t="shared" si="22"/>
        <v>0</v>
      </c>
      <c r="G47" s="713">
        <f t="shared" si="22"/>
        <v>275</v>
      </c>
      <c r="H47" s="713">
        <f t="shared" si="22"/>
        <v>275</v>
      </c>
      <c r="I47" s="713">
        <f t="shared" si="22"/>
        <v>4176</v>
      </c>
      <c r="J47" s="889"/>
    </row>
    <row r="48" spans="1:10" ht="18" hidden="1" customHeight="1">
      <c r="A48" s="13"/>
      <c r="B48" s="12" t="s">
        <v>25</v>
      </c>
      <c r="C48" s="20"/>
      <c r="D48" s="44">
        <f>VLOOKUP(B48,'10-3 SN'!$B$11:$G$36,6,0)</f>
        <v>104</v>
      </c>
      <c r="E48" s="20">
        <f t="shared" si="7"/>
        <v>104</v>
      </c>
      <c r="F48" s="20"/>
      <c r="G48" s="20">
        <v>5</v>
      </c>
      <c r="H48" s="20">
        <f t="shared" ref="H48:H55" si="23">+F48+G48</f>
        <v>5</v>
      </c>
      <c r="I48" s="20">
        <f>+E48</f>
        <v>104</v>
      </c>
      <c r="J48" s="714"/>
    </row>
    <row r="49" spans="1:10" ht="18" hidden="1" customHeight="1">
      <c r="A49" s="13"/>
      <c r="B49" s="12" t="s">
        <v>23</v>
      </c>
      <c r="C49" s="20"/>
      <c r="D49" s="44">
        <f>VLOOKUP(B49,'10-3 SN'!$B$11:$G$36,6,0)</f>
        <v>362</v>
      </c>
      <c r="E49" s="20">
        <f t="shared" si="7"/>
        <v>362</v>
      </c>
      <c r="F49" s="20"/>
      <c r="G49" s="20">
        <f>+'[2]10-2'!H29</f>
        <v>25</v>
      </c>
      <c r="H49" s="20">
        <f t="shared" si="23"/>
        <v>25</v>
      </c>
      <c r="I49" s="20">
        <f t="shared" ref="I49:I55" si="24">+E49</f>
        <v>362</v>
      </c>
      <c r="J49" s="714"/>
    </row>
    <row r="50" spans="1:10" ht="18" hidden="1" customHeight="1">
      <c r="A50" s="13"/>
      <c r="B50" s="12" t="s">
        <v>21</v>
      </c>
      <c r="C50" s="20"/>
      <c r="D50" s="44">
        <f>VLOOKUP(B50,'10-3 SN'!$B$11:$G$36,6,0)</f>
        <v>129</v>
      </c>
      <c r="E50" s="20">
        <f t="shared" si="7"/>
        <v>129</v>
      </c>
      <c r="F50" s="20"/>
      <c r="G50" s="20">
        <f>+'[2]10-2'!H38</f>
        <v>9</v>
      </c>
      <c r="H50" s="20">
        <f t="shared" si="23"/>
        <v>9</v>
      </c>
      <c r="I50" s="20">
        <f t="shared" si="24"/>
        <v>129</v>
      </c>
      <c r="J50" s="714"/>
    </row>
    <row r="51" spans="1:10" ht="18" hidden="1" customHeight="1">
      <c r="A51" s="13"/>
      <c r="B51" s="12" t="s">
        <v>19</v>
      </c>
      <c r="C51" s="20"/>
      <c r="D51" s="44">
        <f>VLOOKUP(B51,'10-3 SN'!$B$11:$G$36,6,0)</f>
        <v>375</v>
      </c>
      <c r="E51" s="20">
        <f t="shared" si="7"/>
        <v>375</v>
      </c>
      <c r="F51" s="20"/>
      <c r="G51" s="20">
        <f>+'[2]10-2'!H47</f>
        <v>25</v>
      </c>
      <c r="H51" s="20">
        <f t="shared" si="23"/>
        <v>25</v>
      </c>
      <c r="I51" s="20">
        <f t="shared" si="24"/>
        <v>375</v>
      </c>
      <c r="J51" s="714"/>
    </row>
    <row r="52" spans="1:10" ht="18" hidden="1" customHeight="1">
      <c r="A52" s="13"/>
      <c r="B52" s="12" t="s">
        <v>17</v>
      </c>
      <c r="C52" s="20"/>
      <c r="D52" s="44">
        <f>VLOOKUP(B52,'10-3 SN'!$B$11:$G$36,6,0)</f>
        <v>841</v>
      </c>
      <c r="E52" s="20">
        <f t="shared" si="7"/>
        <v>841</v>
      </c>
      <c r="F52" s="20"/>
      <c r="G52" s="20">
        <f>+'[2]10-2'!H56</f>
        <v>55</v>
      </c>
      <c r="H52" s="20">
        <f t="shared" si="23"/>
        <v>55</v>
      </c>
      <c r="I52" s="20">
        <f t="shared" si="24"/>
        <v>841</v>
      </c>
      <c r="J52" s="714"/>
    </row>
    <row r="53" spans="1:10" ht="18" hidden="1" customHeight="1">
      <c r="A53" s="13"/>
      <c r="B53" s="12" t="s">
        <v>15</v>
      </c>
      <c r="C53" s="20"/>
      <c r="D53" s="44">
        <f>VLOOKUP(B53,'10-3 SN'!$B$11:$G$36,6,0)</f>
        <v>1163</v>
      </c>
      <c r="E53" s="20">
        <f t="shared" si="7"/>
        <v>1163</v>
      </c>
      <c r="F53" s="20"/>
      <c r="G53" s="20">
        <f>+'[2]10-2'!H65</f>
        <v>76</v>
      </c>
      <c r="H53" s="20">
        <f t="shared" si="23"/>
        <v>76</v>
      </c>
      <c r="I53" s="20">
        <f t="shared" si="24"/>
        <v>1163</v>
      </c>
      <c r="J53" s="714"/>
    </row>
    <row r="54" spans="1:10" ht="18" hidden="1" customHeight="1">
      <c r="A54" s="13"/>
      <c r="B54" s="12" t="s">
        <v>13</v>
      </c>
      <c r="C54" s="20"/>
      <c r="D54" s="44">
        <f>VLOOKUP(B54,'10-3 SN'!$B$11:$G$36,6,0)</f>
        <v>504</v>
      </c>
      <c r="E54" s="20">
        <f t="shared" si="7"/>
        <v>504</v>
      </c>
      <c r="F54" s="20"/>
      <c r="G54" s="20">
        <f>+'[2]10-2'!H74</f>
        <v>33</v>
      </c>
      <c r="H54" s="20">
        <f t="shared" si="23"/>
        <v>33</v>
      </c>
      <c r="I54" s="20">
        <f t="shared" si="24"/>
        <v>504</v>
      </c>
      <c r="J54" s="714"/>
    </row>
    <row r="55" spans="1:10" ht="18" hidden="1" customHeight="1">
      <c r="A55" s="41"/>
      <c r="B55" s="705" t="s">
        <v>11</v>
      </c>
      <c r="C55" s="706"/>
      <c r="D55" s="45">
        <f>VLOOKUP(B55,'10-3 SN'!$B$11:$G$36,6,0)</f>
        <v>698</v>
      </c>
      <c r="E55" s="706">
        <f t="shared" si="7"/>
        <v>698</v>
      </c>
      <c r="F55" s="706"/>
      <c r="G55" s="706">
        <f>+'[2]10-2'!H83</f>
        <v>47</v>
      </c>
      <c r="H55" s="706">
        <f t="shared" si="23"/>
        <v>47</v>
      </c>
      <c r="I55" s="706">
        <f t="shared" si="24"/>
        <v>698</v>
      </c>
      <c r="J55" s="786"/>
    </row>
    <row r="56" spans="1:10" ht="11.25" customHeight="1">
      <c r="A56" s="105"/>
      <c r="B56" s="105"/>
      <c r="C56" s="105"/>
      <c r="D56" s="105"/>
      <c r="E56" s="105"/>
      <c r="F56" s="105"/>
      <c r="G56" s="105"/>
      <c r="H56" s="105"/>
      <c r="I56" s="105"/>
      <c r="J56" s="105"/>
    </row>
    <row r="57" spans="1:10" s="330" customFormat="1" ht="18" customHeight="1">
      <c r="A57" s="1857" t="s">
        <v>2497</v>
      </c>
      <c r="B57" s="1857"/>
      <c r="C57" s="1857"/>
      <c r="D57" s="1857"/>
      <c r="E57" s="1857"/>
      <c r="F57" s="1857"/>
      <c r="G57" s="1857"/>
      <c r="H57" s="1857"/>
      <c r="I57" s="1857"/>
      <c r="J57" s="1857"/>
    </row>
    <row r="58" spans="1:10">
      <c r="A58" s="1915"/>
      <c r="B58" s="1916"/>
      <c r="C58" s="1916"/>
      <c r="D58" s="1916"/>
      <c r="E58" s="1916"/>
      <c r="F58" s="1916"/>
      <c r="G58" s="1916"/>
      <c r="H58" s="1916"/>
      <c r="I58" s="1916"/>
      <c r="J58" s="1916"/>
    </row>
    <row r="59" spans="1:10" ht="18" customHeight="1"/>
    <row r="60" spans="1:10" ht="18" customHeight="1"/>
    <row r="61" spans="1:10" ht="18" customHeight="1"/>
    <row r="62" spans="1:10" ht="18" customHeight="1"/>
    <row r="63" spans="1:10" ht="18" customHeight="1"/>
    <row r="64" spans="1:10" ht="18" customHeight="1"/>
    <row r="65" ht="18"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sheetData>
  <mergeCells count="15">
    <mergeCell ref="A1:J1"/>
    <mergeCell ref="A5:J5"/>
    <mergeCell ref="A6:J6"/>
    <mergeCell ref="A2:B2"/>
    <mergeCell ref="I2:J2"/>
    <mergeCell ref="A3:J3"/>
    <mergeCell ref="A4:J4"/>
    <mergeCell ref="A57:J57"/>
    <mergeCell ref="A58:J58"/>
    <mergeCell ref="A7:A8"/>
    <mergeCell ref="B7:B8"/>
    <mergeCell ref="F7:H7"/>
    <mergeCell ref="I7:I8"/>
    <mergeCell ref="J7:J8"/>
    <mergeCell ref="C7:C8"/>
  </mergeCells>
  <pageMargins left="0.64" right="0.42" top="0.5" bottom="0.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0070C0"/>
  </sheetPr>
  <dimension ref="A1:K482"/>
  <sheetViews>
    <sheetView workbookViewId="0">
      <selection sqref="A1:I482"/>
    </sheetView>
  </sheetViews>
  <sheetFormatPr defaultColWidth="9.08203125" defaultRowHeight="13"/>
  <cols>
    <col min="1" max="1" width="4.9140625" style="301" customWidth="1"/>
    <col min="2" max="2" width="60.4140625" style="301" customWidth="1"/>
    <col min="3" max="3" width="7.4140625" style="307" customWidth="1"/>
    <col min="4" max="4" width="7.4140625" style="308" customWidth="1"/>
    <col min="5" max="5" width="6.4140625" style="301" customWidth="1"/>
    <col min="6" max="6" width="8" style="301" customWidth="1"/>
    <col min="7" max="7" width="8.33203125" style="301" customWidth="1"/>
    <col min="8" max="8" width="7.9140625" style="276" hidden="1" customWidth="1"/>
    <col min="9" max="9" width="6.4140625" style="331" customWidth="1"/>
    <col min="10" max="16384" width="9.08203125" style="301"/>
  </cols>
  <sheetData>
    <row r="1" spans="1:11" ht="18" customHeight="1">
      <c r="A1" s="1830"/>
      <c r="B1" s="1830"/>
      <c r="C1" s="886"/>
      <c r="D1" s="700"/>
      <c r="E1" s="776"/>
      <c r="F1" s="776"/>
      <c r="G1" s="1823" t="s">
        <v>2113</v>
      </c>
      <c r="H1" s="1922"/>
      <c r="I1" s="1823"/>
    </row>
    <row r="2" spans="1:11" ht="18" customHeight="1">
      <c r="A2" s="1831" t="s">
        <v>2115</v>
      </c>
      <c r="B2" s="1831"/>
      <c r="C2" s="1831"/>
      <c r="D2" s="1831"/>
      <c r="E2" s="1831"/>
      <c r="F2" s="1831"/>
      <c r="G2" s="1831"/>
      <c r="H2" s="1919"/>
      <c r="I2" s="1831"/>
    </row>
    <row r="3" spans="1:11" ht="30" customHeight="1">
      <c r="A3" s="1831" t="s">
        <v>2116</v>
      </c>
      <c r="B3" s="1831"/>
      <c r="C3" s="1831"/>
      <c r="D3" s="1831"/>
      <c r="E3" s="1831"/>
      <c r="F3" s="1831"/>
      <c r="G3" s="1831"/>
      <c r="H3" s="1919"/>
      <c r="I3" s="1831"/>
    </row>
    <row r="4" spans="1:11" ht="18" customHeight="1">
      <c r="A4" s="1920" t="s">
        <v>3</v>
      </c>
      <c r="B4" s="1920"/>
      <c r="C4" s="1920"/>
      <c r="D4" s="1920"/>
      <c r="E4" s="1920"/>
      <c r="F4" s="1920"/>
      <c r="G4" s="1920"/>
      <c r="H4" s="1921"/>
      <c r="I4" s="1920"/>
    </row>
    <row r="5" spans="1:11" ht="21" customHeight="1">
      <c r="A5" s="1832" t="s">
        <v>4</v>
      </c>
      <c r="B5" s="1832" t="s">
        <v>5</v>
      </c>
      <c r="C5" s="1832" t="s">
        <v>737</v>
      </c>
      <c r="D5" s="1832" t="s">
        <v>897</v>
      </c>
      <c r="E5" s="1832" t="s">
        <v>739</v>
      </c>
      <c r="F5" s="1832" t="s">
        <v>727</v>
      </c>
      <c r="G5" s="1832" t="s">
        <v>1600</v>
      </c>
      <c r="H5" s="491"/>
      <c r="I5" s="1832" t="s">
        <v>33</v>
      </c>
    </row>
    <row r="6" spans="1:11" ht="21" customHeight="1">
      <c r="A6" s="1832"/>
      <c r="B6" s="1832"/>
      <c r="C6" s="1832"/>
      <c r="D6" s="1832"/>
      <c r="E6" s="1832"/>
      <c r="F6" s="1832"/>
      <c r="G6" s="1832"/>
      <c r="H6" s="492" t="s">
        <v>898</v>
      </c>
      <c r="I6" s="1832"/>
      <c r="K6" s="301">
        <f>F8</f>
        <v>28858</v>
      </c>
    </row>
    <row r="7" spans="1:11" s="472" customFormat="1" ht="18" customHeight="1">
      <c r="A7" s="462">
        <v>1</v>
      </c>
      <c r="B7" s="462">
        <v>2</v>
      </c>
      <c r="C7" s="462">
        <v>3</v>
      </c>
      <c r="D7" s="462">
        <v>4</v>
      </c>
      <c r="E7" s="462">
        <v>5</v>
      </c>
      <c r="F7" s="462">
        <v>6</v>
      </c>
      <c r="G7" s="462">
        <v>7</v>
      </c>
      <c r="H7" s="493"/>
      <c r="I7" s="462">
        <v>8</v>
      </c>
    </row>
    <row r="8" spans="1:11" ht="18" customHeight="1">
      <c r="A8" s="721"/>
      <c r="B8" s="721" t="s">
        <v>7</v>
      </c>
      <c r="C8" s="721"/>
      <c r="D8" s="777"/>
      <c r="E8" s="94"/>
      <c r="F8" s="23">
        <f>+F9+F118</f>
        <v>28858</v>
      </c>
      <c r="G8" s="23">
        <f>+G9+G118</f>
        <v>27416</v>
      </c>
      <c r="H8" s="269">
        <f>+H9+H118</f>
        <v>1442</v>
      </c>
      <c r="I8" s="94"/>
      <c r="K8" s="301">
        <f>G8</f>
        <v>27416</v>
      </c>
    </row>
    <row r="9" spans="1:11" ht="18" customHeight="1">
      <c r="A9" s="40" t="s">
        <v>8</v>
      </c>
      <c r="B9" s="54" t="s">
        <v>733</v>
      </c>
      <c r="C9" s="721"/>
      <c r="D9" s="777"/>
      <c r="E9" s="94"/>
      <c r="F9" s="23">
        <f>+F10+F27+F88</f>
        <v>17417</v>
      </c>
      <c r="G9" s="23">
        <f t="shared" ref="G9:H9" si="0">+G10+G27+G88</f>
        <v>16526</v>
      </c>
      <c r="H9" s="269">
        <f t="shared" si="0"/>
        <v>891</v>
      </c>
      <c r="I9" s="94"/>
    </row>
    <row r="10" spans="1:11" s="318" customFormat="1" ht="27">
      <c r="A10" s="424">
        <v>1</v>
      </c>
      <c r="B10" s="715" t="s">
        <v>1313</v>
      </c>
      <c r="C10" s="424"/>
      <c r="D10" s="927"/>
      <c r="E10" s="425"/>
      <c r="F10" s="392">
        <f>F12+F14+F24+F25+F17+F22+F23+F26</f>
        <v>3890</v>
      </c>
      <c r="G10" s="392">
        <f t="shared" ref="G10:H10" si="1">G12+G14+G24+G25+G17+G22+G23+G26</f>
        <v>3691</v>
      </c>
      <c r="H10" s="467">
        <f t="shared" si="1"/>
        <v>199</v>
      </c>
      <c r="I10" s="928"/>
    </row>
    <row r="11" spans="1:11" s="141" customFormat="1" ht="26" hidden="1">
      <c r="A11" s="112" t="s">
        <v>742</v>
      </c>
      <c r="B11" s="148" t="s">
        <v>1314</v>
      </c>
      <c r="C11" s="112"/>
      <c r="D11" s="137"/>
      <c r="E11" s="133">
        <v>25</v>
      </c>
      <c r="F11" s="155">
        <v>0</v>
      </c>
      <c r="G11" s="155">
        <v>0</v>
      </c>
      <c r="H11" s="270">
        <f t="shared" ref="H11:H12" si="2">F11-G11</f>
        <v>0</v>
      </c>
      <c r="I11" s="241" t="s">
        <v>1774</v>
      </c>
    </row>
    <row r="12" spans="1:11" ht="39">
      <c r="A12" s="13" t="s">
        <v>742</v>
      </c>
      <c r="B12" s="12" t="s">
        <v>1315</v>
      </c>
      <c r="C12" s="13" t="s">
        <v>878</v>
      </c>
      <c r="D12" s="779">
        <v>6</v>
      </c>
      <c r="E12" s="166">
        <v>60</v>
      </c>
      <c r="F12" s="20">
        <v>360</v>
      </c>
      <c r="G12" s="20">
        <v>342</v>
      </c>
      <c r="H12" s="270">
        <f t="shared" si="2"/>
        <v>18</v>
      </c>
      <c r="I12" s="929"/>
    </row>
    <row r="13" spans="1:11" s="141" customFormat="1" ht="39" hidden="1">
      <c r="A13" s="112" t="s">
        <v>742</v>
      </c>
      <c r="B13" s="148" t="s">
        <v>1316</v>
      </c>
      <c r="C13" s="112"/>
      <c r="D13" s="137"/>
      <c r="E13" s="133">
        <v>5</v>
      </c>
      <c r="F13" s="155">
        <f t="shared" ref="F13" si="3">D13*E13</f>
        <v>0</v>
      </c>
      <c r="G13" s="155"/>
      <c r="H13" s="270"/>
      <c r="I13" s="241" t="s">
        <v>1774</v>
      </c>
    </row>
    <row r="14" spans="1:11" ht="66" customHeight="1">
      <c r="A14" s="13" t="s">
        <v>742</v>
      </c>
      <c r="B14" s="12" t="s">
        <v>1317</v>
      </c>
      <c r="C14" s="13"/>
      <c r="D14" s="779"/>
      <c r="E14" s="930"/>
      <c r="F14" s="20">
        <f>SUM(F15:F16)</f>
        <v>2460</v>
      </c>
      <c r="G14" s="20">
        <f>SUM(G15:G16)</f>
        <v>2337</v>
      </c>
      <c r="H14" s="271">
        <f t="shared" ref="H14" si="4">SUM(H15:H16)</f>
        <v>123</v>
      </c>
      <c r="I14" s="929"/>
    </row>
    <row r="15" spans="1:11" s="141" customFormat="1" ht="18" hidden="1" customHeight="1">
      <c r="A15" s="112"/>
      <c r="B15" s="148" t="s">
        <v>1318</v>
      </c>
      <c r="C15" s="112" t="s">
        <v>903</v>
      </c>
      <c r="D15" s="137">
        <v>12</v>
      </c>
      <c r="E15" s="133">
        <v>80</v>
      </c>
      <c r="F15" s="155">
        <v>960</v>
      </c>
      <c r="G15" s="155">
        <v>912</v>
      </c>
      <c r="H15" s="270">
        <f t="shared" ref="H15:H16" si="5">F15-G15</f>
        <v>48</v>
      </c>
      <c r="I15" s="466" t="s">
        <v>1774</v>
      </c>
    </row>
    <row r="16" spans="1:11" s="141" customFormat="1" ht="18" hidden="1" customHeight="1">
      <c r="A16" s="112"/>
      <c r="B16" s="148" t="s">
        <v>1319</v>
      </c>
      <c r="C16" s="112" t="s">
        <v>875</v>
      </c>
      <c r="D16" s="137">
        <v>6</v>
      </c>
      <c r="E16" s="133">
        <v>250</v>
      </c>
      <c r="F16" s="155">
        <v>1500</v>
      </c>
      <c r="G16" s="155">
        <v>1425</v>
      </c>
      <c r="H16" s="270">
        <f t="shared" si="5"/>
        <v>75</v>
      </c>
      <c r="I16" s="466" t="s">
        <v>1774</v>
      </c>
    </row>
    <row r="17" spans="1:9" ht="38.25" customHeight="1">
      <c r="A17" s="13" t="s">
        <v>742</v>
      </c>
      <c r="B17" s="12" t="s">
        <v>1320</v>
      </c>
      <c r="C17" s="13"/>
      <c r="D17" s="779"/>
      <c r="E17" s="931"/>
      <c r="F17" s="20">
        <f>SUM(F18:F21)</f>
        <v>270</v>
      </c>
      <c r="G17" s="20">
        <f t="shared" ref="G17:H17" si="6">SUM(G18:G21)</f>
        <v>257</v>
      </c>
      <c r="H17" s="271">
        <f t="shared" si="6"/>
        <v>13</v>
      </c>
      <c r="I17" s="929"/>
    </row>
    <row r="18" spans="1:9" s="276" customFormat="1" ht="33" hidden="1" customHeight="1">
      <c r="A18" s="256"/>
      <c r="B18" s="255" t="s">
        <v>1321</v>
      </c>
      <c r="C18" s="256" t="s">
        <v>874</v>
      </c>
      <c r="D18" s="262"/>
      <c r="E18" s="279">
        <v>1</v>
      </c>
      <c r="F18" s="266">
        <v>0</v>
      </c>
      <c r="G18" s="266">
        <v>0</v>
      </c>
      <c r="H18" s="270">
        <f t="shared" ref="H18:H22" si="7">F18-G18</f>
        <v>0</v>
      </c>
      <c r="I18" s="280" t="s">
        <v>1774</v>
      </c>
    </row>
    <row r="19" spans="1:9" s="141" customFormat="1" ht="26.25" hidden="1" customHeight="1">
      <c r="A19" s="112"/>
      <c r="B19" s="148" t="s">
        <v>1322</v>
      </c>
      <c r="C19" s="112" t="s">
        <v>874</v>
      </c>
      <c r="D19" s="137">
        <v>180</v>
      </c>
      <c r="E19" s="160">
        <v>1.5</v>
      </c>
      <c r="F19" s="155">
        <v>270</v>
      </c>
      <c r="G19" s="155">
        <v>257</v>
      </c>
      <c r="H19" s="270">
        <f t="shared" si="7"/>
        <v>13</v>
      </c>
      <c r="I19" s="466" t="s">
        <v>1774</v>
      </c>
    </row>
    <row r="20" spans="1:9" s="276" customFormat="1" ht="30" hidden="1" customHeight="1">
      <c r="A20" s="256"/>
      <c r="B20" s="255" t="s">
        <v>1323</v>
      </c>
      <c r="C20" s="256" t="s">
        <v>874</v>
      </c>
      <c r="D20" s="262"/>
      <c r="E20" s="279">
        <v>1</v>
      </c>
      <c r="F20" s="266">
        <v>0</v>
      </c>
      <c r="G20" s="266">
        <v>0</v>
      </c>
      <c r="H20" s="270">
        <f t="shared" si="7"/>
        <v>0</v>
      </c>
      <c r="I20" s="280" t="s">
        <v>1774</v>
      </c>
    </row>
    <row r="21" spans="1:9" s="276" customFormat="1" ht="28.5" hidden="1" customHeight="1">
      <c r="A21" s="256"/>
      <c r="B21" s="255" t="s">
        <v>1324</v>
      </c>
      <c r="C21" s="256" t="s">
        <v>874</v>
      </c>
      <c r="D21" s="262"/>
      <c r="E21" s="279">
        <v>1</v>
      </c>
      <c r="F21" s="266">
        <v>0</v>
      </c>
      <c r="G21" s="266">
        <v>0</v>
      </c>
      <c r="H21" s="270">
        <f t="shared" si="7"/>
        <v>0</v>
      </c>
      <c r="I21" s="280" t="s">
        <v>1774</v>
      </c>
    </row>
    <row r="22" spans="1:9" s="276" customFormat="1" ht="31.5" hidden="1" customHeight="1">
      <c r="A22" s="256" t="s">
        <v>742</v>
      </c>
      <c r="B22" s="255" t="s">
        <v>1325</v>
      </c>
      <c r="C22" s="256"/>
      <c r="D22" s="262"/>
      <c r="E22" s="279"/>
      <c r="F22" s="266">
        <v>0</v>
      </c>
      <c r="G22" s="266">
        <v>0</v>
      </c>
      <c r="H22" s="270">
        <f t="shared" si="7"/>
        <v>0</v>
      </c>
      <c r="I22" s="280" t="s">
        <v>1774</v>
      </c>
    </row>
    <row r="23" spans="1:9" s="276" customFormat="1" ht="12" hidden="1" customHeight="1">
      <c r="A23" s="281" t="s">
        <v>701</v>
      </c>
      <c r="B23" s="255" t="s">
        <v>1326</v>
      </c>
      <c r="C23" s="256" t="s">
        <v>902</v>
      </c>
      <c r="D23" s="262"/>
      <c r="E23" s="279">
        <v>80</v>
      </c>
      <c r="F23" s="266">
        <v>0</v>
      </c>
      <c r="G23" s="266">
        <v>0</v>
      </c>
      <c r="H23" s="270">
        <f>F23-G23</f>
        <v>0</v>
      </c>
      <c r="I23" s="280" t="s">
        <v>1774</v>
      </c>
    </row>
    <row r="24" spans="1:9" ht="65">
      <c r="A24" s="18" t="s">
        <v>701</v>
      </c>
      <c r="B24" s="12" t="s">
        <v>1640</v>
      </c>
      <c r="C24" s="13" t="s">
        <v>878</v>
      </c>
      <c r="D24" s="779">
        <v>2</v>
      </c>
      <c r="E24" s="166">
        <v>250</v>
      </c>
      <c r="F24" s="20">
        <v>500</v>
      </c>
      <c r="G24" s="20">
        <v>475</v>
      </c>
      <c r="H24" s="270">
        <f>F24-G24</f>
        <v>25</v>
      </c>
      <c r="I24" s="929"/>
    </row>
    <row r="25" spans="1:9" ht="65">
      <c r="A25" s="18" t="s">
        <v>701</v>
      </c>
      <c r="B25" s="12" t="s">
        <v>1641</v>
      </c>
      <c r="C25" s="13" t="s">
        <v>874</v>
      </c>
      <c r="D25" s="779">
        <v>50</v>
      </c>
      <c r="E25" s="166">
        <v>2</v>
      </c>
      <c r="F25" s="20">
        <v>100</v>
      </c>
      <c r="G25" s="20">
        <v>90</v>
      </c>
      <c r="H25" s="270">
        <f>F25-G25</f>
        <v>10</v>
      </c>
      <c r="I25" s="929"/>
    </row>
    <row r="26" spans="1:9" ht="38.25" customHeight="1">
      <c r="A26" s="18" t="s">
        <v>701</v>
      </c>
      <c r="B26" s="12" t="s">
        <v>1329</v>
      </c>
      <c r="C26" s="13" t="s">
        <v>878</v>
      </c>
      <c r="D26" s="779">
        <v>2</v>
      </c>
      <c r="E26" s="166">
        <v>100</v>
      </c>
      <c r="F26" s="20">
        <v>200</v>
      </c>
      <c r="G26" s="20">
        <v>190</v>
      </c>
      <c r="H26" s="270">
        <f>F26-G26</f>
        <v>10</v>
      </c>
      <c r="I26" s="929"/>
    </row>
    <row r="27" spans="1:9" s="318" customFormat="1" ht="27">
      <c r="A27" s="424">
        <v>2</v>
      </c>
      <c r="B27" s="715" t="s">
        <v>1334</v>
      </c>
      <c r="C27" s="424"/>
      <c r="D27" s="927"/>
      <c r="E27" s="425"/>
      <c r="F27" s="21">
        <f>F28+F48+F54+F58</f>
        <v>10741</v>
      </c>
      <c r="G27" s="21">
        <f>G28+G48+G54+G58</f>
        <v>10188</v>
      </c>
      <c r="H27" s="272">
        <f>H28+H48+H54+H58</f>
        <v>553</v>
      </c>
      <c r="I27" s="928"/>
    </row>
    <row r="28" spans="1:9" s="317" customFormat="1" ht="18" customHeight="1">
      <c r="A28" s="26" t="s">
        <v>1335</v>
      </c>
      <c r="B28" s="55" t="s">
        <v>1309</v>
      </c>
      <c r="C28" s="26"/>
      <c r="D28" s="783"/>
      <c r="E28" s="27"/>
      <c r="F28" s="21">
        <f>F29+F33+F38+F39+F40+F41+F44+F47</f>
        <v>2720</v>
      </c>
      <c r="G28" s="21">
        <f t="shared" ref="G28:H28" si="8">G29+G33+G38+G39+G40+G41+G44+G47</f>
        <v>2568</v>
      </c>
      <c r="H28" s="272">
        <f t="shared" si="8"/>
        <v>152</v>
      </c>
      <c r="I28" s="928"/>
    </row>
    <row r="29" spans="1:9" ht="25.5" customHeight="1">
      <c r="A29" s="13" t="s">
        <v>701</v>
      </c>
      <c r="B29" s="12" t="s">
        <v>1336</v>
      </c>
      <c r="C29" s="13"/>
      <c r="D29" s="174"/>
      <c r="E29" s="932"/>
      <c r="F29" s="20">
        <f>SUM(F30:F32)</f>
        <v>1001</v>
      </c>
      <c r="G29" s="20">
        <f t="shared" ref="G29:H29" si="9">SUM(G30:G32)</f>
        <v>951</v>
      </c>
      <c r="H29" s="271">
        <f t="shared" si="9"/>
        <v>50</v>
      </c>
      <c r="I29" s="929"/>
    </row>
    <row r="30" spans="1:9" s="141" customFormat="1" ht="18" hidden="1" customHeight="1">
      <c r="A30" s="112"/>
      <c r="B30" s="154" t="s">
        <v>1586</v>
      </c>
      <c r="C30" s="112" t="s">
        <v>1208</v>
      </c>
      <c r="D30" s="129">
        <v>370000</v>
      </c>
      <c r="E30" s="169">
        <f>2500/1000000</f>
        <v>2.5000000000000001E-3</v>
      </c>
      <c r="F30" s="155">
        <f>D30*E30</f>
        <v>925</v>
      </c>
      <c r="G30" s="155">
        <v>879</v>
      </c>
      <c r="H30" s="270">
        <f>F30-G30</f>
        <v>46</v>
      </c>
      <c r="I30" s="466" t="s">
        <v>1774</v>
      </c>
    </row>
    <row r="31" spans="1:9" s="141" customFormat="1" ht="18" hidden="1" customHeight="1">
      <c r="A31" s="112"/>
      <c r="B31" s="154" t="s">
        <v>1587</v>
      </c>
      <c r="C31" s="112" t="s">
        <v>838</v>
      </c>
      <c r="D31" s="129">
        <v>4</v>
      </c>
      <c r="E31" s="133">
        <v>9</v>
      </c>
      <c r="F31" s="155">
        <v>36</v>
      </c>
      <c r="G31" s="155">
        <v>34</v>
      </c>
      <c r="H31" s="270">
        <v>2</v>
      </c>
      <c r="I31" s="466" t="s">
        <v>1774</v>
      </c>
    </row>
    <row r="32" spans="1:9" s="141" customFormat="1" ht="18" hidden="1" customHeight="1">
      <c r="A32" s="112"/>
      <c r="B32" s="154" t="s">
        <v>1337</v>
      </c>
      <c r="C32" s="112" t="s">
        <v>838</v>
      </c>
      <c r="D32" s="129">
        <v>4</v>
      </c>
      <c r="E32" s="133">
        <v>10</v>
      </c>
      <c r="F32" s="155">
        <f>D32*E32</f>
        <v>40</v>
      </c>
      <c r="G32" s="155">
        <v>38</v>
      </c>
      <c r="H32" s="270">
        <f>F32-G32</f>
        <v>2</v>
      </c>
      <c r="I32" s="466" t="s">
        <v>1774</v>
      </c>
    </row>
    <row r="33" spans="1:9" ht="26">
      <c r="A33" s="13" t="s">
        <v>701</v>
      </c>
      <c r="B33" s="12" t="s">
        <v>1338</v>
      </c>
      <c r="C33" s="13"/>
      <c r="D33" s="779"/>
      <c r="E33" s="933"/>
      <c r="F33" s="20">
        <f>SUM(F34:F37)</f>
        <v>999</v>
      </c>
      <c r="G33" s="20">
        <f t="shared" ref="G33:H33" si="10">SUM(G34:G37)</f>
        <v>949</v>
      </c>
      <c r="H33" s="271">
        <f t="shared" si="10"/>
        <v>50</v>
      </c>
      <c r="I33" s="929"/>
    </row>
    <row r="34" spans="1:9" s="141" customFormat="1" ht="18" hidden="1" customHeight="1">
      <c r="A34" s="112"/>
      <c r="B34" s="154" t="s">
        <v>1642</v>
      </c>
      <c r="C34" s="112" t="s">
        <v>838</v>
      </c>
      <c r="D34" s="137">
        <v>11310</v>
      </c>
      <c r="E34" s="162">
        <f>80000/1000000</f>
        <v>0.08</v>
      </c>
      <c r="F34" s="155">
        <v>905</v>
      </c>
      <c r="G34" s="155">
        <v>860</v>
      </c>
      <c r="H34" s="270">
        <f t="shared" ref="H34:H47" si="11">F34-G34</f>
        <v>45</v>
      </c>
      <c r="I34" s="466" t="s">
        <v>1774</v>
      </c>
    </row>
    <row r="35" spans="1:9" s="141" customFormat="1" ht="18" hidden="1" customHeight="1">
      <c r="A35" s="112"/>
      <c r="B35" s="154" t="s">
        <v>1587</v>
      </c>
      <c r="C35" s="112" t="s">
        <v>838</v>
      </c>
      <c r="D35" s="129">
        <v>4</v>
      </c>
      <c r="E35" s="133">
        <v>9</v>
      </c>
      <c r="F35" s="155">
        <v>36</v>
      </c>
      <c r="G35" s="155">
        <v>34</v>
      </c>
      <c r="H35" s="270">
        <f t="shared" si="11"/>
        <v>2</v>
      </c>
      <c r="I35" s="466" t="s">
        <v>1774</v>
      </c>
    </row>
    <row r="36" spans="1:9" s="141" customFormat="1" ht="18" hidden="1" customHeight="1">
      <c r="A36" s="112"/>
      <c r="B36" s="154" t="s">
        <v>1643</v>
      </c>
      <c r="C36" s="112" t="s">
        <v>838</v>
      </c>
      <c r="D36" s="137">
        <v>4</v>
      </c>
      <c r="E36" s="162">
        <v>4.5</v>
      </c>
      <c r="F36" s="155">
        <v>18</v>
      </c>
      <c r="G36" s="155">
        <v>17</v>
      </c>
      <c r="H36" s="270">
        <f t="shared" si="11"/>
        <v>1</v>
      </c>
      <c r="I36" s="466" t="s">
        <v>1774</v>
      </c>
    </row>
    <row r="37" spans="1:9" s="141" customFormat="1" ht="18" hidden="1" customHeight="1">
      <c r="A37" s="112"/>
      <c r="B37" s="154" t="s">
        <v>1337</v>
      </c>
      <c r="C37" s="112" t="s">
        <v>838</v>
      </c>
      <c r="D37" s="129">
        <v>4</v>
      </c>
      <c r="E37" s="133">
        <v>10</v>
      </c>
      <c r="F37" s="155">
        <v>40</v>
      </c>
      <c r="G37" s="155">
        <v>38</v>
      </c>
      <c r="H37" s="270">
        <f t="shared" si="11"/>
        <v>2</v>
      </c>
      <c r="I37" s="466" t="s">
        <v>1774</v>
      </c>
    </row>
    <row r="38" spans="1:9" ht="39">
      <c r="A38" s="13" t="s">
        <v>701</v>
      </c>
      <c r="B38" s="12" t="s">
        <v>1339</v>
      </c>
      <c r="C38" s="13" t="s">
        <v>903</v>
      </c>
      <c r="D38" s="779">
        <v>8</v>
      </c>
      <c r="E38" s="931">
        <v>25</v>
      </c>
      <c r="F38" s="20">
        <f>D38*E38</f>
        <v>200</v>
      </c>
      <c r="G38" s="20">
        <v>190</v>
      </c>
      <c r="H38" s="270">
        <f t="shared" si="11"/>
        <v>10</v>
      </c>
      <c r="I38" s="929"/>
    </row>
    <row r="39" spans="1:9" s="141" customFormat="1" ht="33" hidden="1" customHeight="1">
      <c r="A39" s="112" t="s">
        <v>701</v>
      </c>
      <c r="B39" s="148" t="s">
        <v>1340</v>
      </c>
      <c r="C39" s="112" t="s">
        <v>1229</v>
      </c>
      <c r="D39" s="137">
        <v>0</v>
      </c>
      <c r="E39" s="133">
        <v>0</v>
      </c>
      <c r="F39" s="155">
        <v>0</v>
      </c>
      <c r="G39" s="155">
        <v>0</v>
      </c>
      <c r="H39" s="270">
        <f t="shared" si="11"/>
        <v>0</v>
      </c>
      <c r="I39" s="241" t="s">
        <v>1774</v>
      </c>
    </row>
    <row r="40" spans="1:9" s="141" customFormat="1" ht="37.5" hidden="1" customHeight="1">
      <c r="A40" s="112" t="s">
        <v>701</v>
      </c>
      <c r="B40" s="148" t="s">
        <v>1341</v>
      </c>
      <c r="C40" s="112" t="s">
        <v>1342</v>
      </c>
      <c r="D40" s="137">
        <v>0</v>
      </c>
      <c r="E40" s="160">
        <v>0</v>
      </c>
      <c r="F40" s="155">
        <v>0</v>
      </c>
      <c r="G40" s="155">
        <v>0</v>
      </c>
      <c r="H40" s="270">
        <f t="shared" si="11"/>
        <v>0</v>
      </c>
      <c r="I40" s="241" t="s">
        <v>1774</v>
      </c>
    </row>
    <row r="41" spans="1:9" ht="26">
      <c r="A41" s="13" t="s">
        <v>701</v>
      </c>
      <c r="B41" s="12" t="s">
        <v>1343</v>
      </c>
      <c r="C41" s="13"/>
      <c r="D41" s="74"/>
      <c r="E41" s="74"/>
      <c r="F41" s="20">
        <f>SUM(F42:F43)</f>
        <v>200</v>
      </c>
      <c r="G41" s="20">
        <f>SUM(G42:G43)</f>
        <v>190</v>
      </c>
      <c r="H41" s="262">
        <f t="shared" ref="H41" si="12">SUM(H42:H43)</f>
        <v>10</v>
      </c>
      <c r="I41" s="929"/>
    </row>
    <row r="42" spans="1:9" s="141" customFormat="1" hidden="1">
      <c r="A42" s="112"/>
      <c r="B42" s="148" t="s">
        <v>1588</v>
      </c>
      <c r="C42" s="112" t="s">
        <v>1344</v>
      </c>
      <c r="D42" s="137">
        <v>20</v>
      </c>
      <c r="E42" s="160">
        <v>9</v>
      </c>
      <c r="F42" s="155">
        <f>D42*E42</f>
        <v>180</v>
      </c>
      <c r="G42" s="155">
        <v>171</v>
      </c>
      <c r="H42" s="271">
        <f t="shared" ref="H42:H43" si="13">F42-G42</f>
        <v>9</v>
      </c>
      <c r="I42" s="466" t="s">
        <v>1774</v>
      </c>
    </row>
    <row r="43" spans="1:9" s="141" customFormat="1" ht="26" hidden="1">
      <c r="A43" s="112"/>
      <c r="B43" s="148" t="s">
        <v>1345</v>
      </c>
      <c r="C43" s="112" t="s">
        <v>1346</v>
      </c>
      <c r="D43" s="137">
        <v>10</v>
      </c>
      <c r="E43" s="160">
        <v>2</v>
      </c>
      <c r="F43" s="155">
        <f>D43*E43</f>
        <v>20</v>
      </c>
      <c r="G43" s="155">
        <v>19</v>
      </c>
      <c r="H43" s="271">
        <f t="shared" si="13"/>
        <v>1</v>
      </c>
      <c r="I43" s="466" t="s">
        <v>1774</v>
      </c>
    </row>
    <row r="44" spans="1:9" ht="26">
      <c r="A44" s="13" t="s">
        <v>701</v>
      </c>
      <c r="B44" s="12" t="s">
        <v>1730</v>
      </c>
      <c r="C44" s="13"/>
      <c r="D44" s="779"/>
      <c r="E44" s="166"/>
      <c r="F44" s="20">
        <f>SUM(F45:F46)</f>
        <v>320</v>
      </c>
      <c r="G44" s="20">
        <v>288</v>
      </c>
      <c r="H44" s="271">
        <v>32</v>
      </c>
      <c r="I44" s="929"/>
    </row>
    <row r="45" spans="1:9" s="141" customFormat="1" ht="18" hidden="1" customHeight="1">
      <c r="A45" s="112"/>
      <c r="B45" s="148" t="s">
        <v>1589</v>
      </c>
      <c r="C45" s="112" t="s">
        <v>878</v>
      </c>
      <c r="D45" s="137">
        <v>8</v>
      </c>
      <c r="E45" s="160">
        <v>25</v>
      </c>
      <c r="F45" s="155">
        <f>D45*E45</f>
        <v>200</v>
      </c>
      <c r="G45" s="155">
        <v>190</v>
      </c>
      <c r="H45" s="271">
        <f t="shared" si="11"/>
        <v>10</v>
      </c>
      <c r="I45" s="466" t="s">
        <v>1774</v>
      </c>
    </row>
    <row r="46" spans="1:9" s="141" customFormat="1" ht="18" hidden="1" customHeight="1">
      <c r="A46" s="112"/>
      <c r="B46" s="148" t="s">
        <v>1590</v>
      </c>
      <c r="C46" s="112" t="s">
        <v>878</v>
      </c>
      <c r="D46" s="137">
        <v>12</v>
      </c>
      <c r="E46" s="162">
        <v>10</v>
      </c>
      <c r="F46" s="155">
        <f>D46*E46</f>
        <v>120</v>
      </c>
      <c r="G46" s="155">
        <v>114</v>
      </c>
      <c r="H46" s="271">
        <f t="shared" si="11"/>
        <v>6</v>
      </c>
      <c r="I46" s="466" t="s">
        <v>1774</v>
      </c>
    </row>
    <row r="47" spans="1:9" s="141" customFormat="1" ht="29.25" hidden="1" customHeight="1">
      <c r="A47" s="112" t="s">
        <v>701</v>
      </c>
      <c r="B47" s="148" t="s">
        <v>1348</v>
      </c>
      <c r="C47" s="112" t="s">
        <v>878</v>
      </c>
      <c r="D47" s="137">
        <v>0</v>
      </c>
      <c r="E47" s="160">
        <v>0</v>
      </c>
      <c r="F47" s="155">
        <f t="shared" ref="F47" si="14">D47*E47</f>
        <v>0</v>
      </c>
      <c r="G47" s="155">
        <v>0</v>
      </c>
      <c r="H47" s="271">
        <f t="shared" si="11"/>
        <v>0</v>
      </c>
      <c r="I47" s="280" t="s">
        <v>1774</v>
      </c>
    </row>
    <row r="48" spans="1:9" s="317" customFormat="1" ht="39">
      <c r="A48" s="26" t="s">
        <v>1349</v>
      </c>
      <c r="B48" s="55" t="s">
        <v>1350</v>
      </c>
      <c r="C48" s="26"/>
      <c r="D48" s="783"/>
      <c r="E48" s="934"/>
      <c r="F48" s="21">
        <f>F49+F50+F53</f>
        <v>5494</v>
      </c>
      <c r="G48" s="21">
        <f>G49+G50+G53</f>
        <v>5220</v>
      </c>
      <c r="H48" s="272">
        <f>H49+H50+H53</f>
        <v>274</v>
      </c>
      <c r="I48" s="928"/>
    </row>
    <row r="49" spans="1:9" ht="26">
      <c r="A49" s="13" t="s">
        <v>742</v>
      </c>
      <c r="B49" s="12" t="s">
        <v>1351</v>
      </c>
      <c r="C49" s="13" t="s">
        <v>1018</v>
      </c>
      <c r="D49" s="779">
        <v>45</v>
      </c>
      <c r="E49" s="166">
        <v>100</v>
      </c>
      <c r="F49" s="20">
        <f>D49*E49</f>
        <v>4500</v>
      </c>
      <c r="G49" s="20">
        <f>F49-H49</f>
        <v>4275</v>
      </c>
      <c r="H49" s="271">
        <f>F49*5%</f>
        <v>225</v>
      </c>
      <c r="I49" s="929"/>
    </row>
    <row r="50" spans="1:9" ht="26">
      <c r="A50" s="13" t="s">
        <v>742</v>
      </c>
      <c r="B50" s="12" t="s">
        <v>1352</v>
      </c>
      <c r="C50" s="13"/>
      <c r="D50" s="779"/>
      <c r="E50" s="166"/>
      <c r="F50" s="20">
        <f>F51+F52</f>
        <v>850</v>
      </c>
      <c r="G50" s="20">
        <f t="shared" ref="G50:H50" si="15">G51+G52</f>
        <v>808</v>
      </c>
      <c r="H50" s="271">
        <f t="shared" si="15"/>
        <v>42</v>
      </c>
      <c r="I50" s="929"/>
    </row>
    <row r="51" spans="1:9" s="141" customFormat="1" ht="26" hidden="1">
      <c r="A51" s="112"/>
      <c r="B51" s="148" t="s">
        <v>1353</v>
      </c>
      <c r="C51" s="112" t="s">
        <v>1018</v>
      </c>
      <c r="D51" s="137">
        <v>5</v>
      </c>
      <c r="E51" s="133">
        <v>120</v>
      </c>
      <c r="F51" s="155">
        <f>D51*E51</f>
        <v>600</v>
      </c>
      <c r="G51" s="155">
        <f t="shared" ref="G51" si="16">F51-H51</f>
        <v>570</v>
      </c>
      <c r="H51" s="271">
        <f t="shared" ref="H51" si="17">F51*5%</f>
        <v>30</v>
      </c>
      <c r="I51" s="466" t="s">
        <v>1774</v>
      </c>
    </row>
    <row r="52" spans="1:9" s="141" customFormat="1" ht="18" hidden="1" customHeight="1">
      <c r="A52" s="112"/>
      <c r="B52" s="148" t="s">
        <v>1354</v>
      </c>
      <c r="C52" s="112" t="s">
        <v>903</v>
      </c>
      <c r="D52" s="137">
        <v>5</v>
      </c>
      <c r="E52" s="133">
        <v>50</v>
      </c>
      <c r="F52" s="155">
        <v>250</v>
      </c>
      <c r="G52" s="155">
        <v>238</v>
      </c>
      <c r="H52" s="271">
        <f>F52-G52</f>
        <v>12</v>
      </c>
      <c r="I52" s="466" t="s">
        <v>1774</v>
      </c>
    </row>
    <row r="53" spans="1:9" ht="39">
      <c r="A53" s="13" t="s">
        <v>742</v>
      </c>
      <c r="B53" s="12" t="s">
        <v>1355</v>
      </c>
      <c r="C53" s="13" t="s">
        <v>1644</v>
      </c>
      <c r="D53" s="779">
        <v>480000</v>
      </c>
      <c r="E53" s="166">
        <v>2.9999999999999997E-4</v>
      </c>
      <c r="F53" s="20">
        <v>144</v>
      </c>
      <c r="G53" s="20">
        <v>137</v>
      </c>
      <c r="H53" s="271">
        <f>F53-G53</f>
        <v>7</v>
      </c>
      <c r="I53" s="929"/>
    </row>
    <row r="54" spans="1:9" s="317" customFormat="1" ht="18" customHeight="1">
      <c r="A54" s="26" t="s">
        <v>1356</v>
      </c>
      <c r="B54" s="55" t="s">
        <v>893</v>
      </c>
      <c r="C54" s="26"/>
      <c r="D54" s="783"/>
      <c r="E54" s="934"/>
      <c r="F54" s="21">
        <f>F55+F56+F57</f>
        <v>1474</v>
      </c>
      <c r="G54" s="21">
        <f>G55+G56+G57</f>
        <v>1400</v>
      </c>
      <c r="H54" s="272">
        <f>H55+H56+H57</f>
        <v>74</v>
      </c>
      <c r="I54" s="928"/>
    </row>
    <row r="55" spans="1:9" ht="37.5" customHeight="1">
      <c r="A55" s="13" t="s">
        <v>742</v>
      </c>
      <c r="B55" s="12" t="s">
        <v>1357</v>
      </c>
      <c r="C55" s="13" t="s">
        <v>1034</v>
      </c>
      <c r="D55" s="779">
        <v>30</v>
      </c>
      <c r="E55" s="166">
        <v>31</v>
      </c>
      <c r="F55" s="20">
        <f>D55*E55</f>
        <v>930</v>
      </c>
      <c r="G55" s="20">
        <v>884</v>
      </c>
      <c r="H55" s="271">
        <f>F55-G55</f>
        <v>46</v>
      </c>
      <c r="I55" s="929"/>
    </row>
    <row r="56" spans="1:9" ht="26">
      <c r="A56" s="13" t="s">
        <v>927</v>
      </c>
      <c r="B56" s="12" t="s">
        <v>1358</v>
      </c>
      <c r="C56" s="13"/>
      <c r="D56" s="779">
        <f>+D57</f>
        <v>16</v>
      </c>
      <c r="E56" s="779">
        <v>17</v>
      </c>
      <c r="F56" s="20">
        <f>D56*E56</f>
        <v>272</v>
      </c>
      <c r="G56" s="20">
        <f>+G57</f>
        <v>258</v>
      </c>
      <c r="H56" s="262">
        <f>+H57</f>
        <v>14</v>
      </c>
      <c r="I56" s="929"/>
    </row>
    <row r="57" spans="1:9" s="141" customFormat="1" ht="52" hidden="1">
      <c r="A57" s="112"/>
      <c r="B57" s="148" t="s">
        <v>1359</v>
      </c>
      <c r="C57" s="112" t="s">
        <v>1360</v>
      </c>
      <c r="D57" s="137">
        <f>4*4</f>
        <v>16</v>
      </c>
      <c r="E57" s="133">
        <v>17</v>
      </c>
      <c r="F57" s="155">
        <v>272</v>
      </c>
      <c r="G57" s="155">
        <v>258</v>
      </c>
      <c r="H57" s="271">
        <f>F57-G57</f>
        <v>14</v>
      </c>
      <c r="I57" s="466" t="s">
        <v>1774</v>
      </c>
    </row>
    <row r="58" spans="1:9" s="327" customFormat="1" ht="18" customHeight="1">
      <c r="A58" s="40" t="s">
        <v>1361</v>
      </c>
      <c r="B58" s="54" t="s">
        <v>1728</v>
      </c>
      <c r="C58" s="40"/>
      <c r="D58" s="935">
        <f>SUM(D59:D87)</f>
        <v>29</v>
      </c>
      <c r="E58" s="39"/>
      <c r="F58" s="23">
        <v>1053</v>
      </c>
      <c r="G58" s="23">
        <v>1000</v>
      </c>
      <c r="H58" s="465">
        <f>F58-G58</f>
        <v>53</v>
      </c>
      <c r="I58" s="928"/>
    </row>
    <row r="59" spans="1:9" s="243" customFormat="1" ht="18" hidden="1" customHeight="1">
      <c r="A59" s="242"/>
      <c r="B59" s="148" t="s">
        <v>1645</v>
      </c>
      <c r="C59" s="112" t="s">
        <v>1265</v>
      </c>
      <c r="D59" s="163">
        <v>1</v>
      </c>
      <c r="E59" s="191">
        <v>37.6</v>
      </c>
      <c r="F59" s="190">
        <v>37.6</v>
      </c>
      <c r="G59" s="190"/>
      <c r="H59" s="261"/>
      <c r="I59" s="466" t="s">
        <v>1774</v>
      </c>
    </row>
    <row r="60" spans="1:9" s="243" customFormat="1" ht="18" hidden="1" customHeight="1">
      <c r="A60" s="242"/>
      <c r="B60" s="148" t="s">
        <v>1646</v>
      </c>
      <c r="C60" s="112" t="s">
        <v>1265</v>
      </c>
      <c r="D60" s="163">
        <v>1</v>
      </c>
      <c r="E60" s="191">
        <v>37.299999999999997</v>
      </c>
      <c r="F60" s="190">
        <v>37.299999999999997</v>
      </c>
      <c r="G60" s="190"/>
      <c r="H60" s="261"/>
      <c r="I60" s="466" t="s">
        <v>1774</v>
      </c>
    </row>
    <row r="61" spans="1:9" s="243" customFormat="1" ht="18" hidden="1" customHeight="1">
      <c r="A61" s="242"/>
      <c r="B61" s="148" t="s">
        <v>1647</v>
      </c>
      <c r="C61" s="112" t="s">
        <v>1265</v>
      </c>
      <c r="D61" s="163">
        <v>1</v>
      </c>
      <c r="E61" s="191">
        <v>29.6</v>
      </c>
      <c r="F61" s="190">
        <v>29.6</v>
      </c>
      <c r="G61" s="190"/>
      <c r="H61" s="261"/>
      <c r="I61" s="466" t="s">
        <v>1774</v>
      </c>
    </row>
    <row r="62" spans="1:9" s="243" customFormat="1" ht="18" hidden="1" customHeight="1">
      <c r="A62" s="242"/>
      <c r="B62" s="148" t="s">
        <v>1648</v>
      </c>
      <c r="C62" s="112" t="s">
        <v>1265</v>
      </c>
      <c r="D62" s="163">
        <v>1</v>
      </c>
      <c r="E62" s="191">
        <v>36.299999999999997</v>
      </c>
      <c r="F62" s="190">
        <v>36.299999999999997</v>
      </c>
      <c r="G62" s="190"/>
      <c r="H62" s="261"/>
      <c r="I62" s="466" t="s">
        <v>1774</v>
      </c>
    </row>
    <row r="63" spans="1:9" s="243" customFormat="1" ht="18" hidden="1" customHeight="1">
      <c r="A63" s="242"/>
      <c r="B63" s="148" t="s">
        <v>1649</v>
      </c>
      <c r="C63" s="112" t="s">
        <v>1265</v>
      </c>
      <c r="D63" s="163">
        <v>1</v>
      </c>
      <c r="E63" s="191">
        <v>36.299999999999997</v>
      </c>
      <c r="F63" s="190">
        <v>36.299999999999997</v>
      </c>
      <c r="G63" s="190"/>
      <c r="H63" s="261"/>
      <c r="I63" s="466" t="s">
        <v>1774</v>
      </c>
    </row>
    <row r="64" spans="1:9" s="243" customFormat="1" ht="18" hidden="1" customHeight="1">
      <c r="A64" s="242"/>
      <c r="B64" s="148" t="s">
        <v>1650</v>
      </c>
      <c r="C64" s="112" t="s">
        <v>1265</v>
      </c>
      <c r="D64" s="163">
        <v>1</v>
      </c>
      <c r="E64" s="191">
        <v>29.6</v>
      </c>
      <c r="F64" s="190">
        <v>29.6</v>
      </c>
      <c r="G64" s="190"/>
      <c r="H64" s="261"/>
      <c r="I64" s="466" t="s">
        <v>1774</v>
      </c>
    </row>
    <row r="65" spans="1:9" s="243" customFormat="1" ht="18" hidden="1" customHeight="1">
      <c r="A65" s="242"/>
      <c r="B65" s="148" t="s">
        <v>1651</v>
      </c>
      <c r="C65" s="112" t="s">
        <v>1265</v>
      </c>
      <c r="D65" s="163">
        <v>1</v>
      </c>
      <c r="E65" s="191">
        <v>36.4</v>
      </c>
      <c r="F65" s="190">
        <v>36.4</v>
      </c>
      <c r="G65" s="190"/>
      <c r="H65" s="261"/>
      <c r="I65" s="466" t="s">
        <v>1774</v>
      </c>
    </row>
    <row r="66" spans="1:9" s="243" customFormat="1" ht="18" hidden="1" customHeight="1">
      <c r="A66" s="242"/>
      <c r="B66" s="148" t="s">
        <v>1652</v>
      </c>
      <c r="C66" s="112" t="s">
        <v>1265</v>
      </c>
      <c r="D66" s="163">
        <v>1</v>
      </c>
      <c r="E66" s="191">
        <v>36.4</v>
      </c>
      <c r="F66" s="190">
        <v>36.4</v>
      </c>
      <c r="G66" s="190"/>
      <c r="H66" s="261"/>
      <c r="I66" s="466" t="s">
        <v>1774</v>
      </c>
    </row>
    <row r="67" spans="1:9" s="243" customFormat="1" ht="18" hidden="1" customHeight="1">
      <c r="A67" s="242"/>
      <c r="B67" s="148" t="s">
        <v>1653</v>
      </c>
      <c r="C67" s="112" t="s">
        <v>1265</v>
      </c>
      <c r="D67" s="163">
        <v>1</v>
      </c>
      <c r="E67" s="191">
        <v>37.1</v>
      </c>
      <c r="F67" s="190">
        <v>37.1</v>
      </c>
      <c r="G67" s="190"/>
      <c r="H67" s="261"/>
      <c r="I67" s="466" t="s">
        <v>1774</v>
      </c>
    </row>
    <row r="68" spans="1:9" s="243" customFormat="1" ht="18" hidden="1" customHeight="1">
      <c r="A68" s="242"/>
      <c r="B68" s="148" t="s">
        <v>1654</v>
      </c>
      <c r="C68" s="112" t="s">
        <v>1265</v>
      </c>
      <c r="D68" s="163">
        <v>1</v>
      </c>
      <c r="E68" s="191">
        <v>36.6</v>
      </c>
      <c r="F68" s="190">
        <v>36.6</v>
      </c>
      <c r="G68" s="190"/>
      <c r="H68" s="261"/>
      <c r="I68" s="466" t="s">
        <v>1774</v>
      </c>
    </row>
    <row r="69" spans="1:9" s="243" customFormat="1" ht="18" hidden="1" customHeight="1">
      <c r="A69" s="242"/>
      <c r="B69" s="148" t="s">
        <v>1655</v>
      </c>
      <c r="C69" s="112" t="s">
        <v>1265</v>
      </c>
      <c r="D69" s="163">
        <v>1</v>
      </c>
      <c r="E69" s="191">
        <v>36.5</v>
      </c>
      <c r="F69" s="190">
        <v>36.5</v>
      </c>
      <c r="G69" s="190"/>
      <c r="H69" s="261"/>
      <c r="I69" s="466" t="s">
        <v>1774</v>
      </c>
    </row>
    <row r="70" spans="1:9" s="243" customFormat="1" ht="18" hidden="1" customHeight="1">
      <c r="A70" s="242"/>
      <c r="B70" s="148" t="s">
        <v>1656</v>
      </c>
      <c r="C70" s="112" t="s">
        <v>1265</v>
      </c>
      <c r="D70" s="163">
        <v>1</v>
      </c>
      <c r="E70" s="191">
        <v>36.4</v>
      </c>
      <c r="F70" s="190">
        <v>36.4</v>
      </c>
      <c r="G70" s="190"/>
      <c r="H70" s="261"/>
      <c r="I70" s="466" t="s">
        <v>1774</v>
      </c>
    </row>
    <row r="71" spans="1:9" s="243" customFormat="1" ht="18" hidden="1" customHeight="1">
      <c r="A71" s="242"/>
      <c r="B71" s="148" t="s">
        <v>1657</v>
      </c>
      <c r="C71" s="112" t="s">
        <v>1265</v>
      </c>
      <c r="D71" s="163">
        <v>1</v>
      </c>
      <c r="E71" s="191">
        <v>36.299999999999997</v>
      </c>
      <c r="F71" s="190">
        <v>36.299999999999997</v>
      </c>
      <c r="G71" s="190"/>
      <c r="H71" s="261"/>
      <c r="I71" s="466" t="s">
        <v>1774</v>
      </c>
    </row>
    <row r="72" spans="1:9" s="243" customFormat="1" ht="18" hidden="1" customHeight="1">
      <c r="A72" s="242"/>
      <c r="B72" s="148" t="s">
        <v>1658</v>
      </c>
      <c r="C72" s="112" t="s">
        <v>1265</v>
      </c>
      <c r="D72" s="163">
        <v>1</v>
      </c>
      <c r="E72" s="191">
        <v>36.799999999999997</v>
      </c>
      <c r="F72" s="190">
        <v>36.799999999999997</v>
      </c>
      <c r="G72" s="190"/>
      <c r="H72" s="261"/>
      <c r="I72" s="466" t="s">
        <v>1774</v>
      </c>
    </row>
    <row r="73" spans="1:9" s="243" customFormat="1" ht="18" hidden="1" customHeight="1">
      <c r="A73" s="242"/>
      <c r="B73" s="148" t="s">
        <v>1659</v>
      </c>
      <c r="C73" s="112" t="s">
        <v>1265</v>
      </c>
      <c r="D73" s="163">
        <v>1</v>
      </c>
      <c r="E73" s="191">
        <v>36.9</v>
      </c>
      <c r="F73" s="190">
        <v>36.9</v>
      </c>
      <c r="G73" s="190"/>
      <c r="H73" s="261"/>
      <c r="I73" s="466" t="s">
        <v>1774</v>
      </c>
    </row>
    <row r="74" spans="1:9" s="243" customFormat="1" ht="18" hidden="1" customHeight="1">
      <c r="A74" s="242"/>
      <c r="B74" s="148" t="s">
        <v>1660</v>
      </c>
      <c r="C74" s="112" t="s">
        <v>1265</v>
      </c>
      <c r="D74" s="163">
        <v>1</v>
      </c>
      <c r="E74" s="191">
        <v>36.9</v>
      </c>
      <c r="F74" s="190">
        <v>36.9</v>
      </c>
      <c r="G74" s="190"/>
      <c r="H74" s="261"/>
      <c r="I74" s="466" t="s">
        <v>1774</v>
      </c>
    </row>
    <row r="75" spans="1:9" s="243" customFormat="1" ht="18" hidden="1" customHeight="1">
      <c r="A75" s="242"/>
      <c r="B75" s="148" t="s">
        <v>1661</v>
      </c>
      <c r="C75" s="112" t="s">
        <v>1265</v>
      </c>
      <c r="D75" s="163">
        <v>1</v>
      </c>
      <c r="E75" s="191">
        <v>36.5</v>
      </c>
      <c r="F75" s="190">
        <v>36.5</v>
      </c>
      <c r="G75" s="190"/>
      <c r="H75" s="261"/>
      <c r="I75" s="466" t="s">
        <v>1774</v>
      </c>
    </row>
    <row r="76" spans="1:9" s="243" customFormat="1" ht="18" hidden="1" customHeight="1">
      <c r="A76" s="242"/>
      <c r="B76" s="148" t="s">
        <v>1662</v>
      </c>
      <c r="C76" s="112" t="s">
        <v>1265</v>
      </c>
      <c r="D76" s="163">
        <v>1</v>
      </c>
      <c r="E76" s="191">
        <v>36.4</v>
      </c>
      <c r="F76" s="190">
        <v>36.4</v>
      </c>
      <c r="G76" s="190"/>
      <c r="H76" s="261"/>
      <c r="I76" s="466" t="s">
        <v>1774</v>
      </c>
    </row>
    <row r="77" spans="1:9" s="243" customFormat="1" ht="18" hidden="1" customHeight="1">
      <c r="A77" s="242"/>
      <c r="B77" s="148" t="s">
        <v>1663</v>
      </c>
      <c r="C77" s="112" t="s">
        <v>1265</v>
      </c>
      <c r="D77" s="163">
        <v>1</v>
      </c>
      <c r="E77" s="191">
        <v>36.6</v>
      </c>
      <c r="F77" s="190">
        <v>36.6</v>
      </c>
      <c r="G77" s="190"/>
      <c r="H77" s="261"/>
      <c r="I77" s="466" t="s">
        <v>1774</v>
      </c>
    </row>
    <row r="78" spans="1:9" s="243" customFormat="1" ht="18" hidden="1" customHeight="1">
      <c r="A78" s="242"/>
      <c r="B78" s="148" t="s">
        <v>1664</v>
      </c>
      <c r="C78" s="112" t="s">
        <v>1265</v>
      </c>
      <c r="D78" s="163">
        <v>1</v>
      </c>
      <c r="E78" s="191">
        <v>36.299999999999997</v>
      </c>
      <c r="F78" s="190">
        <v>36.299999999999997</v>
      </c>
      <c r="G78" s="190"/>
      <c r="H78" s="261"/>
      <c r="I78" s="466" t="s">
        <v>1774</v>
      </c>
    </row>
    <row r="79" spans="1:9" s="243" customFormat="1" ht="18" hidden="1" customHeight="1">
      <c r="A79" s="242"/>
      <c r="B79" s="148" t="s">
        <v>1665</v>
      </c>
      <c r="C79" s="112" t="s">
        <v>1265</v>
      </c>
      <c r="D79" s="163">
        <v>1</v>
      </c>
      <c r="E79" s="191">
        <v>36.6</v>
      </c>
      <c r="F79" s="190">
        <v>36.6</v>
      </c>
      <c r="G79" s="190"/>
      <c r="H79" s="261"/>
      <c r="I79" s="466" t="s">
        <v>1774</v>
      </c>
    </row>
    <row r="80" spans="1:9" s="243" customFormat="1" ht="18" hidden="1" customHeight="1">
      <c r="A80" s="242"/>
      <c r="B80" s="148" t="s">
        <v>1666</v>
      </c>
      <c r="C80" s="112" t="s">
        <v>1265</v>
      </c>
      <c r="D80" s="163">
        <v>1</v>
      </c>
      <c r="E80" s="191">
        <v>36.799999999999997</v>
      </c>
      <c r="F80" s="190">
        <v>36.799999999999997</v>
      </c>
      <c r="G80" s="190"/>
      <c r="H80" s="261"/>
      <c r="I80" s="466" t="s">
        <v>1774</v>
      </c>
    </row>
    <row r="81" spans="1:9" s="243" customFormat="1" ht="18" hidden="1" customHeight="1">
      <c r="A81" s="242"/>
      <c r="B81" s="148" t="s">
        <v>1667</v>
      </c>
      <c r="C81" s="112" t="s">
        <v>1265</v>
      </c>
      <c r="D81" s="163">
        <v>1</v>
      </c>
      <c r="E81" s="191">
        <v>37.1</v>
      </c>
      <c r="F81" s="190">
        <v>37.1</v>
      </c>
      <c r="G81" s="190"/>
      <c r="H81" s="261"/>
      <c r="I81" s="466" t="s">
        <v>1774</v>
      </c>
    </row>
    <row r="82" spans="1:9" s="243" customFormat="1" ht="18" hidden="1" customHeight="1">
      <c r="A82" s="242"/>
      <c r="B82" s="148" t="s">
        <v>117</v>
      </c>
      <c r="C82" s="112" t="s">
        <v>1265</v>
      </c>
      <c r="D82" s="163">
        <v>1</v>
      </c>
      <c r="E82" s="191">
        <v>37.200000000000003</v>
      </c>
      <c r="F82" s="190">
        <v>37.200000000000003</v>
      </c>
      <c r="G82" s="190"/>
      <c r="H82" s="261"/>
      <c r="I82" s="466" t="s">
        <v>1774</v>
      </c>
    </row>
    <row r="83" spans="1:9" s="243" customFormat="1" ht="18" hidden="1" customHeight="1">
      <c r="A83" s="242"/>
      <c r="B83" s="148" t="s">
        <v>121</v>
      </c>
      <c r="C83" s="112" t="s">
        <v>1265</v>
      </c>
      <c r="D83" s="163">
        <v>1</v>
      </c>
      <c r="E83" s="191">
        <v>36.4</v>
      </c>
      <c r="F83" s="190">
        <v>36.4</v>
      </c>
      <c r="G83" s="190"/>
      <c r="H83" s="261"/>
      <c r="I83" s="466" t="s">
        <v>1774</v>
      </c>
    </row>
    <row r="84" spans="1:9" s="243" customFormat="1" ht="18" hidden="1" customHeight="1">
      <c r="A84" s="242"/>
      <c r="B84" s="148" t="s">
        <v>120</v>
      </c>
      <c r="C84" s="112" t="s">
        <v>1265</v>
      </c>
      <c r="D84" s="163">
        <v>1</v>
      </c>
      <c r="E84" s="191">
        <v>37.6</v>
      </c>
      <c r="F84" s="190">
        <v>37.6</v>
      </c>
      <c r="G84" s="190"/>
      <c r="H84" s="261"/>
      <c r="I84" s="466" t="s">
        <v>1774</v>
      </c>
    </row>
    <row r="85" spans="1:9" s="243" customFormat="1" ht="18" hidden="1" customHeight="1">
      <c r="A85" s="242"/>
      <c r="B85" s="148" t="s">
        <v>119</v>
      </c>
      <c r="C85" s="112" t="s">
        <v>1265</v>
      </c>
      <c r="D85" s="163">
        <v>1</v>
      </c>
      <c r="E85" s="191">
        <v>37</v>
      </c>
      <c r="F85" s="190">
        <v>37</v>
      </c>
      <c r="G85" s="190"/>
      <c r="H85" s="261"/>
      <c r="I85" s="466" t="s">
        <v>1774</v>
      </c>
    </row>
    <row r="86" spans="1:9" s="243" customFormat="1" ht="18" hidden="1" customHeight="1">
      <c r="A86" s="242"/>
      <c r="B86" s="148" t="s">
        <v>473</v>
      </c>
      <c r="C86" s="112" t="s">
        <v>1265</v>
      </c>
      <c r="D86" s="163">
        <v>1</v>
      </c>
      <c r="E86" s="191">
        <v>37.799999999999997</v>
      </c>
      <c r="F86" s="190">
        <v>37.799999999999997</v>
      </c>
      <c r="G86" s="190"/>
      <c r="H86" s="261"/>
      <c r="I86" s="466" t="s">
        <v>1774</v>
      </c>
    </row>
    <row r="87" spans="1:9" s="243" customFormat="1" ht="18" hidden="1" customHeight="1">
      <c r="A87" s="242"/>
      <c r="B87" s="148" t="s">
        <v>1668</v>
      </c>
      <c r="C87" s="112" t="s">
        <v>1265</v>
      </c>
      <c r="D87" s="163">
        <v>1</v>
      </c>
      <c r="E87" s="191">
        <v>37.799999999999997</v>
      </c>
      <c r="F87" s="190">
        <v>37.799999999999997</v>
      </c>
      <c r="G87" s="190"/>
      <c r="H87" s="261"/>
      <c r="I87" s="466" t="s">
        <v>1774</v>
      </c>
    </row>
    <row r="88" spans="1:9" s="318" customFormat="1" ht="40.5">
      <c r="A88" s="424">
        <v>3</v>
      </c>
      <c r="B88" s="715" t="s">
        <v>1362</v>
      </c>
      <c r="C88" s="424"/>
      <c r="D88" s="927"/>
      <c r="E88" s="425"/>
      <c r="F88" s="392">
        <f>F89+F104+F113+F117</f>
        <v>2786</v>
      </c>
      <c r="G88" s="392">
        <f>G89+G104+G117+G113</f>
        <v>2647</v>
      </c>
      <c r="H88" s="467">
        <f>H89+H104+H113+H117</f>
        <v>139</v>
      </c>
      <c r="I88" s="928"/>
    </row>
    <row r="89" spans="1:9">
      <c r="A89" s="13" t="s">
        <v>742</v>
      </c>
      <c r="B89" s="12" t="s">
        <v>1669</v>
      </c>
      <c r="C89" s="13" t="s">
        <v>903</v>
      </c>
      <c r="D89" s="779">
        <v>3</v>
      </c>
      <c r="E89" s="166">
        <f>+E92</f>
        <v>350</v>
      </c>
      <c r="F89" s="20">
        <v>1050</v>
      </c>
      <c r="G89" s="20">
        <v>998</v>
      </c>
      <c r="H89" s="271">
        <f>F89-G89</f>
        <v>52</v>
      </c>
      <c r="I89" s="929"/>
    </row>
    <row r="90" spans="1:9" s="141" customFormat="1" ht="39" hidden="1">
      <c r="A90" s="112"/>
      <c r="B90" s="148" t="s">
        <v>1670</v>
      </c>
      <c r="C90" s="112"/>
      <c r="D90" s="137"/>
      <c r="E90" s="133"/>
      <c r="F90" s="155"/>
      <c r="G90" s="155"/>
      <c r="H90" s="271"/>
      <c r="I90" s="466" t="s">
        <v>1774</v>
      </c>
    </row>
    <row r="91" spans="1:9" s="141" customFormat="1" ht="39" hidden="1">
      <c r="A91" s="112"/>
      <c r="B91" s="148" t="s">
        <v>1671</v>
      </c>
      <c r="C91" s="112"/>
      <c r="D91" s="137"/>
      <c r="E91" s="133"/>
      <c r="F91" s="155"/>
      <c r="G91" s="155"/>
      <c r="H91" s="271"/>
      <c r="I91" s="466" t="s">
        <v>1774</v>
      </c>
    </row>
    <row r="92" spans="1:9" s="141" customFormat="1" ht="18" hidden="1" customHeight="1">
      <c r="A92" s="112"/>
      <c r="B92" s="148" t="s">
        <v>1672</v>
      </c>
      <c r="C92" s="112"/>
      <c r="D92" s="137"/>
      <c r="E92" s="160">
        <f>SUM(E93:E103)</f>
        <v>350</v>
      </c>
      <c r="F92" s="155"/>
      <c r="G92" s="155"/>
      <c r="H92" s="271"/>
      <c r="I92" s="466" t="s">
        <v>1774</v>
      </c>
    </row>
    <row r="93" spans="1:9" s="141" customFormat="1" ht="26" hidden="1">
      <c r="A93" s="112"/>
      <c r="B93" s="148" t="s">
        <v>1673</v>
      </c>
      <c r="C93" s="112"/>
      <c r="D93" s="137"/>
      <c r="E93" s="170">
        <v>18</v>
      </c>
      <c r="F93" s="155"/>
      <c r="G93" s="155"/>
      <c r="H93" s="271"/>
      <c r="I93" s="466" t="s">
        <v>1774</v>
      </c>
    </row>
    <row r="94" spans="1:9" s="141" customFormat="1" ht="26" hidden="1">
      <c r="A94" s="112"/>
      <c r="B94" s="148" t="s">
        <v>1674</v>
      </c>
      <c r="C94" s="112"/>
      <c r="D94" s="137"/>
      <c r="E94" s="170">
        <v>9.6</v>
      </c>
      <c r="F94" s="155"/>
      <c r="G94" s="155"/>
      <c r="H94" s="271"/>
      <c r="I94" s="466" t="s">
        <v>1774</v>
      </c>
    </row>
    <row r="95" spans="1:9" s="141" customFormat="1" ht="26" hidden="1">
      <c r="A95" s="112"/>
      <c r="B95" s="148" t="s">
        <v>1675</v>
      </c>
      <c r="C95" s="112"/>
      <c r="D95" s="137"/>
      <c r="E95" s="170">
        <v>10</v>
      </c>
      <c r="F95" s="155"/>
      <c r="G95" s="155"/>
      <c r="H95" s="271"/>
      <c r="I95" s="466" t="s">
        <v>1774</v>
      </c>
    </row>
    <row r="96" spans="1:9" s="141" customFormat="1" ht="26" hidden="1">
      <c r="A96" s="112"/>
      <c r="B96" s="148" t="s">
        <v>1676</v>
      </c>
      <c r="C96" s="112"/>
      <c r="D96" s="137"/>
      <c r="E96" s="170">
        <v>120</v>
      </c>
      <c r="F96" s="155"/>
      <c r="G96" s="155"/>
      <c r="H96" s="271"/>
      <c r="I96" s="466" t="s">
        <v>1774</v>
      </c>
    </row>
    <row r="97" spans="1:9" s="141" customFormat="1" ht="18" hidden="1" customHeight="1">
      <c r="A97" s="112"/>
      <c r="B97" s="148" t="s">
        <v>1677</v>
      </c>
      <c r="C97" s="112"/>
      <c r="D97" s="137"/>
      <c r="E97" s="170">
        <v>6</v>
      </c>
      <c r="F97" s="155"/>
      <c r="G97" s="155"/>
      <c r="H97" s="271"/>
      <c r="I97" s="466" t="s">
        <v>1774</v>
      </c>
    </row>
    <row r="98" spans="1:9" s="141" customFormat="1" ht="26" hidden="1">
      <c r="A98" s="112"/>
      <c r="B98" s="148" t="s">
        <v>1678</v>
      </c>
      <c r="C98" s="112"/>
      <c r="D98" s="137"/>
      <c r="E98" s="170">
        <v>60</v>
      </c>
      <c r="F98" s="155"/>
      <c r="G98" s="155"/>
      <c r="H98" s="271"/>
      <c r="I98" s="466" t="s">
        <v>1774</v>
      </c>
    </row>
    <row r="99" spans="1:9" s="141" customFormat="1" ht="39" hidden="1">
      <c r="A99" s="112"/>
      <c r="B99" s="148" t="s">
        <v>1679</v>
      </c>
      <c r="C99" s="112"/>
      <c r="D99" s="137"/>
      <c r="E99" s="170">
        <v>90</v>
      </c>
      <c r="F99" s="155"/>
      <c r="G99" s="155"/>
      <c r="H99" s="271"/>
      <c r="I99" s="466" t="s">
        <v>1774</v>
      </c>
    </row>
    <row r="100" spans="1:9" s="141" customFormat="1" ht="18" hidden="1" customHeight="1">
      <c r="A100" s="112"/>
      <c r="B100" s="148" t="s">
        <v>1680</v>
      </c>
      <c r="C100" s="112"/>
      <c r="D100" s="137"/>
      <c r="E100" s="170">
        <v>15</v>
      </c>
      <c r="F100" s="155"/>
      <c r="G100" s="155"/>
      <c r="H100" s="271"/>
      <c r="I100" s="466" t="s">
        <v>1774</v>
      </c>
    </row>
    <row r="101" spans="1:9" s="141" customFormat="1" ht="18" hidden="1" customHeight="1">
      <c r="A101" s="112"/>
      <c r="B101" s="148" t="s">
        <v>1681</v>
      </c>
      <c r="C101" s="112"/>
      <c r="D101" s="137"/>
      <c r="E101" s="170">
        <v>5</v>
      </c>
      <c r="F101" s="155"/>
      <c r="G101" s="155"/>
      <c r="H101" s="271"/>
      <c r="I101" s="466" t="s">
        <v>1774</v>
      </c>
    </row>
    <row r="102" spans="1:9" s="141" customFormat="1" ht="18" hidden="1" customHeight="1">
      <c r="A102" s="112"/>
      <c r="B102" s="148" t="s">
        <v>1682</v>
      </c>
      <c r="C102" s="112"/>
      <c r="D102" s="137"/>
      <c r="E102" s="170">
        <v>15</v>
      </c>
      <c r="F102" s="155"/>
      <c r="G102" s="155"/>
      <c r="H102" s="271"/>
      <c r="I102" s="466" t="s">
        <v>1774</v>
      </c>
    </row>
    <row r="103" spans="1:9" s="141" customFormat="1" ht="26" hidden="1">
      <c r="A103" s="112"/>
      <c r="B103" s="148" t="s">
        <v>1683</v>
      </c>
      <c r="C103" s="112"/>
      <c r="D103" s="137"/>
      <c r="E103" s="170">
        <v>1.4</v>
      </c>
      <c r="F103" s="155"/>
      <c r="G103" s="155"/>
      <c r="H103" s="271"/>
      <c r="I103" s="466" t="s">
        <v>1774</v>
      </c>
    </row>
    <row r="104" spans="1:9" ht="26">
      <c r="A104" s="13" t="s">
        <v>742</v>
      </c>
      <c r="B104" s="12" t="s">
        <v>1684</v>
      </c>
      <c r="C104" s="13" t="s">
        <v>1685</v>
      </c>
      <c r="D104" s="779">
        <v>3</v>
      </c>
      <c r="E104" s="166">
        <f>+E105</f>
        <v>258</v>
      </c>
      <c r="F104" s="20">
        <v>774</v>
      </c>
      <c r="G104" s="20">
        <v>735</v>
      </c>
      <c r="H104" s="271">
        <f>F104-G104</f>
        <v>39</v>
      </c>
      <c r="I104" s="929"/>
    </row>
    <row r="105" spans="1:9" s="141" customFormat="1" ht="26" hidden="1">
      <c r="A105" s="112"/>
      <c r="B105" s="148" t="s">
        <v>1686</v>
      </c>
      <c r="C105" s="112"/>
      <c r="D105" s="137"/>
      <c r="E105" s="170">
        <f>SUM(E107:E112)</f>
        <v>258</v>
      </c>
      <c r="F105" s="155"/>
      <c r="G105" s="155"/>
      <c r="H105" s="271"/>
      <c r="I105" s="280" t="s">
        <v>1774</v>
      </c>
    </row>
    <row r="106" spans="1:9" s="141" customFormat="1" ht="18" hidden="1" customHeight="1">
      <c r="A106" s="112"/>
      <c r="B106" s="148" t="s">
        <v>1687</v>
      </c>
      <c r="C106" s="112"/>
      <c r="D106" s="137"/>
      <c r="E106" s="170"/>
      <c r="F106" s="155"/>
      <c r="G106" s="155"/>
      <c r="H106" s="271"/>
      <c r="I106" s="466" t="s">
        <v>1774</v>
      </c>
    </row>
    <row r="107" spans="1:9" s="141" customFormat="1" ht="26" hidden="1">
      <c r="A107" s="112"/>
      <c r="B107" s="148" t="s">
        <v>1688</v>
      </c>
      <c r="C107" s="112"/>
      <c r="D107" s="137"/>
      <c r="E107" s="170">
        <v>36</v>
      </c>
      <c r="F107" s="155"/>
      <c r="G107" s="155"/>
      <c r="H107" s="271"/>
      <c r="I107" s="466" t="s">
        <v>1774</v>
      </c>
    </row>
    <row r="108" spans="1:9" s="141" customFormat="1" ht="18" hidden="1" customHeight="1">
      <c r="A108" s="112"/>
      <c r="B108" s="148" t="s">
        <v>1689</v>
      </c>
      <c r="C108" s="112"/>
      <c r="D108" s="137"/>
      <c r="E108" s="170">
        <v>30</v>
      </c>
      <c r="F108" s="155"/>
      <c r="G108" s="155"/>
      <c r="H108" s="271"/>
      <c r="I108" s="466" t="s">
        <v>1774</v>
      </c>
    </row>
    <row r="109" spans="1:9" s="141" customFormat="1" ht="26" hidden="1">
      <c r="A109" s="112"/>
      <c r="B109" s="148" t="s">
        <v>1690</v>
      </c>
      <c r="C109" s="112"/>
      <c r="D109" s="137"/>
      <c r="E109" s="170">
        <v>72</v>
      </c>
      <c r="F109" s="155"/>
      <c r="G109" s="155"/>
      <c r="H109" s="271"/>
      <c r="I109" s="466" t="s">
        <v>1774</v>
      </c>
    </row>
    <row r="110" spans="1:9" s="141" customFormat="1" ht="18" hidden="1" customHeight="1">
      <c r="A110" s="112"/>
      <c r="B110" s="148" t="s">
        <v>1691</v>
      </c>
      <c r="C110" s="112"/>
      <c r="D110" s="137"/>
      <c r="E110" s="170">
        <v>36</v>
      </c>
      <c r="F110" s="155"/>
      <c r="G110" s="155"/>
      <c r="H110" s="271"/>
      <c r="I110" s="466" t="s">
        <v>1774</v>
      </c>
    </row>
    <row r="111" spans="1:9" s="141" customFormat="1" ht="26" hidden="1">
      <c r="A111" s="112"/>
      <c r="B111" s="148" t="s">
        <v>1692</v>
      </c>
      <c r="C111" s="112"/>
      <c r="D111" s="137"/>
      <c r="E111" s="170">
        <v>54</v>
      </c>
      <c r="F111" s="155"/>
      <c r="G111" s="155"/>
      <c r="H111" s="271"/>
      <c r="I111" s="466" t="s">
        <v>1774</v>
      </c>
    </row>
    <row r="112" spans="1:9" s="141" customFormat="1" ht="18" hidden="1" customHeight="1">
      <c r="A112" s="112"/>
      <c r="B112" s="148" t="s">
        <v>1693</v>
      </c>
      <c r="C112" s="112"/>
      <c r="D112" s="137"/>
      <c r="E112" s="170">
        <v>30</v>
      </c>
      <c r="F112" s="155"/>
      <c r="G112" s="155"/>
      <c r="H112" s="271"/>
      <c r="I112" s="466" t="s">
        <v>1774</v>
      </c>
    </row>
    <row r="113" spans="1:9" ht="18" customHeight="1">
      <c r="A113" s="13" t="s">
        <v>742</v>
      </c>
      <c r="B113" s="12" t="s">
        <v>1694</v>
      </c>
      <c r="C113" s="13" t="s">
        <v>1208</v>
      </c>
      <c r="D113" s="779">
        <v>400000</v>
      </c>
      <c r="E113" s="933">
        <v>2E-3</v>
      </c>
      <c r="F113" s="20">
        <f>D113*E113</f>
        <v>800</v>
      </c>
      <c r="G113" s="20">
        <v>760</v>
      </c>
      <c r="H113" s="271">
        <f>F113-G113</f>
        <v>40</v>
      </c>
      <c r="I113" s="929"/>
    </row>
    <row r="114" spans="1:9" s="141" customFormat="1" ht="26" hidden="1">
      <c r="A114" s="112"/>
      <c r="B114" s="148" t="s">
        <v>1695</v>
      </c>
      <c r="C114" s="112"/>
      <c r="D114" s="137"/>
      <c r="E114" s="170"/>
      <c r="F114" s="155"/>
      <c r="G114" s="155"/>
      <c r="H114" s="271"/>
      <c r="I114" s="466" t="s">
        <v>1774</v>
      </c>
    </row>
    <row r="115" spans="1:9" s="141" customFormat="1" hidden="1">
      <c r="A115" s="112"/>
      <c r="B115" s="148" t="s">
        <v>1696</v>
      </c>
      <c r="C115" s="112"/>
      <c r="D115" s="137"/>
      <c r="E115" s="170"/>
      <c r="F115" s="155"/>
      <c r="G115" s="155"/>
      <c r="H115" s="271"/>
      <c r="I115" s="466" t="s">
        <v>1774</v>
      </c>
    </row>
    <row r="116" spans="1:9" s="141" customFormat="1" ht="18" hidden="1" customHeight="1">
      <c r="A116" s="112"/>
      <c r="B116" s="148" t="s">
        <v>1697</v>
      </c>
      <c r="C116" s="112"/>
      <c r="D116" s="137"/>
      <c r="E116" s="244"/>
      <c r="F116" s="155"/>
      <c r="G116" s="155"/>
      <c r="H116" s="271"/>
      <c r="I116" s="466" t="s">
        <v>1774</v>
      </c>
    </row>
    <row r="117" spans="1:9" ht="25.5" customHeight="1">
      <c r="A117" s="13" t="s">
        <v>742</v>
      </c>
      <c r="B117" s="12" t="s">
        <v>1698</v>
      </c>
      <c r="C117" s="13" t="s">
        <v>1181</v>
      </c>
      <c r="D117" s="779">
        <v>5</v>
      </c>
      <c r="E117" s="936">
        <v>32.4</v>
      </c>
      <c r="F117" s="20">
        <v>162</v>
      </c>
      <c r="G117" s="20">
        <v>154</v>
      </c>
      <c r="H117" s="271">
        <f>F117-G117</f>
        <v>8</v>
      </c>
      <c r="I117" s="929"/>
    </row>
    <row r="118" spans="1:9" s="317" customFormat="1" ht="18" customHeight="1">
      <c r="A118" s="40" t="s">
        <v>26</v>
      </c>
      <c r="B118" s="54" t="s">
        <v>901</v>
      </c>
      <c r="C118" s="40"/>
      <c r="D118" s="777"/>
      <c r="E118" s="94"/>
      <c r="F118" s="23">
        <f>+F119+F163+F208+F252+F297+F341+F385+F429</f>
        <v>11441</v>
      </c>
      <c r="G118" s="23">
        <f>+G119+G163+G208+G252+G297+G341+G385+G429</f>
        <v>10890</v>
      </c>
      <c r="H118" s="269">
        <f>+H119+H163+H208+H252+H297+H341+H385+H429</f>
        <v>551</v>
      </c>
      <c r="I118" s="94"/>
    </row>
    <row r="119" spans="1:9" s="317" customFormat="1" ht="18" customHeight="1">
      <c r="A119" s="26">
        <v>1</v>
      </c>
      <c r="B119" s="55" t="s">
        <v>25</v>
      </c>
      <c r="C119" s="26"/>
      <c r="D119" s="783"/>
      <c r="E119" s="781"/>
      <c r="F119" s="21">
        <f>+F120+F141+F162</f>
        <v>755</v>
      </c>
      <c r="G119" s="21">
        <f>+G120+G141+G162</f>
        <v>719</v>
      </c>
      <c r="H119" s="272">
        <f t="shared" ref="H119" si="18">+H120+H141+H162</f>
        <v>36</v>
      </c>
      <c r="I119" s="96"/>
    </row>
    <row r="120" spans="1:9" s="319" customFormat="1" ht="26">
      <c r="A120" s="125" t="s">
        <v>911</v>
      </c>
      <c r="B120" s="394" t="s">
        <v>1363</v>
      </c>
      <c r="C120" s="125"/>
      <c r="D120" s="890"/>
      <c r="E120" s="895"/>
      <c r="F120" s="20">
        <f>+F121+F122+F123+F124+F127+F132+F137+F138+F139+F140</f>
        <v>560</v>
      </c>
      <c r="G120" s="20">
        <f t="shared" ref="G120:H120" si="19">+G121+G122+G123+G124+G127+G132+G137+G138+G139+G140</f>
        <v>529</v>
      </c>
      <c r="H120" s="271">
        <f t="shared" si="19"/>
        <v>31</v>
      </c>
      <c r="I120" s="96"/>
    </row>
    <row r="121" spans="1:9" s="141" customFormat="1" ht="26" hidden="1">
      <c r="A121" s="112" t="s">
        <v>742</v>
      </c>
      <c r="B121" s="148" t="s">
        <v>1314</v>
      </c>
      <c r="C121" s="112"/>
      <c r="D121" s="137"/>
      <c r="E121" s="133">
        <v>25</v>
      </c>
      <c r="F121" s="155">
        <f t="shared" ref="F121:F200" si="20">D121*E121</f>
        <v>0</v>
      </c>
      <c r="G121" s="155">
        <f t="shared" ref="G121:G184" si="21">F121-H121</f>
        <v>0</v>
      </c>
      <c r="H121" s="271">
        <v>0</v>
      </c>
      <c r="I121" s="147" t="s">
        <v>1774</v>
      </c>
    </row>
    <row r="122" spans="1:9" ht="39">
      <c r="A122" s="13" t="s">
        <v>742</v>
      </c>
      <c r="B122" s="12" t="s">
        <v>1315</v>
      </c>
      <c r="C122" s="13" t="s">
        <v>878</v>
      </c>
      <c r="D122" s="779">
        <v>3</v>
      </c>
      <c r="E122" s="166">
        <v>30</v>
      </c>
      <c r="F122" s="20">
        <f t="shared" si="20"/>
        <v>90</v>
      </c>
      <c r="G122" s="20">
        <v>80</v>
      </c>
      <c r="H122" s="271">
        <v>10</v>
      </c>
      <c r="I122" s="96"/>
    </row>
    <row r="123" spans="1:9" s="141" customFormat="1" ht="39" hidden="1">
      <c r="A123" s="112" t="s">
        <v>742</v>
      </c>
      <c r="B123" s="148" t="s">
        <v>1316</v>
      </c>
      <c r="C123" s="112"/>
      <c r="D123" s="137"/>
      <c r="E123" s="133">
        <v>5</v>
      </c>
      <c r="F123" s="155">
        <f t="shared" si="20"/>
        <v>0</v>
      </c>
      <c r="G123" s="155">
        <f t="shared" si="21"/>
        <v>0</v>
      </c>
      <c r="H123" s="271">
        <v>0</v>
      </c>
      <c r="I123" s="147" t="s">
        <v>1774</v>
      </c>
    </row>
    <row r="124" spans="1:9" ht="66" customHeight="1">
      <c r="A124" s="13" t="s">
        <v>742</v>
      </c>
      <c r="B124" s="12" t="s">
        <v>1317</v>
      </c>
      <c r="C124" s="13"/>
      <c r="D124" s="779"/>
      <c r="E124" s="930"/>
      <c r="F124" s="20">
        <f>SUM(F125:F126)</f>
        <v>410</v>
      </c>
      <c r="G124" s="20">
        <f t="shared" si="21"/>
        <v>389</v>
      </c>
      <c r="H124" s="271">
        <v>21</v>
      </c>
      <c r="I124" s="96"/>
    </row>
    <row r="125" spans="1:9" s="141" customFormat="1" ht="18" hidden="1" customHeight="1">
      <c r="A125" s="112"/>
      <c r="B125" s="148" t="s">
        <v>1318</v>
      </c>
      <c r="C125" s="112" t="s">
        <v>903</v>
      </c>
      <c r="D125" s="137">
        <v>5</v>
      </c>
      <c r="E125" s="132">
        <v>50</v>
      </c>
      <c r="F125" s="155">
        <v>250</v>
      </c>
      <c r="G125" s="155">
        <f t="shared" si="21"/>
        <v>237</v>
      </c>
      <c r="H125" s="271">
        <v>13</v>
      </c>
      <c r="I125" s="466" t="s">
        <v>1774</v>
      </c>
    </row>
    <row r="126" spans="1:9" s="141" customFormat="1" ht="18" hidden="1" customHeight="1">
      <c r="A126" s="112"/>
      <c r="B126" s="148" t="s">
        <v>1319</v>
      </c>
      <c r="C126" s="112" t="s">
        <v>875</v>
      </c>
      <c r="D126" s="137">
        <v>4</v>
      </c>
      <c r="E126" s="133">
        <v>40</v>
      </c>
      <c r="F126" s="155">
        <v>160</v>
      </c>
      <c r="G126" s="155">
        <f>F126-H126</f>
        <v>152</v>
      </c>
      <c r="H126" s="271">
        <v>8</v>
      </c>
      <c r="I126" s="466" t="s">
        <v>1774</v>
      </c>
    </row>
    <row r="127" spans="1:9" s="276" customFormat="1" ht="39" hidden="1">
      <c r="A127" s="256" t="s">
        <v>742</v>
      </c>
      <c r="B127" s="255" t="s">
        <v>1320</v>
      </c>
      <c r="C127" s="256"/>
      <c r="D127" s="262"/>
      <c r="E127" s="282"/>
      <c r="F127" s="266">
        <f>SUM(F128:F131)</f>
        <v>0</v>
      </c>
      <c r="G127" s="266">
        <f t="shared" si="21"/>
        <v>0</v>
      </c>
      <c r="H127" s="271">
        <v>0</v>
      </c>
      <c r="I127" s="280" t="s">
        <v>1774</v>
      </c>
    </row>
    <row r="128" spans="1:9" s="276" customFormat="1" ht="28.5" hidden="1" customHeight="1">
      <c r="A128" s="256"/>
      <c r="B128" s="255" t="s">
        <v>1321</v>
      </c>
      <c r="C128" s="256" t="s">
        <v>874</v>
      </c>
      <c r="D128" s="262"/>
      <c r="E128" s="279">
        <v>1</v>
      </c>
      <c r="F128" s="266">
        <f>D128*E128</f>
        <v>0</v>
      </c>
      <c r="G128" s="266">
        <f t="shared" si="21"/>
        <v>0</v>
      </c>
      <c r="H128" s="271">
        <v>0</v>
      </c>
      <c r="I128" s="280" t="s">
        <v>1774</v>
      </c>
    </row>
    <row r="129" spans="1:9" s="276" customFormat="1" ht="18" hidden="1" customHeight="1">
      <c r="A129" s="256"/>
      <c r="B129" s="255" t="s">
        <v>1322</v>
      </c>
      <c r="C129" s="256" t="s">
        <v>874</v>
      </c>
      <c r="D129" s="262">
        <f>D128/2</f>
        <v>0</v>
      </c>
      <c r="E129" s="282">
        <v>0.8</v>
      </c>
      <c r="F129" s="266">
        <f>D129*E129</f>
        <v>0</v>
      </c>
      <c r="G129" s="266">
        <f t="shared" si="21"/>
        <v>0</v>
      </c>
      <c r="H129" s="271">
        <v>0</v>
      </c>
      <c r="I129" s="280" t="s">
        <v>1774</v>
      </c>
    </row>
    <row r="130" spans="1:9" s="276" customFormat="1" hidden="1">
      <c r="A130" s="256"/>
      <c r="B130" s="255" t="s">
        <v>1323</v>
      </c>
      <c r="C130" s="256" t="s">
        <v>874</v>
      </c>
      <c r="D130" s="262">
        <v>0</v>
      </c>
      <c r="E130" s="282">
        <v>0.5</v>
      </c>
      <c r="F130" s="266">
        <f t="shared" ref="F130:F131" si="22">D130*E130</f>
        <v>0</v>
      </c>
      <c r="G130" s="266">
        <f t="shared" si="21"/>
        <v>0</v>
      </c>
      <c r="H130" s="271">
        <v>0</v>
      </c>
      <c r="I130" s="280" t="s">
        <v>1774</v>
      </c>
    </row>
    <row r="131" spans="1:9" s="276" customFormat="1" ht="28.5" hidden="1" customHeight="1">
      <c r="A131" s="256"/>
      <c r="B131" s="255" t="s">
        <v>1324</v>
      </c>
      <c r="C131" s="256" t="s">
        <v>874</v>
      </c>
      <c r="D131" s="262">
        <v>0</v>
      </c>
      <c r="E131" s="282">
        <v>0.5</v>
      </c>
      <c r="F131" s="266">
        <f t="shared" si="22"/>
        <v>0</v>
      </c>
      <c r="G131" s="266">
        <f t="shared" si="21"/>
        <v>0</v>
      </c>
      <c r="H131" s="271">
        <v>0</v>
      </c>
      <c r="I131" s="280" t="s">
        <v>1774</v>
      </c>
    </row>
    <row r="132" spans="1:9" ht="25.5" customHeight="1">
      <c r="A132" s="13" t="s">
        <v>742</v>
      </c>
      <c r="B132" s="12" t="s">
        <v>1325</v>
      </c>
      <c r="C132" s="13"/>
      <c r="D132" s="779"/>
      <c r="E132" s="166"/>
      <c r="F132" s="20">
        <f>SUM(F133:F136)</f>
        <v>60</v>
      </c>
      <c r="G132" s="20">
        <f t="shared" ref="G132:H132" si="23">SUM(G133:G136)</f>
        <v>60</v>
      </c>
      <c r="H132" s="271">
        <f t="shared" si="23"/>
        <v>0</v>
      </c>
      <c r="I132" s="96"/>
    </row>
    <row r="133" spans="1:9" s="141" customFormat="1" ht="26.25" hidden="1" customHeight="1">
      <c r="A133" s="112"/>
      <c r="B133" s="148" t="s">
        <v>1326</v>
      </c>
      <c r="C133" s="112" t="s">
        <v>902</v>
      </c>
      <c r="D133" s="137"/>
      <c r="E133" s="133">
        <v>80</v>
      </c>
      <c r="F133" s="155">
        <f>D133*E133</f>
        <v>0</v>
      </c>
      <c r="G133" s="155">
        <f t="shared" si="21"/>
        <v>0</v>
      </c>
      <c r="H133" s="271">
        <v>0</v>
      </c>
      <c r="I133" s="280" t="s">
        <v>1774</v>
      </c>
    </row>
    <row r="134" spans="1:9" s="141" customFormat="1" ht="52" hidden="1">
      <c r="A134" s="112"/>
      <c r="B134" s="148" t="s">
        <v>1327</v>
      </c>
      <c r="C134" s="112" t="s">
        <v>1147</v>
      </c>
      <c r="D134" s="137">
        <v>2</v>
      </c>
      <c r="E134" s="133">
        <v>30</v>
      </c>
      <c r="F134" s="155">
        <f>D134*E134</f>
        <v>60</v>
      </c>
      <c r="G134" s="155">
        <f t="shared" si="21"/>
        <v>60</v>
      </c>
      <c r="H134" s="271"/>
      <c r="I134" s="280" t="s">
        <v>1774</v>
      </c>
    </row>
    <row r="135" spans="1:9" s="141" customFormat="1" ht="57" hidden="1" customHeight="1">
      <c r="A135" s="112"/>
      <c r="B135" s="148" t="s">
        <v>1328</v>
      </c>
      <c r="C135" s="112" t="s">
        <v>875</v>
      </c>
      <c r="D135" s="137"/>
      <c r="E135" s="133">
        <v>66</v>
      </c>
      <c r="F135" s="155">
        <f t="shared" ref="F135:F136" si="24">D135*E135</f>
        <v>0</v>
      </c>
      <c r="G135" s="155">
        <f t="shared" si="21"/>
        <v>0</v>
      </c>
      <c r="H135" s="271">
        <v>0</v>
      </c>
      <c r="I135" s="280" t="s">
        <v>1774</v>
      </c>
    </row>
    <row r="136" spans="1:9" s="276" customFormat="1" ht="26.25" hidden="1" customHeight="1">
      <c r="A136" s="256"/>
      <c r="B136" s="255" t="s">
        <v>1329</v>
      </c>
      <c r="C136" s="256" t="s">
        <v>1034</v>
      </c>
      <c r="D136" s="262"/>
      <c r="E136" s="279">
        <v>50</v>
      </c>
      <c r="F136" s="266">
        <f t="shared" si="24"/>
        <v>0</v>
      </c>
      <c r="G136" s="266">
        <f t="shared" si="21"/>
        <v>0</v>
      </c>
      <c r="H136" s="271">
        <v>0</v>
      </c>
      <c r="I136" s="280" t="s">
        <v>1774</v>
      </c>
    </row>
    <row r="137" spans="1:9" s="276" customFormat="1" ht="30" hidden="1" customHeight="1">
      <c r="A137" s="256" t="s">
        <v>742</v>
      </c>
      <c r="B137" s="255" t="s">
        <v>1330</v>
      </c>
      <c r="C137" s="256" t="s">
        <v>902</v>
      </c>
      <c r="D137" s="262"/>
      <c r="E137" s="279">
        <v>40</v>
      </c>
      <c r="F137" s="266">
        <f t="shared" si="20"/>
        <v>0</v>
      </c>
      <c r="G137" s="266">
        <f t="shared" si="21"/>
        <v>0</v>
      </c>
      <c r="H137" s="271">
        <v>0</v>
      </c>
      <c r="I137" s="280" t="s">
        <v>1774</v>
      </c>
    </row>
    <row r="138" spans="1:9" s="276" customFormat="1" ht="59.25" hidden="1" customHeight="1">
      <c r="A138" s="256" t="s">
        <v>742</v>
      </c>
      <c r="B138" s="255" t="s">
        <v>1331</v>
      </c>
      <c r="C138" s="256" t="s">
        <v>878</v>
      </c>
      <c r="D138" s="262"/>
      <c r="E138" s="279">
        <v>40</v>
      </c>
      <c r="F138" s="266">
        <f t="shared" si="20"/>
        <v>0</v>
      </c>
      <c r="G138" s="266">
        <f t="shared" si="21"/>
        <v>0</v>
      </c>
      <c r="H138" s="271">
        <v>0</v>
      </c>
      <c r="I138" s="280" t="s">
        <v>1774</v>
      </c>
    </row>
    <row r="139" spans="1:9" s="276" customFormat="1" ht="66.75" hidden="1" customHeight="1">
      <c r="A139" s="256" t="s">
        <v>742</v>
      </c>
      <c r="B139" s="255" t="s">
        <v>1332</v>
      </c>
      <c r="C139" s="256"/>
      <c r="D139" s="262"/>
      <c r="E139" s="278"/>
      <c r="F139" s="266">
        <f t="shared" si="20"/>
        <v>0</v>
      </c>
      <c r="G139" s="266">
        <f t="shared" si="21"/>
        <v>0</v>
      </c>
      <c r="H139" s="271">
        <v>0</v>
      </c>
      <c r="I139" s="280" t="s">
        <v>1774</v>
      </c>
    </row>
    <row r="140" spans="1:9" s="276" customFormat="1" ht="40.5" hidden="1" customHeight="1">
      <c r="A140" s="256" t="s">
        <v>742</v>
      </c>
      <c r="B140" s="255" t="s">
        <v>1333</v>
      </c>
      <c r="C140" s="256" t="s">
        <v>1034</v>
      </c>
      <c r="D140" s="262"/>
      <c r="E140" s="279">
        <v>50</v>
      </c>
      <c r="F140" s="266">
        <f t="shared" si="20"/>
        <v>0</v>
      </c>
      <c r="G140" s="266">
        <f t="shared" si="21"/>
        <v>0</v>
      </c>
      <c r="H140" s="271">
        <v>0</v>
      </c>
      <c r="I140" s="280" t="s">
        <v>1774</v>
      </c>
    </row>
    <row r="141" spans="1:9" s="319" customFormat="1" ht="26.25" customHeight="1">
      <c r="A141" s="125" t="s">
        <v>915</v>
      </c>
      <c r="B141" s="394" t="s">
        <v>1364</v>
      </c>
      <c r="C141" s="125"/>
      <c r="D141" s="890"/>
      <c r="E141" s="895"/>
      <c r="F141" s="20">
        <f>+F142+F147+F148+F154+F155+F156</f>
        <v>195</v>
      </c>
      <c r="G141" s="20">
        <f>+G142+G147+G148+G154+G155+G156</f>
        <v>190</v>
      </c>
      <c r="H141" s="271">
        <f t="shared" ref="H141" si="25">+H142+H147+H148+H154+H155+H156</f>
        <v>5</v>
      </c>
      <c r="I141" s="96"/>
    </row>
    <row r="142" spans="1:9" ht="18" customHeight="1">
      <c r="A142" s="13" t="s">
        <v>742</v>
      </c>
      <c r="B142" s="12" t="s">
        <v>1365</v>
      </c>
      <c r="C142" s="13"/>
      <c r="D142" s="779"/>
      <c r="E142" s="19"/>
      <c r="F142" s="20">
        <f>SUM(F143:F146)</f>
        <v>45</v>
      </c>
      <c r="G142" s="20">
        <f t="shared" ref="G142:H142" si="26">SUM(G143:G146)</f>
        <v>45</v>
      </c>
      <c r="H142" s="271">
        <f t="shared" si="26"/>
        <v>0</v>
      </c>
      <c r="I142" s="929"/>
    </row>
    <row r="143" spans="1:9" s="141" customFormat="1" ht="39.75" hidden="1" customHeight="1">
      <c r="A143" s="112"/>
      <c r="B143" s="148" t="s">
        <v>1366</v>
      </c>
      <c r="C143" s="112" t="s">
        <v>878</v>
      </c>
      <c r="D143" s="137">
        <v>1</v>
      </c>
      <c r="E143" s="133">
        <v>45</v>
      </c>
      <c r="F143" s="155">
        <v>45</v>
      </c>
      <c r="G143" s="155">
        <f>+F143</f>
        <v>45</v>
      </c>
      <c r="H143" s="271"/>
      <c r="I143" s="280" t="s">
        <v>1774</v>
      </c>
    </row>
    <row r="144" spans="1:9" s="141" customFormat="1" ht="33.75" hidden="1" customHeight="1">
      <c r="A144" s="112"/>
      <c r="B144" s="148" t="s">
        <v>1367</v>
      </c>
      <c r="C144" s="112" t="s">
        <v>902</v>
      </c>
      <c r="D144" s="137"/>
      <c r="E144" s="133">
        <v>50</v>
      </c>
      <c r="F144" s="155">
        <f t="shared" si="20"/>
        <v>0</v>
      </c>
      <c r="G144" s="155">
        <f t="shared" si="21"/>
        <v>0</v>
      </c>
      <c r="H144" s="271">
        <v>0</v>
      </c>
      <c r="I144" s="280" t="s">
        <v>1774</v>
      </c>
    </row>
    <row r="145" spans="1:9" s="141" customFormat="1" ht="34.5" hidden="1" customHeight="1">
      <c r="A145" s="112"/>
      <c r="B145" s="148" t="s">
        <v>1368</v>
      </c>
      <c r="C145" s="112" t="s">
        <v>1342</v>
      </c>
      <c r="D145" s="137"/>
      <c r="E145" s="133">
        <v>40</v>
      </c>
      <c r="F145" s="155">
        <f t="shared" si="20"/>
        <v>0</v>
      </c>
      <c r="G145" s="155"/>
      <c r="H145" s="271">
        <v>0</v>
      </c>
      <c r="I145" s="280" t="s">
        <v>1774</v>
      </c>
    </row>
    <row r="146" spans="1:9" s="141" customFormat="1" ht="33.75" hidden="1" customHeight="1">
      <c r="A146" s="112"/>
      <c r="B146" s="148" t="s">
        <v>1369</v>
      </c>
      <c r="C146" s="112" t="s">
        <v>1208</v>
      </c>
      <c r="D146" s="137"/>
      <c r="E146" s="162">
        <f>15000/1000000</f>
        <v>1.4999999999999999E-2</v>
      </c>
      <c r="F146" s="155">
        <f t="shared" si="20"/>
        <v>0</v>
      </c>
      <c r="G146" s="155">
        <f t="shared" si="21"/>
        <v>0</v>
      </c>
      <c r="H146" s="271">
        <v>0</v>
      </c>
      <c r="I146" s="280" t="s">
        <v>1774</v>
      </c>
    </row>
    <row r="147" spans="1:9" s="141" customFormat="1" ht="45" hidden="1" customHeight="1">
      <c r="A147" s="112" t="s">
        <v>742</v>
      </c>
      <c r="B147" s="154" t="s">
        <v>1370</v>
      </c>
      <c r="C147" s="122"/>
      <c r="D147" s="149"/>
      <c r="E147" s="146"/>
      <c r="F147" s="155">
        <f t="shared" si="20"/>
        <v>0</v>
      </c>
      <c r="G147" s="155">
        <f t="shared" si="21"/>
        <v>0</v>
      </c>
      <c r="H147" s="271">
        <v>0</v>
      </c>
      <c r="I147" s="280" t="s">
        <v>1774</v>
      </c>
    </row>
    <row r="148" spans="1:9" s="141" customFormat="1" ht="51" hidden="1" customHeight="1">
      <c r="A148" s="112" t="s">
        <v>742</v>
      </c>
      <c r="B148" s="148" t="s">
        <v>1371</v>
      </c>
      <c r="C148" s="112"/>
      <c r="D148" s="137"/>
      <c r="E148" s="113"/>
      <c r="F148" s="155">
        <f t="shared" si="20"/>
        <v>0</v>
      </c>
      <c r="G148" s="155">
        <f t="shared" si="21"/>
        <v>0</v>
      </c>
      <c r="H148" s="271">
        <v>0</v>
      </c>
      <c r="I148" s="280" t="s">
        <v>1774</v>
      </c>
    </row>
    <row r="149" spans="1:9" s="141" customFormat="1" ht="39" hidden="1" customHeight="1">
      <c r="A149" s="112"/>
      <c r="B149" s="148" t="s">
        <v>1372</v>
      </c>
      <c r="C149" s="112"/>
      <c r="D149" s="137"/>
      <c r="E149" s="133">
        <v>30</v>
      </c>
      <c r="F149" s="155">
        <f t="shared" si="20"/>
        <v>0</v>
      </c>
      <c r="G149" s="155">
        <f t="shared" si="21"/>
        <v>0</v>
      </c>
      <c r="H149" s="271">
        <v>0</v>
      </c>
      <c r="I149" s="280" t="s">
        <v>1774</v>
      </c>
    </row>
    <row r="150" spans="1:9" s="141" customFormat="1" ht="56.25" hidden="1" customHeight="1">
      <c r="A150" s="112"/>
      <c r="B150" s="148" t="s">
        <v>1373</v>
      </c>
      <c r="C150" s="112"/>
      <c r="D150" s="137"/>
      <c r="E150" s="113"/>
      <c r="F150" s="155">
        <f t="shared" si="20"/>
        <v>0</v>
      </c>
      <c r="G150" s="155">
        <f t="shared" si="21"/>
        <v>0</v>
      </c>
      <c r="H150" s="271">
        <v>0</v>
      </c>
      <c r="I150" s="280" t="s">
        <v>1774</v>
      </c>
    </row>
    <row r="151" spans="1:9" s="141" customFormat="1" ht="51" hidden="1" customHeight="1">
      <c r="A151" s="112"/>
      <c r="B151" s="148" t="s">
        <v>1374</v>
      </c>
      <c r="C151" s="112"/>
      <c r="D151" s="137"/>
      <c r="E151" s="113"/>
      <c r="F151" s="155">
        <f t="shared" si="20"/>
        <v>0</v>
      </c>
      <c r="G151" s="155">
        <f t="shared" si="21"/>
        <v>0</v>
      </c>
      <c r="H151" s="271">
        <v>0</v>
      </c>
      <c r="I151" s="280" t="s">
        <v>1774</v>
      </c>
    </row>
    <row r="152" spans="1:9" s="141" customFormat="1" ht="35.25" hidden="1" customHeight="1">
      <c r="A152" s="112"/>
      <c r="B152" s="148" t="s">
        <v>1375</v>
      </c>
      <c r="C152" s="112"/>
      <c r="D152" s="137"/>
      <c r="E152" s="113"/>
      <c r="F152" s="155">
        <f t="shared" si="20"/>
        <v>0</v>
      </c>
      <c r="G152" s="155">
        <f t="shared" si="21"/>
        <v>0</v>
      </c>
      <c r="H152" s="271">
        <v>0</v>
      </c>
      <c r="I152" s="280" t="s">
        <v>1774</v>
      </c>
    </row>
    <row r="153" spans="1:9" s="141" customFormat="1" ht="57.75" hidden="1" customHeight="1">
      <c r="A153" s="112"/>
      <c r="B153" s="148" t="s">
        <v>1376</v>
      </c>
      <c r="C153" s="112"/>
      <c r="D153" s="137"/>
      <c r="E153" s="113"/>
      <c r="F153" s="155">
        <f t="shared" si="20"/>
        <v>0</v>
      </c>
      <c r="G153" s="155">
        <f t="shared" si="21"/>
        <v>0</v>
      </c>
      <c r="H153" s="271">
        <v>0</v>
      </c>
      <c r="I153" s="280" t="s">
        <v>1774</v>
      </c>
    </row>
    <row r="154" spans="1:9" s="141" customFormat="1" ht="32.25" hidden="1" customHeight="1">
      <c r="A154" s="112" t="s">
        <v>742</v>
      </c>
      <c r="B154" s="148" t="s">
        <v>1377</v>
      </c>
      <c r="C154" s="112"/>
      <c r="D154" s="137"/>
      <c r="E154" s="113"/>
      <c r="F154" s="155">
        <f t="shared" si="20"/>
        <v>0</v>
      </c>
      <c r="G154" s="155">
        <f t="shared" si="21"/>
        <v>0</v>
      </c>
      <c r="H154" s="271">
        <v>0</v>
      </c>
      <c r="I154" s="280" t="s">
        <v>1774</v>
      </c>
    </row>
    <row r="155" spans="1:9" s="141" customFormat="1" ht="26.25" hidden="1" customHeight="1">
      <c r="A155" s="112" t="s">
        <v>742</v>
      </c>
      <c r="B155" s="148" t="s">
        <v>1378</v>
      </c>
      <c r="C155" s="112"/>
      <c r="D155" s="137"/>
      <c r="E155" s="113"/>
      <c r="F155" s="155">
        <f t="shared" si="20"/>
        <v>0</v>
      </c>
      <c r="G155" s="155">
        <f t="shared" si="21"/>
        <v>0</v>
      </c>
      <c r="H155" s="271">
        <v>0</v>
      </c>
      <c r="I155" s="280" t="s">
        <v>1774</v>
      </c>
    </row>
    <row r="156" spans="1:9" ht="25.5" customHeight="1">
      <c r="A156" s="13" t="s">
        <v>742</v>
      </c>
      <c r="B156" s="12" t="s">
        <v>1379</v>
      </c>
      <c r="C156" s="13"/>
      <c r="D156" s="779"/>
      <c r="E156" s="19"/>
      <c r="F156" s="20">
        <f>+F161</f>
        <v>150</v>
      </c>
      <c r="G156" s="20">
        <f t="shared" ref="G156:H156" si="27">+G161</f>
        <v>145</v>
      </c>
      <c r="H156" s="271">
        <f t="shared" si="27"/>
        <v>5</v>
      </c>
      <c r="I156" s="929"/>
    </row>
    <row r="157" spans="1:9" s="141" customFormat="1" ht="45.75" hidden="1" customHeight="1">
      <c r="A157" s="112"/>
      <c r="B157" s="148" t="s">
        <v>1380</v>
      </c>
      <c r="C157" s="112"/>
      <c r="D157" s="137"/>
      <c r="E157" s="133">
        <v>15</v>
      </c>
      <c r="F157" s="155">
        <f>D157*E157</f>
        <v>0</v>
      </c>
      <c r="G157" s="155">
        <f t="shared" si="21"/>
        <v>0</v>
      </c>
      <c r="H157" s="271">
        <v>0</v>
      </c>
      <c r="I157" s="280" t="s">
        <v>1774</v>
      </c>
    </row>
    <row r="158" spans="1:9" s="141" customFormat="1" ht="24" hidden="1" customHeight="1">
      <c r="A158" s="112"/>
      <c r="B158" s="148" t="s">
        <v>1381</v>
      </c>
      <c r="C158" s="112"/>
      <c r="D158" s="137"/>
      <c r="E158" s="133">
        <v>70</v>
      </c>
      <c r="F158" s="155">
        <f t="shared" ref="F158:F161" si="28">D158*E158</f>
        <v>0</v>
      </c>
      <c r="G158" s="155">
        <f t="shared" si="21"/>
        <v>0</v>
      </c>
      <c r="H158" s="271">
        <v>0</v>
      </c>
      <c r="I158" s="280" t="s">
        <v>1774</v>
      </c>
    </row>
    <row r="159" spans="1:9" s="141" customFormat="1" ht="32.25" hidden="1" customHeight="1">
      <c r="A159" s="112"/>
      <c r="B159" s="148" t="s">
        <v>1382</v>
      </c>
      <c r="C159" s="112" t="s">
        <v>903</v>
      </c>
      <c r="D159" s="137"/>
      <c r="E159" s="133">
        <v>45</v>
      </c>
      <c r="F159" s="155">
        <f t="shared" si="28"/>
        <v>0</v>
      </c>
      <c r="G159" s="155">
        <f t="shared" si="21"/>
        <v>0</v>
      </c>
      <c r="H159" s="271">
        <v>0</v>
      </c>
      <c r="I159" s="280" t="s">
        <v>1774</v>
      </c>
    </row>
    <row r="160" spans="1:9" s="141" customFormat="1" ht="22.5" hidden="1" customHeight="1">
      <c r="A160" s="112"/>
      <c r="B160" s="148" t="s">
        <v>1383</v>
      </c>
      <c r="C160" s="112"/>
      <c r="D160" s="137"/>
      <c r="E160" s="133">
        <v>60</v>
      </c>
      <c r="F160" s="155">
        <f t="shared" si="28"/>
        <v>0</v>
      </c>
      <c r="G160" s="155">
        <f t="shared" si="21"/>
        <v>0</v>
      </c>
      <c r="H160" s="271">
        <v>0</v>
      </c>
      <c r="I160" s="280" t="s">
        <v>1774</v>
      </c>
    </row>
    <row r="161" spans="1:10" ht="18" customHeight="1">
      <c r="A161" s="13"/>
      <c r="B161" s="12" t="s">
        <v>1384</v>
      </c>
      <c r="C161" s="13" t="s">
        <v>878</v>
      </c>
      <c r="D161" s="779">
        <v>5</v>
      </c>
      <c r="E161" s="166">
        <v>30</v>
      </c>
      <c r="F161" s="20">
        <f t="shared" si="28"/>
        <v>150</v>
      </c>
      <c r="G161" s="20">
        <f t="shared" si="21"/>
        <v>145</v>
      </c>
      <c r="H161" s="271">
        <v>5</v>
      </c>
      <c r="I161" s="929"/>
    </row>
    <row r="162" spans="1:10" s="143" customFormat="1" ht="28.5" hidden="1" customHeight="1">
      <c r="A162" s="119" t="s">
        <v>1227</v>
      </c>
      <c r="B162" s="222" t="s">
        <v>1385</v>
      </c>
      <c r="C162" s="119"/>
      <c r="D162" s="151"/>
      <c r="E162" s="118"/>
      <c r="F162" s="155"/>
      <c r="G162" s="155">
        <f t="shared" si="21"/>
        <v>0</v>
      </c>
      <c r="H162" s="271">
        <v>0</v>
      </c>
      <c r="I162" s="280" t="s">
        <v>1774</v>
      </c>
    </row>
    <row r="163" spans="1:10" s="317" customFormat="1" ht="18" customHeight="1">
      <c r="A163" s="26">
        <v>2</v>
      </c>
      <c r="B163" s="55" t="s">
        <v>23</v>
      </c>
      <c r="C163" s="26"/>
      <c r="D163" s="783"/>
      <c r="E163" s="781"/>
      <c r="F163" s="21">
        <f>+F164+F186+F207</f>
        <v>1292</v>
      </c>
      <c r="G163" s="21">
        <f t="shared" ref="G163:H163" si="29">+G164+G186+G207</f>
        <v>1233</v>
      </c>
      <c r="H163" s="272">
        <f t="shared" si="29"/>
        <v>59</v>
      </c>
      <c r="I163" s="929"/>
      <c r="J163" s="317">
        <f t="shared" ref="J163:J207" si="30">F163-G163-H163</f>
        <v>0</v>
      </c>
    </row>
    <row r="164" spans="1:10" s="319" customFormat="1" ht="26.25" customHeight="1">
      <c r="A164" s="125" t="s">
        <v>911</v>
      </c>
      <c r="B164" s="394" t="s">
        <v>1363</v>
      </c>
      <c r="C164" s="125"/>
      <c r="D164" s="890"/>
      <c r="E164" s="895"/>
      <c r="F164" s="20">
        <f>+F165+F166+F167+F168+F172+F177+F182+F183+F184+F185+F171</f>
        <v>962</v>
      </c>
      <c r="G164" s="20">
        <f t="shared" ref="G164:H164" si="31">+G165+G166+G167+G168+G172+G177+G182+G183+G184+G185+G171</f>
        <v>916</v>
      </c>
      <c r="H164" s="271">
        <f t="shared" si="31"/>
        <v>46</v>
      </c>
      <c r="I164" s="96"/>
      <c r="J164" s="317">
        <f t="shared" si="30"/>
        <v>0</v>
      </c>
    </row>
    <row r="165" spans="1:10" s="141" customFormat="1" ht="26.25" hidden="1" customHeight="1">
      <c r="A165" s="112" t="s">
        <v>742</v>
      </c>
      <c r="B165" s="148" t="s">
        <v>1314</v>
      </c>
      <c r="C165" s="112"/>
      <c r="D165" s="137"/>
      <c r="E165" s="133">
        <v>25</v>
      </c>
      <c r="F165" s="155">
        <f t="shared" si="20"/>
        <v>0</v>
      </c>
      <c r="G165" s="155">
        <f t="shared" si="21"/>
        <v>0</v>
      </c>
      <c r="H165" s="271">
        <v>0</v>
      </c>
      <c r="I165" s="280" t="s">
        <v>1774</v>
      </c>
      <c r="J165" s="142">
        <f t="shared" si="30"/>
        <v>0</v>
      </c>
    </row>
    <row r="166" spans="1:10" ht="39">
      <c r="A166" s="13" t="s">
        <v>742</v>
      </c>
      <c r="B166" s="12" t="s">
        <v>1315</v>
      </c>
      <c r="C166" s="13" t="s">
        <v>878</v>
      </c>
      <c r="D166" s="779">
        <v>5</v>
      </c>
      <c r="E166" s="166">
        <v>30</v>
      </c>
      <c r="F166" s="20">
        <f>D166*E166</f>
        <v>150</v>
      </c>
      <c r="G166" s="20">
        <f t="shared" si="21"/>
        <v>142</v>
      </c>
      <c r="H166" s="271">
        <v>8</v>
      </c>
      <c r="I166" s="96"/>
      <c r="J166" s="317">
        <f t="shared" si="30"/>
        <v>0</v>
      </c>
    </row>
    <row r="167" spans="1:10" s="141" customFormat="1" ht="26.25" hidden="1" customHeight="1">
      <c r="A167" s="112" t="s">
        <v>742</v>
      </c>
      <c r="B167" s="148" t="s">
        <v>1316</v>
      </c>
      <c r="C167" s="112"/>
      <c r="D167" s="137"/>
      <c r="E167" s="133">
        <v>5</v>
      </c>
      <c r="F167" s="155">
        <f t="shared" si="20"/>
        <v>0</v>
      </c>
      <c r="G167" s="155">
        <f t="shared" si="21"/>
        <v>0</v>
      </c>
      <c r="H167" s="271">
        <v>0</v>
      </c>
      <c r="I167" s="280" t="s">
        <v>1774</v>
      </c>
      <c r="J167" s="142">
        <f t="shared" si="30"/>
        <v>0</v>
      </c>
    </row>
    <row r="168" spans="1:10" ht="66" customHeight="1">
      <c r="A168" s="13" t="s">
        <v>742</v>
      </c>
      <c r="B168" s="12" t="s">
        <v>1317</v>
      </c>
      <c r="C168" s="13"/>
      <c r="D168" s="779"/>
      <c r="E168" s="930"/>
      <c r="F168" s="20">
        <f>SUM(F169:F170)</f>
        <v>300</v>
      </c>
      <c r="G168" s="20">
        <f t="shared" ref="G168:H168" si="32">SUM(G169:G170)</f>
        <v>300</v>
      </c>
      <c r="H168" s="271">
        <f t="shared" si="32"/>
        <v>0</v>
      </c>
      <c r="I168" s="96"/>
      <c r="J168" s="317">
        <f t="shared" si="30"/>
        <v>0</v>
      </c>
    </row>
    <row r="169" spans="1:10" ht="18" customHeight="1">
      <c r="A169" s="13"/>
      <c r="B169" s="12" t="s">
        <v>1318</v>
      </c>
      <c r="C169" s="13" t="s">
        <v>903</v>
      </c>
      <c r="D169" s="779">
        <v>10</v>
      </c>
      <c r="E169" s="937">
        <v>30</v>
      </c>
      <c r="F169" s="20">
        <v>300</v>
      </c>
      <c r="G169" s="20">
        <f>F169-H169</f>
        <v>300</v>
      </c>
      <c r="H169" s="271"/>
      <c r="I169" s="96"/>
      <c r="J169" s="317">
        <f t="shared" si="30"/>
        <v>0</v>
      </c>
    </row>
    <row r="170" spans="1:10" s="141" customFormat="1" ht="18" hidden="1" customHeight="1">
      <c r="A170" s="112"/>
      <c r="B170" s="148" t="s">
        <v>1319</v>
      </c>
      <c r="C170" s="112" t="s">
        <v>875</v>
      </c>
      <c r="D170" s="137"/>
      <c r="E170" s="133">
        <v>40</v>
      </c>
      <c r="F170" s="155">
        <v>0</v>
      </c>
      <c r="G170" s="155">
        <f t="shared" si="21"/>
        <v>0</v>
      </c>
      <c r="H170" s="271">
        <v>0</v>
      </c>
      <c r="I170" s="280" t="s">
        <v>1774</v>
      </c>
      <c r="J170" s="142">
        <f t="shared" si="30"/>
        <v>0</v>
      </c>
    </row>
    <row r="171" spans="1:10" ht="39">
      <c r="A171" s="13" t="s">
        <v>742</v>
      </c>
      <c r="B171" s="12" t="s">
        <v>1699</v>
      </c>
      <c r="C171" s="13" t="s">
        <v>1389</v>
      </c>
      <c r="D171" s="779">
        <v>154</v>
      </c>
      <c r="E171" s="931">
        <v>1</v>
      </c>
      <c r="F171" s="20">
        <v>154</v>
      </c>
      <c r="G171" s="20">
        <v>146</v>
      </c>
      <c r="H171" s="271">
        <f>F171-G171</f>
        <v>8</v>
      </c>
      <c r="I171" s="929"/>
      <c r="J171" s="317">
        <f t="shared" si="30"/>
        <v>0</v>
      </c>
    </row>
    <row r="172" spans="1:10" s="141" customFormat="1" ht="42" hidden="1" customHeight="1">
      <c r="A172" s="112" t="s">
        <v>742</v>
      </c>
      <c r="B172" s="148" t="s">
        <v>1320</v>
      </c>
      <c r="C172" s="112"/>
      <c r="D172" s="137"/>
      <c r="E172" s="160"/>
      <c r="F172" s="155">
        <f t="shared" ref="F172" si="33">SUM(F173:F176)</f>
        <v>0</v>
      </c>
      <c r="G172" s="155">
        <f t="shared" si="21"/>
        <v>0</v>
      </c>
      <c r="H172" s="271">
        <v>0</v>
      </c>
      <c r="I172" s="280" t="s">
        <v>1774</v>
      </c>
      <c r="J172" s="142">
        <f t="shared" si="30"/>
        <v>0</v>
      </c>
    </row>
    <row r="173" spans="1:10" s="141" customFormat="1" ht="26.25" hidden="1" customHeight="1">
      <c r="A173" s="112"/>
      <c r="B173" s="148" t="s">
        <v>1321</v>
      </c>
      <c r="C173" s="112" t="s">
        <v>874</v>
      </c>
      <c r="D173" s="137"/>
      <c r="E173" s="133">
        <v>1</v>
      </c>
      <c r="F173" s="155">
        <f>D173*E173</f>
        <v>0</v>
      </c>
      <c r="G173" s="155">
        <f t="shared" si="21"/>
        <v>0</v>
      </c>
      <c r="H173" s="271">
        <v>0</v>
      </c>
      <c r="I173" s="280" t="s">
        <v>1774</v>
      </c>
      <c r="J173" s="142">
        <f t="shared" si="30"/>
        <v>0</v>
      </c>
    </row>
    <row r="174" spans="1:10" s="141" customFormat="1" ht="18" hidden="1" customHeight="1">
      <c r="A174" s="112"/>
      <c r="B174" s="148" t="s">
        <v>1322</v>
      </c>
      <c r="C174" s="112" t="s">
        <v>874</v>
      </c>
      <c r="D174" s="137"/>
      <c r="E174" s="160">
        <v>0.8</v>
      </c>
      <c r="F174" s="155">
        <f>D174*E174</f>
        <v>0</v>
      </c>
      <c r="G174" s="155">
        <f t="shared" si="21"/>
        <v>0</v>
      </c>
      <c r="H174" s="271">
        <v>0</v>
      </c>
      <c r="I174" s="280" t="s">
        <v>1774</v>
      </c>
      <c r="J174" s="142">
        <f t="shared" si="30"/>
        <v>0</v>
      </c>
    </row>
    <row r="175" spans="1:10" s="141" customFormat="1" ht="18" hidden="1" customHeight="1">
      <c r="A175" s="112"/>
      <c r="B175" s="148" t="s">
        <v>1323</v>
      </c>
      <c r="C175" s="112" t="s">
        <v>874</v>
      </c>
      <c r="D175" s="137"/>
      <c r="E175" s="160">
        <v>0.5</v>
      </c>
      <c r="F175" s="155">
        <f t="shared" ref="F175:F176" si="34">D175*E175</f>
        <v>0</v>
      </c>
      <c r="G175" s="155">
        <f t="shared" si="21"/>
        <v>0</v>
      </c>
      <c r="H175" s="271">
        <v>0</v>
      </c>
      <c r="I175" s="147" t="s">
        <v>1774</v>
      </c>
      <c r="J175" s="142">
        <f t="shared" si="30"/>
        <v>0</v>
      </c>
    </row>
    <row r="176" spans="1:10" s="141" customFormat="1" ht="26.25" hidden="1" customHeight="1">
      <c r="A176" s="112"/>
      <c r="B176" s="148" t="s">
        <v>1324</v>
      </c>
      <c r="C176" s="112" t="s">
        <v>874</v>
      </c>
      <c r="D176" s="137"/>
      <c r="E176" s="160">
        <v>0.5</v>
      </c>
      <c r="F176" s="155">
        <f t="shared" si="34"/>
        <v>0</v>
      </c>
      <c r="G176" s="155">
        <f t="shared" si="21"/>
        <v>0</v>
      </c>
      <c r="H176" s="271">
        <v>0</v>
      </c>
      <c r="I176" s="280" t="s">
        <v>1774</v>
      </c>
      <c r="J176" s="142">
        <f t="shared" si="30"/>
        <v>0</v>
      </c>
    </row>
    <row r="177" spans="1:10" ht="26.25" customHeight="1">
      <c r="A177" s="13" t="s">
        <v>742</v>
      </c>
      <c r="B177" s="12" t="s">
        <v>1325</v>
      </c>
      <c r="C177" s="13"/>
      <c r="D177" s="779"/>
      <c r="E177" s="166"/>
      <c r="F177" s="20">
        <f>SUM(F178:F181)</f>
        <v>358</v>
      </c>
      <c r="G177" s="20">
        <f t="shared" ref="G177:H177" si="35">SUM(G178:G181)</f>
        <v>328</v>
      </c>
      <c r="H177" s="271">
        <f t="shared" si="35"/>
        <v>30</v>
      </c>
      <c r="I177" s="929"/>
      <c r="J177" s="317">
        <f t="shared" si="30"/>
        <v>0</v>
      </c>
    </row>
    <row r="178" spans="1:10" ht="26.25" customHeight="1">
      <c r="A178" s="13"/>
      <c r="B178" s="12" t="s">
        <v>1326</v>
      </c>
      <c r="C178" s="13" t="s">
        <v>902</v>
      </c>
      <c r="D178" s="779">
        <v>2</v>
      </c>
      <c r="E178" s="166">
        <v>84</v>
      </c>
      <c r="F178" s="20">
        <f>D178*E178</f>
        <v>168</v>
      </c>
      <c r="G178" s="20">
        <f t="shared" si="21"/>
        <v>161</v>
      </c>
      <c r="H178" s="271">
        <v>7</v>
      </c>
      <c r="I178" s="96"/>
      <c r="J178" s="317">
        <f t="shared" si="30"/>
        <v>0</v>
      </c>
    </row>
    <row r="179" spans="1:10" s="141" customFormat="1" ht="52" hidden="1">
      <c r="A179" s="112"/>
      <c r="B179" s="148" t="s">
        <v>1327</v>
      </c>
      <c r="C179" s="112" t="s">
        <v>1147</v>
      </c>
      <c r="D179" s="137">
        <v>1</v>
      </c>
      <c r="E179" s="133">
        <v>30</v>
      </c>
      <c r="F179" s="155">
        <f>D179*E179</f>
        <v>30</v>
      </c>
      <c r="G179" s="155">
        <f>F179-H179</f>
        <v>15</v>
      </c>
      <c r="H179" s="271">
        <v>15</v>
      </c>
      <c r="I179" s="280" t="s">
        <v>1774</v>
      </c>
      <c r="J179" s="142">
        <f t="shared" si="30"/>
        <v>0</v>
      </c>
    </row>
    <row r="180" spans="1:10" s="141" customFormat="1" ht="65" hidden="1">
      <c r="A180" s="112"/>
      <c r="B180" s="148" t="s">
        <v>1328</v>
      </c>
      <c r="C180" s="112" t="s">
        <v>875</v>
      </c>
      <c r="D180" s="137">
        <v>2</v>
      </c>
      <c r="E180" s="133">
        <v>80</v>
      </c>
      <c r="F180" s="155">
        <f>D180*E180</f>
        <v>160</v>
      </c>
      <c r="G180" s="155">
        <v>152</v>
      </c>
      <c r="H180" s="271">
        <f>F180-G180</f>
        <v>8</v>
      </c>
      <c r="I180" s="280" t="s">
        <v>1774</v>
      </c>
      <c r="J180" s="142">
        <f t="shared" si="30"/>
        <v>0</v>
      </c>
    </row>
    <row r="181" spans="1:10" s="141" customFormat="1" ht="39" hidden="1">
      <c r="A181" s="112"/>
      <c r="B181" s="148" t="s">
        <v>1329</v>
      </c>
      <c r="C181" s="112" t="s">
        <v>1034</v>
      </c>
      <c r="D181" s="137"/>
      <c r="E181" s="133">
        <v>50</v>
      </c>
      <c r="F181" s="155">
        <f t="shared" ref="F181" si="36">D181*E181</f>
        <v>0</v>
      </c>
      <c r="G181" s="155">
        <f t="shared" si="21"/>
        <v>0</v>
      </c>
      <c r="H181" s="271">
        <v>0</v>
      </c>
      <c r="I181" s="280" t="s">
        <v>1774</v>
      </c>
      <c r="J181" s="142">
        <f t="shared" si="30"/>
        <v>0</v>
      </c>
    </row>
    <row r="182" spans="1:10" s="141" customFormat="1" ht="26" hidden="1">
      <c r="A182" s="112" t="s">
        <v>742</v>
      </c>
      <c r="B182" s="148" t="s">
        <v>1330</v>
      </c>
      <c r="C182" s="112" t="s">
        <v>902</v>
      </c>
      <c r="D182" s="137"/>
      <c r="E182" s="133">
        <v>40</v>
      </c>
      <c r="F182" s="155">
        <f t="shared" si="20"/>
        <v>0</v>
      </c>
      <c r="G182" s="155">
        <f t="shared" si="21"/>
        <v>0</v>
      </c>
      <c r="H182" s="271">
        <v>0</v>
      </c>
      <c r="I182" s="280" t="s">
        <v>1774</v>
      </c>
      <c r="J182" s="142">
        <f t="shared" si="30"/>
        <v>0</v>
      </c>
    </row>
    <row r="183" spans="1:10" s="141" customFormat="1" ht="57" hidden="1" customHeight="1">
      <c r="A183" s="112" t="s">
        <v>742</v>
      </c>
      <c r="B183" s="148" t="s">
        <v>1331</v>
      </c>
      <c r="C183" s="112" t="s">
        <v>878</v>
      </c>
      <c r="D183" s="137"/>
      <c r="E183" s="133">
        <v>19</v>
      </c>
      <c r="F183" s="155">
        <f t="shared" si="20"/>
        <v>0</v>
      </c>
      <c r="G183" s="155">
        <f t="shared" si="21"/>
        <v>0</v>
      </c>
      <c r="H183" s="271">
        <v>0</v>
      </c>
      <c r="I183" s="280" t="s">
        <v>1774</v>
      </c>
      <c r="J183" s="142">
        <f t="shared" si="30"/>
        <v>0</v>
      </c>
    </row>
    <row r="184" spans="1:10" s="141" customFormat="1" ht="70.5" hidden="1" customHeight="1">
      <c r="A184" s="112" t="s">
        <v>742</v>
      </c>
      <c r="B184" s="148" t="s">
        <v>1332</v>
      </c>
      <c r="C184" s="112"/>
      <c r="D184" s="137"/>
      <c r="E184" s="113"/>
      <c r="F184" s="155">
        <f t="shared" si="20"/>
        <v>0</v>
      </c>
      <c r="G184" s="155">
        <f t="shared" si="21"/>
        <v>0</v>
      </c>
      <c r="H184" s="271">
        <v>0</v>
      </c>
      <c r="I184" s="280" t="s">
        <v>1774</v>
      </c>
      <c r="J184" s="142">
        <f t="shared" si="30"/>
        <v>0</v>
      </c>
    </row>
    <row r="185" spans="1:10" s="141" customFormat="1" ht="38.25" hidden="1" customHeight="1">
      <c r="A185" s="112" t="s">
        <v>742</v>
      </c>
      <c r="B185" s="148" t="s">
        <v>1333</v>
      </c>
      <c r="C185" s="112" t="s">
        <v>1034</v>
      </c>
      <c r="D185" s="137"/>
      <c r="E185" s="133">
        <v>50</v>
      </c>
      <c r="F185" s="155">
        <f t="shared" si="20"/>
        <v>0</v>
      </c>
      <c r="G185" s="155">
        <f t="shared" ref="G185:G248" si="37">F185-H185</f>
        <v>0</v>
      </c>
      <c r="H185" s="271">
        <v>0</v>
      </c>
      <c r="I185" s="280" t="s">
        <v>1774</v>
      </c>
      <c r="J185" s="142">
        <f t="shared" si="30"/>
        <v>0</v>
      </c>
    </row>
    <row r="186" spans="1:10" s="319" customFormat="1" ht="26">
      <c r="A186" s="125" t="s">
        <v>915</v>
      </c>
      <c r="B186" s="394" t="s">
        <v>1364</v>
      </c>
      <c r="C186" s="125"/>
      <c r="D186" s="890"/>
      <c r="E186" s="895"/>
      <c r="F186" s="20">
        <f>+F187+F192+F193+F199+F200+F201</f>
        <v>330</v>
      </c>
      <c r="G186" s="20">
        <f t="shared" ref="G186:H186" si="38">+G187+G192+G193+G199+G200+G201</f>
        <v>317</v>
      </c>
      <c r="H186" s="271">
        <f t="shared" si="38"/>
        <v>13</v>
      </c>
      <c r="I186" s="929"/>
      <c r="J186" s="317">
        <f t="shared" si="30"/>
        <v>0</v>
      </c>
    </row>
    <row r="187" spans="1:10" ht="18" customHeight="1">
      <c r="A187" s="13" t="s">
        <v>742</v>
      </c>
      <c r="B187" s="12" t="s">
        <v>1365</v>
      </c>
      <c r="C187" s="13"/>
      <c r="D187" s="779"/>
      <c r="E187" s="19"/>
      <c r="F187" s="20">
        <f>SUM(F188:F191)</f>
        <v>150</v>
      </c>
      <c r="G187" s="20">
        <f t="shared" ref="G187:H187" si="39">SUM(G188:G191)</f>
        <v>150</v>
      </c>
      <c r="H187" s="271">
        <f t="shared" si="39"/>
        <v>0</v>
      </c>
      <c r="I187" s="929"/>
      <c r="J187" s="317">
        <f t="shared" si="30"/>
        <v>0</v>
      </c>
    </row>
    <row r="188" spans="1:10" s="141" customFormat="1" ht="39.75" hidden="1" customHeight="1">
      <c r="A188" s="112"/>
      <c r="B188" s="148" t="s">
        <v>1366</v>
      </c>
      <c r="C188" s="112" t="s">
        <v>878</v>
      </c>
      <c r="D188" s="137">
        <v>5</v>
      </c>
      <c r="E188" s="133">
        <v>30</v>
      </c>
      <c r="F188" s="155">
        <f t="shared" si="20"/>
        <v>150</v>
      </c>
      <c r="G188" s="155">
        <f t="shared" si="37"/>
        <v>150</v>
      </c>
      <c r="H188" s="271"/>
      <c r="I188" s="280" t="s">
        <v>1774</v>
      </c>
      <c r="J188" s="142">
        <f t="shared" si="30"/>
        <v>0</v>
      </c>
    </row>
    <row r="189" spans="1:10" s="141" customFormat="1" ht="33.75" hidden="1" customHeight="1">
      <c r="A189" s="112"/>
      <c r="B189" s="148" t="s">
        <v>1367</v>
      </c>
      <c r="C189" s="112" t="s">
        <v>902</v>
      </c>
      <c r="D189" s="137"/>
      <c r="E189" s="133">
        <v>50</v>
      </c>
      <c r="F189" s="155">
        <f t="shared" si="20"/>
        <v>0</v>
      </c>
      <c r="G189" s="155">
        <f t="shared" si="37"/>
        <v>0</v>
      </c>
      <c r="H189" s="271">
        <v>0</v>
      </c>
      <c r="I189" s="280" t="s">
        <v>1774</v>
      </c>
      <c r="J189" s="142">
        <f t="shared" si="30"/>
        <v>0</v>
      </c>
    </row>
    <row r="190" spans="1:10" s="141" customFormat="1" ht="34.5" hidden="1" customHeight="1">
      <c r="A190" s="112"/>
      <c r="B190" s="148" t="s">
        <v>1368</v>
      </c>
      <c r="C190" s="112" t="s">
        <v>1342</v>
      </c>
      <c r="D190" s="137"/>
      <c r="E190" s="133">
        <v>40</v>
      </c>
      <c r="F190" s="155">
        <f t="shared" si="20"/>
        <v>0</v>
      </c>
      <c r="G190" s="155">
        <f t="shared" si="37"/>
        <v>0</v>
      </c>
      <c r="H190" s="271">
        <v>0</v>
      </c>
      <c r="I190" s="280" t="s">
        <v>1774</v>
      </c>
      <c r="J190" s="142">
        <f t="shared" si="30"/>
        <v>0</v>
      </c>
    </row>
    <row r="191" spans="1:10" s="141" customFormat="1" ht="33.75" hidden="1" customHeight="1">
      <c r="A191" s="112"/>
      <c r="B191" s="148" t="s">
        <v>1369</v>
      </c>
      <c r="C191" s="112" t="s">
        <v>1208</v>
      </c>
      <c r="D191" s="137"/>
      <c r="E191" s="162">
        <f>15000/1000000</f>
        <v>1.4999999999999999E-2</v>
      </c>
      <c r="F191" s="155">
        <v>0</v>
      </c>
      <c r="G191" s="155">
        <f t="shared" si="37"/>
        <v>0</v>
      </c>
      <c r="H191" s="271">
        <v>0</v>
      </c>
      <c r="I191" s="280" t="s">
        <v>1774</v>
      </c>
      <c r="J191" s="142">
        <f t="shared" si="30"/>
        <v>0</v>
      </c>
    </row>
    <row r="192" spans="1:10" s="141" customFormat="1" ht="45" hidden="1" customHeight="1">
      <c r="A192" s="112" t="s">
        <v>742</v>
      </c>
      <c r="B192" s="154" t="s">
        <v>1370</v>
      </c>
      <c r="C192" s="122"/>
      <c r="D192" s="149"/>
      <c r="E192" s="146"/>
      <c r="F192" s="155">
        <f t="shared" si="20"/>
        <v>0</v>
      </c>
      <c r="G192" s="155">
        <f t="shared" si="37"/>
        <v>0</v>
      </c>
      <c r="H192" s="271">
        <v>0</v>
      </c>
      <c r="I192" s="280" t="s">
        <v>1774</v>
      </c>
      <c r="J192" s="142">
        <f t="shared" si="30"/>
        <v>0</v>
      </c>
    </row>
    <row r="193" spans="1:10" s="141" customFormat="1" ht="51.75" hidden="1" customHeight="1">
      <c r="A193" s="112" t="s">
        <v>742</v>
      </c>
      <c r="B193" s="148" t="s">
        <v>1371</v>
      </c>
      <c r="C193" s="112"/>
      <c r="D193" s="137"/>
      <c r="E193" s="113"/>
      <c r="F193" s="155">
        <f>+F194</f>
        <v>0</v>
      </c>
      <c r="G193" s="155">
        <f t="shared" ref="G193:H193" si="40">+G194</f>
        <v>0</v>
      </c>
      <c r="H193" s="271">
        <f t="shared" si="40"/>
        <v>0</v>
      </c>
      <c r="I193" s="280" t="s">
        <v>1774</v>
      </c>
      <c r="J193" s="142">
        <f t="shared" si="30"/>
        <v>0</v>
      </c>
    </row>
    <row r="194" spans="1:10" s="141" customFormat="1" ht="39" hidden="1" customHeight="1">
      <c r="A194" s="112"/>
      <c r="B194" s="148" t="s">
        <v>1372</v>
      </c>
      <c r="C194" s="112" t="s">
        <v>903</v>
      </c>
      <c r="D194" s="137"/>
      <c r="E194" s="133">
        <v>30</v>
      </c>
      <c r="F194" s="155">
        <f t="shared" si="20"/>
        <v>0</v>
      </c>
      <c r="G194" s="155">
        <f t="shared" si="37"/>
        <v>0</v>
      </c>
      <c r="H194" s="271">
        <v>0</v>
      </c>
      <c r="I194" s="280" t="s">
        <v>1774</v>
      </c>
      <c r="J194" s="142">
        <f t="shared" si="30"/>
        <v>0</v>
      </c>
    </row>
    <row r="195" spans="1:10" s="141" customFormat="1" ht="56.25" hidden="1" customHeight="1">
      <c r="A195" s="112"/>
      <c r="B195" s="148" t="s">
        <v>1373</v>
      </c>
      <c r="C195" s="112"/>
      <c r="D195" s="137"/>
      <c r="E195" s="113"/>
      <c r="F195" s="155">
        <f t="shared" si="20"/>
        <v>0</v>
      </c>
      <c r="G195" s="155">
        <f t="shared" si="37"/>
        <v>0</v>
      </c>
      <c r="H195" s="271">
        <v>0</v>
      </c>
      <c r="I195" s="280" t="s">
        <v>1774</v>
      </c>
      <c r="J195" s="142">
        <f t="shared" si="30"/>
        <v>0</v>
      </c>
    </row>
    <row r="196" spans="1:10" s="141" customFormat="1" ht="51" hidden="1" customHeight="1">
      <c r="A196" s="112"/>
      <c r="B196" s="148" t="s">
        <v>1374</v>
      </c>
      <c r="C196" s="112"/>
      <c r="D196" s="137"/>
      <c r="E196" s="113"/>
      <c r="F196" s="155">
        <f t="shared" si="20"/>
        <v>0</v>
      </c>
      <c r="G196" s="155">
        <f t="shared" si="37"/>
        <v>0</v>
      </c>
      <c r="H196" s="271">
        <v>0</v>
      </c>
      <c r="I196" s="280" t="s">
        <v>1774</v>
      </c>
      <c r="J196" s="142">
        <f t="shared" si="30"/>
        <v>0</v>
      </c>
    </row>
    <row r="197" spans="1:10" s="141" customFormat="1" ht="35.25" hidden="1" customHeight="1">
      <c r="A197" s="112"/>
      <c r="B197" s="148" t="s">
        <v>1375</v>
      </c>
      <c r="C197" s="112"/>
      <c r="D197" s="137"/>
      <c r="E197" s="113"/>
      <c r="F197" s="155">
        <f t="shared" si="20"/>
        <v>0</v>
      </c>
      <c r="G197" s="155">
        <f t="shared" si="37"/>
        <v>0</v>
      </c>
      <c r="H197" s="271">
        <v>0</v>
      </c>
      <c r="I197" s="280" t="s">
        <v>1774</v>
      </c>
      <c r="J197" s="142">
        <f t="shared" si="30"/>
        <v>0</v>
      </c>
    </row>
    <row r="198" spans="1:10" s="141" customFormat="1" ht="39" hidden="1" customHeight="1">
      <c r="A198" s="112"/>
      <c r="B198" s="148" t="s">
        <v>1376</v>
      </c>
      <c r="C198" s="112"/>
      <c r="D198" s="137"/>
      <c r="E198" s="113"/>
      <c r="F198" s="155">
        <f t="shared" si="20"/>
        <v>0</v>
      </c>
      <c r="G198" s="155">
        <f t="shared" si="37"/>
        <v>0</v>
      </c>
      <c r="H198" s="271">
        <v>0</v>
      </c>
      <c r="I198" s="280" t="s">
        <v>1774</v>
      </c>
      <c r="J198" s="142">
        <f t="shared" si="30"/>
        <v>0</v>
      </c>
    </row>
    <row r="199" spans="1:10" s="141" customFormat="1" ht="32.25" hidden="1" customHeight="1">
      <c r="A199" s="112" t="s">
        <v>742</v>
      </c>
      <c r="B199" s="148" t="s">
        <v>1377</v>
      </c>
      <c r="C199" s="112"/>
      <c r="D199" s="137"/>
      <c r="E199" s="113"/>
      <c r="F199" s="155">
        <f t="shared" si="20"/>
        <v>0</v>
      </c>
      <c r="G199" s="155">
        <f t="shared" si="37"/>
        <v>0</v>
      </c>
      <c r="H199" s="271">
        <v>0</v>
      </c>
      <c r="I199" s="280" t="s">
        <v>1774</v>
      </c>
      <c r="J199" s="142">
        <f t="shared" si="30"/>
        <v>0</v>
      </c>
    </row>
    <row r="200" spans="1:10" s="141" customFormat="1" ht="26.25" hidden="1" customHeight="1">
      <c r="A200" s="112" t="s">
        <v>742</v>
      </c>
      <c r="B200" s="148" t="s">
        <v>1378</v>
      </c>
      <c r="C200" s="112"/>
      <c r="D200" s="137"/>
      <c r="E200" s="113"/>
      <c r="F200" s="155">
        <f t="shared" si="20"/>
        <v>0</v>
      </c>
      <c r="G200" s="155">
        <f t="shared" si="37"/>
        <v>0</v>
      </c>
      <c r="H200" s="271">
        <v>0</v>
      </c>
      <c r="I200" s="280" t="s">
        <v>1774</v>
      </c>
      <c r="J200" s="142">
        <f t="shared" si="30"/>
        <v>0</v>
      </c>
    </row>
    <row r="201" spans="1:10" ht="28.5" customHeight="1">
      <c r="A201" s="13" t="s">
        <v>742</v>
      </c>
      <c r="B201" s="12" t="s">
        <v>2068</v>
      </c>
      <c r="C201" s="13"/>
      <c r="D201" s="779"/>
      <c r="E201" s="19"/>
      <c r="F201" s="20">
        <f>+F206</f>
        <v>180</v>
      </c>
      <c r="G201" s="20">
        <f t="shared" ref="G201:H201" si="41">+G206</f>
        <v>167</v>
      </c>
      <c r="H201" s="271">
        <f t="shared" si="41"/>
        <v>13</v>
      </c>
      <c r="I201" s="96"/>
      <c r="J201" s="317">
        <f t="shared" si="30"/>
        <v>0</v>
      </c>
    </row>
    <row r="202" spans="1:10" s="141" customFormat="1" ht="43.5" hidden="1" customHeight="1">
      <c r="A202" s="112"/>
      <c r="B202" s="148" t="s">
        <v>1380</v>
      </c>
      <c r="C202" s="112"/>
      <c r="D202" s="137"/>
      <c r="E202" s="133">
        <v>15</v>
      </c>
      <c r="F202" s="155">
        <f>D202*E202</f>
        <v>0</v>
      </c>
      <c r="G202" s="155">
        <f t="shared" si="37"/>
        <v>0</v>
      </c>
      <c r="H202" s="271">
        <v>0</v>
      </c>
      <c r="I202" s="280" t="s">
        <v>1774</v>
      </c>
      <c r="J202" s="142">
        <f t="shared" si="30"/>
        <v>0</v>
      </c>
    </row>
    <row r="203" spans="1:10" s="141" customFormat="1" ht="24" hidden="1" customHeight="1">
      <c r="A203" s="112"/>
      <c r="B203" s="148" t="s">
        <v>1381</v>
      </c>
      <c r="C203" s="112"/>
      <c r="D203" s="137"/>
      <c r="E203" s="133">
        <v>70</v>
      </c>
      <c r="F203" s="155">
        <f t="shared" ref="F203:F206" si="42">D203*E203</f>
        <v>0</v>
      </c>
      <c r="G203" s="155">
        <f t="shared" si="37"/>
        <v>0</v>
      </c>
      <c r="H203" s="271">
        <v>0</v>
      </c>
      <c r="I203" s="280" t="s">
        <v>1774</v>
      </c>
      <c r="J203" s="142">
        <f t="shared" si="30"/>
        <v>0</v>
      </c>
    </row>
    <row r="204" spans="1:10" s="141" customFormat="1" ht="32.25" hidden="1" customHeight="1">
      <c r="A204" s="112"/>
      <c r="B204" s="148" t="s">
        <v>1382</v>
      </c>
      <c r="C204" s="112" t="s">
        <v>903</v>
      </c>
      <c r="D204" s="137"/>
      <c r="E204" s="133">
        <v>45</v>
      </c>
      <c r="F204" s="155">
        <f t="shared" si="42"/>
        <v>0</v>
      </c>
      <c r="G204" s="155">
        <f t="shared" si="37"/>
        <v>0</v>
      </c>
      <c r="H204" s="271">
        <v>0</v>
      </c>
      <c r="I204" s="280" t="s">
        <v>1774</v>
      </c>
      <c r="J204" s="142">
        <f t="shared" si="30"/>
        <v>0</v>
      </c>
    </row>
    <row r="205" spans="1:10" s="141" customFormat="1" ht="22.5" hidden="1" customHeight="1">
      <c r="A205" s="112"/>
      <c r="B205" s="148" t="s">
        <v>1383</v>
      </c>
      <c r="C205" s="112"/>
      <c r="D205" s="137"/>
      <c r="E205" s="133">
        <v>60</v>
      </c>
      <c r="F205" s="155">
        <f t="shared" si="42"/>
        <v>0</v>
      </c>
      <c r="G205" s="155">
        <f t="shared" si="37"/>
        <v>0</v>
      </c>
      <c r="H205" s="271">
        <v>0</v>
      </c>
      <c r="I205" s="280" t="s">
        <v>1774</v>
      </c>
      <c r="J205" s="142">
        <f t="shared" si="30"/>
        <v>0</v>
      </c>
    </row>
    <row r="206" spans="1:10" ht="18" customHeight="1">
      <c r="A206" s="13"/>
      <c r="B206" s="12" t="s">
        <v>1384</v>
      </c>
      <c r="C206" s="13" t="s">
        <v>878</v>
      </c>
      <c r="D206" s="779">
        <v>4</v>
      </c>
      <c r="E206" s="166">
        <v>45</v>
      </c>
      <c r="F206" s="20">
        <f t="shared" si="42"/>
        <v>180</v>
      </c>
      <c r="G206" s="20">
        <f>F206-H206</f>
        <v>167</v>
      </c>
      <c r="H206" s="271">
        <v>13</v>
      </c>
      <c r="I206" s="96"/>
      <c r="J206" s="317">
        <f t="shared" si="30"/>
        <v>0</v>
      </c>
    </row>
    <row r="207" spans="1:10" s="143" customFormat="1" ht="28.5" hidden="1" customHeight="1">
      <c r="A207" s="119" t="s">
        <v>1227</v>
      </c>
      <c r="B207" s="222" t="s">
        <v>1385</v>
      </c>
      <c r="C207" s="119"/>
      <c r="D207" s="151"/>
      <c r="E207" s="118"/>
      <c r="F207" s="155">
        <f>D207*E207</f>
        <v>0</v>
      </c>
      <c r="G207" s="155">
        <f t="shared" si="37"/>
        <v>0</v>
      </c>
      <c r="H207" s="271">
        <v>0</v>
      </c>
      <c r="I207" s="280" t="s">
        <v>1774</v>
      </c>
      <c r="J207" s="142">
        <f t="shared" si="30"/>
        <v>0</v>
      </c>
    </row>
    <row r="208" spans="1:10" s="317" customFormat="1" ht="18" customHeight="1">
      <c r="A208" s="26">
        <v>3</v>
      </c>
      <c r="B208" s="55" t="s">
        <v>21</v>
      </c>
      <c r="C208" s="26"/>
      <c r="D208" s="783"/>
      <c r="E208" s="781"/>
      <c r="F208" s="21">
        <f>+F209+F230+F251</f>
        <v>1080</v>
      </c>
      <c r="G208" s="21">
        <f t="shared" ref="G208:H208" si="43">+G209+G230+G251</f>
        <v>1027</v>
      </c>
      <c r="H208" s="272">
        <f t="shared" si="43"/>
        <v>53</v>
      </c>
      <c r="I208" s="96"/>
    </row>
    <row r="209" spans="1:9" s="319" customFormat="1" ht="26">
      <c r="A209" s="125" t="s">
        <v>911</v>
      </c>
      <c r="B209" s="394" t="s">
        <v>1363</v>
      </c>
      <c r="C209" s="125"/>
      <c r="D209" s="890"/>
      <c r="E209" s="895"/>
      <c r="F209" s="20">
        <f>+F210+F211+F212+F213+F216+F221+F226+F227+F228+F229</f>
        <v>717</v>
      </c>
      <c r="G209" s="20">
        <f t="shared" ref="G209:H209" si="44">+G210+G211+G212+G213+G216+G221+G226+G227+G228+G229</f>
        <v>682</v>
      </c>
      <c r="H209" s="271">
        <f t="shared" si="44"/>
        <v>35</v>
      </c>
      <c r="I209" s="929"/>
    </row>
    <row r="210" spans="1:9" s="141" customFormat="1" ht="26.25" hidden="1" customHeight="1">
      <c r="A210" s="112" t="s">
        <v>742</v>
      </c>
      <c r="B210" s="148" t="s">
        <v>1314</v>
      </c>
      <c r="C210" s="112"/>
      <c r="D210" s="137"/>
      <c r="E210" s="133">
        <v>25</v>
      </c>
      <c r="F210" s="155">
        <f t="shared" ref="F210:F278" si="45">D210*E210</f>
        <v>0</v>
      </c>
      <c r="G210" s="155">
        <f t="shared" si="37"/>
        <v>0</v>
      </c>
      <c r="H210" s="271">
        <v>0</v>
      </c>
      <c r="I210" s="280" t="s">
        <v>1774</v>
      </c>
    </row>
    <row r="211" spans="1:9" ht="39">
      <c r="A211" s="13" t="s">
        <v>742</v>
      </c>
      <c r="B211" s="12" t="s">
        <v>1315</v>
      </c>
      <c r="C211" s="13" t="s">
        <v>878</v>
      </c>
      <c r="D211" s="779">
        <v>5</v>
      </c>
      <c r="E211" s="166">
        <v>40</v>
      </c>
      <c r="F211" s="20">
        <f t="shared" si="45"/>
        <v>200</v>
      </c>
      <c r="G211" s="20">
        <f t="shared" si="37"/>
        <v>190</v>
      </c>
      <c r="H211" s="271">
        <v>10</v>
      </c>
      <c r="I211" s="929"/>
    </row>
    <row r="212" spans="1:9" s="141" customFormat="1" ht="38.25" hidden="1" customHeight="1">
      <c r="A212" s="112" t="s">
        <v>742</v>
      </c>
      <c r="B212" s="148" t="s">
        <v>1316</v>
      </c>
      <c r="C212" s="112"/>
      <c r="D212" s="137"/>
      <c r="E212" s="133">
        <v>5</v>
      </c>
      <c r="F212" s="155">
        <f t="shared" si="45"/>
        <v>0</v>
      </c>
      <c r="G212" s="155">
        <f t="shared" si="37"/>
        <v>0</v>
      </c>
      <c r="H212" s="271">
        <v>0</v>
      </c>
      <c r="I212" s="280" t="s">
        <v>1774</v>
      </c>
    </row>
    <row r="213" spans="1:9" ht="65.25" customHeight="1">
      <c r="A213" s="13" t="s">
        <v>742</v>
      </c>
      <c r="B213" s="12" t="s">
        <v>1317</v>
      </c>
      <c r="C213" s="13"/>
      <c r="D213" s="779"/>
      <c r="E213" s="930"/>
      <c r="F213" s="20">
        <f>SUM(F214:F215)</f>
        <v>325</v>
      </c>
      <c r="G213" s="20">
        <f t="shared" si="37"/>
        <v>309</v>
      </c>
      <c r="H213" s="271">
        <v>16</v>
      </c>
      <c r="I213" s="96"/>
    </row>
    <row r="214" spans="1:9" ht="18" customHeight="1">
      <c r="A214" s="13"/>
      <c r="B214" s="12" t="s">
        <v>1318</v>
      </c>
      <c r="C214" s="13" t="s">
        <v>903</v>
      </c>
      <c r="D214" s="779">
        <v>3</v>
      </c>
      <c r="E214" s="937">
        <v>55</v>
      </c>
      <c r="F214" s="20">
        <v>165</v>
      </c>
      <c r="G214" s="20">
        <f t="shared" si="37"/>
        <v>157</v>
      </c>
      <c r="H214" s="271">
        <v>8</v>
      </c>
      <c r="I214" s="929"/>
    </row>
    <row r="215" spans="1:9" ht="18" customHeight="1">
      <c r="A215" s="13"/>
      <c r="B215" s="12" t="s">
        <v>1319</v>
      </c>
      <c r="C215" s="13" t="s">
        <v>875</v>
      </c>
      <c r="D215" s="779">
        <v>4</v>
      </c>
      <c r="E215" s="166">
        <v>40</v>
      </c>
      <c r="F215" s="20">
        <v>160</v>
      </c>
      <c r="G215" s="20">
        <f t="shared" si="37"/>
        <v>152</v>
      </c>
      <c r="H215" s="271">
        <v>8</v>
      </c>
      <c r="I215" s="929"/>
    </row>
    <row r="216" spans="1:9" s="276" customFormat="1" ht="41.25" hidden="1" customHeight="1">
      <c r="A216" s="256" t="s">
        <v>742</v>
      </c>
      <c r="B216" s="255" t="s">
        <v>1320</v>
      </c>
      <c r="C216" s="256"/>
      <c r="D216" s="262"/>
      <c r="E216" s="282"/>
      <c r="F216" s="266">
        <f>SUM(F217:F220)</f>
        <v>0</v>
      </c>
      <c r="G216" s="266">
        <f t="shared" si="37"/>
        <v>0</v>
      </c>
      <c r="H216" s="271">
        <v>0</v>
      </c>
      <c r="I216" s="280" t="s">
        <v>1774</v>
      </c>
    </row>
    <row r="217" spans="1:9" s="276" customFormat="1" ht="26" hidden="1">
      <c r="A217" s="256"/>
      <c r="B217" s="255" t="s">
        <v>1321</v>
      </c>
      <c r="C217" s="256" t="s">
        <v>874</v>
      </c>
      <c r="D217" s="262"/>
      <c r="E217" s="279">
        <v>1</v>
      </c>
      <c r="F217" s="266">
        <f>D217*E217</f>
        <v>0</v>
      </c>
      <c r="G217" s="266">
        <f t="shared" si="37"/>
        <v>0</v>
      </c>
      <c r="H217" s="271">
        <v>0</v>
      </c>
      <c r="I217" s="280" t="s">
        <v>1774</v>
      </c>
    </row>
    <row r="218" spans="1:9" s="276" customFormat="1" ht="18" hidden="1" customHeight="1">
      <c r="A218" s="256"/>
      <c r="B218" s="255" t="s">
        <v>1322</v>
      </c>
      <c r="C218" s="256" t="s">
        <v>874</v>
      </c>
      <c r="D218" s="262">
        <f>D217/2</f>
        <v>0</v>
      </c>
      <c r="E218" s="282">
        <v>0.8</v>
      </c>
      <c r="F218" s="266">
        <f>D218*E218</f>
        <v>0</v>
      </c>
      <c r="G218" s="266">
        <f t="shared" si="37"/>
        <v>0</v>
      </c>
      <c r="H218" s="271">
        <v>0</v>
      </c>
      <c r="I218" s="280" t="s">
        <v>1774</v>
      </c>
    </row>
    <row r="219" spans="1:9" s="276" customFormat="1" hidden="1">
      <c r="A219" s="256"/>
      <c r="B219" s="255" t="s">
        <v>1323</v>
      </c>
      <c r="C219" s="256" t="s">
        <v>874</v>
      </c>
      <c r="D219" s="262">
        <v>0</v>
      </c>
      <c r="E219" s="282">
        <v>0.5</v>
      </c>
      <c r="F219" s="266">
        <f t="shared" ref="F219:F220" si="46">D219*E219</f>
        <v>0</v>
      </c>
      <c r="G219" s="266">
        <f t="shared" si="37"/>
        <v>0</v>
      </c>
      <c r="H219" s="271">
        <v>0</v>
      </c>
      <c r="I219" s="280" t="s">
        <v>1774</v>
      </c>
    </row>
    <row r="220" spans="1:9" s="276" customFormat="1" ht="26" hidden="1">
      <c r="A220" s="256"/>
      <c r="B220" s="255" t="s">
        <v>1324</v>
      </c>
      <c r="C220" s="256" t="s">
        <v>874</v>
      </c>
      <c r="D220" s="262">
        <v>0</v>
      </c>
      <c r="E220" s="282">
        <v>0.5</v>
      </c>
      <c r="F220" s="266">
        <f t="shared" si="46"/>
        <v>0</v>
      </c>
      <c r="G220" s="266">
        <f t="shared" si="37"/>
        <v>0</v>
      </c>
      <c r="H220" s="271">
        <v>0</v>
      </c>
      <c r="I220" s="280" t="s">
        <v>1774</v>
      </c>
    </row>
    <row r="221" spans="1:9" ht="26">
      <c r="A221" s="13" t="s">
        <v>742</v>
      </c>
      <c r="B221" s="12" t="s">
        <v>1325</v>
      </c>
      <c r="C221" s="13"/>
      <c r="D221" s="779"/>
      <c r="E221" s="166"/>
      <c r="F221" s="20">
        <f>SUM(F222:F225)</f>
        <v>192</v>
      </c>
      <c r="G221" s="20">
        <f t="shared" ref="G221:H221" si="47">SUM(G222:G225)</f>
        <v>183</v>
      </c>
      <c r="H221" s="271">
        <f t="shared" si="47"/>
        <v>9</v>
      </c>
      <c r="I221" s="929"/>
    </row>
    <row r="222" spans="1:9" s="141" customFormat="1" ht="26.25" hidden="1" customHeight="1">
      <c r="A222" s="112"/>
      <c r="B222" s="148" t="s">
        <v>1326</v>
      </c>
      <c r="C222" s="112" t="s">
        <v>902</v>
      </c>
      <c r="D222" s="137"/>
      <c r="E222" s="133">
        <v>80</v>
      </c>
      <c r="F222" s="155">
        <f>D222*E222</f>
        <v>0</v>
      </c>
      <c r="G222" s="155">
        <f t="shared" si="37"/>
        <v>0</v>
      </c>
      <c r="H222" s="271">
        <v>0</v>
      </c>
      <c r="I222" s="280" t="s">
        <v>1774</v>
      </c>
    </row>
    <row r="223" spans="1:9" s="141" customFormat="1" ht="60.75" hidden="1" customHeight="1">
      <c r="A223" s="112"/>
      <c r="B223" s="148" t="s">
        <v>1327</v>
      </c>
      <c r="C223" s="112" t="s">
        <v>1147</v>
      </c>
      <c r="D223" s="137">
        <v>2</v>
      </c>
      <c r="E223" s="133">
        <v>31</v>
      </c>
      <c r="F223" s="155">
        <f>D223*E223</f>
        <v>62</v>
      </c>
      <c r="G223" s="155">
        <f>F223-H223</f>
        <v>60</v>
      </c>
      <c r="H223" s="271">
        <v>2</v>
      </c>
      <c r="I223" s="280" t="s">
        <v>1774</v>
      </c>
    </row>
    <row r="224" spans="1:9" s="141" customFormat="1" ht="65" hidden="1">
      <c r="A224" s="112"/>
      <c r="B224" s="148" t="s">
        <v>1328</v>
      </c>
      <c r="C224" s="112" t="s">
        <v>875</v>
      </c>
      <c r="D224" s="137">
        <v>2</v>
      </c>
      <c r="E224" s="133">
        <v>65</v>
      </c>
      <c r="F224" s="155">
        <f t="shared" ref="F224:F225" si="48">D224*E224</f>
        <v>130</v>
      </c>
      <c r="G224" s="155">
        <f t="shared" si="37"/>
        <v>123</v>
      </c>
      <c r="H224" s="271">
        <v>7</v>
      </c>
      <c r="I224" s="280" t="s">
        <v>1774</v>
      </c>
    </row>
    <row r="225" spans="1:9" s="141" customFormat="1" ht="39" hidden="1">
      <c r="A225" s="112"/>
      <c r="B225" s="148" t="s">
        <v>1329</v>
      </c>
      <c r="C225" s="112" t="s">
        <v>1034</v>
      </c>
      <c r="D225" s="137"/>
      <c r="E225" s="133">
        <v>50</v>
      </c>
      <c r="F225" s="155">
        <f t="shared" si="48"/>
        <v>0</v>
      </c>
      <c r="G225" s="155">
        <f t="shared" si="37"/>
        <v>0</v>
      </c>
      <c r="H225" s="271">
        <v>0</v>
      </c>
      <c r="I225" s="280" t="s">
        <v>1774</v>
      </c>
    </row>
    <row r="226" spans="1:9" s="141" customFormat="1" ht="22.5" hidden="1" customHeight="1">
      <c r="A226" s="112" t="s">
        <v>742</v>
      </c>
      <c r="B226" s="148" t="s">
        <v>1330</v>
      </c>
      <c r="C226" s="112" t="s">
        <v>902</v>
      </c>
      <c r="D226" s="137"/>
      <c r="E226" s="133">
        <v>40</v>
      </c>
      <c r="F226" s="155">
        <f t="shared" si="45"/>
        <v>0</v>
      </c>
      <c r="G226" s="155">
        <f t="shared" si="37"/>
        <v>0</v>
      </c>
      <c r="H226" s="271">
        <v>0</v>
      </c>
      <c r="I226" s="280" t="s">
        <v>1774</v>
      </c>
    </row>
    <row r="227" spans="1:9" s="141" customFormat="1" ht="54.75" hidden="1" customHeight="1">
      <c r="A227" s="112" t="s">
        <v>742</v>
      </c>
      <c r="B227" s="148" t="s">
        <v>1331</v>
      </c>
      <c r="C227" s="112" t="s">
        <v>878</v>
      </c>
      <c r="D227" s="137"/>
      <c r="E227" s="133">
        <v>40</v>
      </c>
      <c r="F227" s="155">
        <f t="shared" si="45"/>
        <v>0</v>
      </c>
      <c r="G227" s="155">
        <f t="shared" si="37"/>
        <v>0</v>
      </c>
      <c r="H227" s="271">
        <v>0</v>
      </c>
      <c r="I227" s="280" t="s">
        <v>1774</v>
      </c>
    </row>
    <row r="228" spans="1:9" s="141" customFormat="1" ht="72" hidden="1" customHeight="1">
      <c r="A228" s="112" t="s">
        <v>742</v>
      </c>
      <c r="B228" s="148" t="s">
        <v>1332</v>
      </c>
      <c r="C228" s="112"/>
      <c r="D228" s="137"/>
      <c r="E228" s="113"/>
      <c r="F228" s="155">
        <f t="shared" si="45"/>
        <v>0</v>
      </c>
      <c r="G228" s="155">
        <f t="shared" si="37"/>
        <v>0</v>
      </c>
      <c r="H228" s="271">
        <v>0</v>
      </c>
      <c r="I228" s="280" t="s">
        <v>1774</v>
      </c>
    </row>
    <row r="229" spans="1:9" s="141" customFormat="1" ht="44.25" hidden="1" customHeight="1">
      <c r="A229" s="112" t="s">
        <v>742</v>
      </c>
      <c r="B229" s="148" t="s">
        <v>1333</v>
      </c>
      <c r="C229" s="112" t="s">
        <v>1034</v>
      </c>
      <c r="D229" s="137"/>
      <c r="E229" s="133">
        <v>50</v>
      </c>
      <c r="F229" s="155">
        <f t="shared" si="45"/>
        <v>0</v>
      </c>
      <c r="G229" s="155">
        <f t="shared" si="37"/>
        <v>0</v>
      </c>
      <c r="H229" s="271">
        <v>0</v>
      </c>
      <c r="I229" s="280" t="s">
        <v>1774</v>
      </c>
    </row>
    <row r="230" spans="1:9" s="319" customFormat="1" ht="26">
      <c r="A230" s="125" t="s">
        <v>915</v>
      </c>
      <c r="B230" s="394" t="s">
        <v>1364</v>
      </c>
      <c r="C230" s="125"/>
      <c r="D230" s="890"/>
      <c r="E230" s="895"/>
      <c r="F230" s="20">
        <f>+F231+F236+F237+F243+F244+F245</f>
        <v>363</v>
      </c>
      <c r="G230" s="20">
        <f t="shared" ref="G230:H230" si="49">+G231+G236+G237+G243+G244+G245</f>
        <v>345</v>
      </c>
      <c r="H230" s="271">
        <f t="shared" si="49"/>
        <v>18</v>
      </c>
      <c r="I230" s="96"/>
    </row>
    <row r="231" spans="1:9" ht="18" customHeight="1">
      <c r="A231" s="13" t="s">
        <v>742</v>
      </c>
      <c r="B231" s="12" t="s">
        <v>1365</v>
      </c>
      <c r="C231" s="13"/>
      <c r="D231" s="779"/>
      <c r="E231" s="19"/>
      <c r="F231" s="20">
        <f>SUM(F232:F235)</f>
        <v>90</v>
      </c>
      <c r="G231" s="20">
        <f t="shared" si="37"/>
        <v>85</v>
      </c>
      <c r="H231" s="271">
        <v>5</v>
      </c>
      <c r="I231" s="929"/>
    </row>
    <row r="232" spans="1:9" s="141" customFormat="1" ht="39.75" hidden="1" customHeight="1">
      <c r="A232" s="112"/>
      <c r="B232" s="148" t="s">
        <v>1366</v>
      </c>
      <c r="C232" s="112" t="s">
        <v>878</v>
      </c>
      <c r="D232" s="137">
        <v>3</v>
      </c>
      <c r="E232" s="133">
        <v>30</v>
      </c>
      <c r="F232" s="155">
        <f t="shared" si="45"/>
        <v>90</v>
      </c>
      <c r="G232" s="155">
        <f t="shared" si="37"/>
        <v>85</v>
      </c>
      <c r="H232" s="271">
        <v>5</v>
      </c>
      <c r="I232" s="280" t="s">
        <v>1774</v>
      </c>
    </row>
    <row r="233" spans="1:9" s="276" customFormat="1" ht="33.75" hidden="1" customHeight="1">
      <c r="A233" s="256"/>
      <c r="B233" s="255" t="s">
        <v>1367</v>
      </c>
      <c r="C233" s="256" t="s">
        <v>902</v>
      </c>
      <c r="D233" s="262"/>
      <c r="E233" s="279">
        <v>50</v>
      </c>
      <c r="F233" s="266">
        <f t="shared" si="45"/>
        <v>0</v>
      </c>
      <c r="G233" s="266">
        <f t="shared" si="37"/>
        <v>0</v>
      </c>
      <c r="H233" s="271">
        <v>0</v>
      </c>
      <c r="I233" s="280" t="s">
        <v>1774</v>
      </c>
    </row>
    <row r="234" spans="1:9" s="276" customFormat="1" ht="34.5" hidden="1" customHeight="1">
      <c r="A234" s="256"/>
      <c r="B234" s="255" t="s">
        <v>1368</v>
      </c>
      <c r="C234" s="256" t="s">
        <v>1342</v>
      </c>
      <c r="D234" s="262"/>
      <c r="E234" s="279">
        <v>40</v>
      </c>
      <c r="F234" s="266">
        <f t="shared" si="45"/>
        <v>0</v>
      </c>
      <c r="G234" s="266">
        <f t="shared" si="37"/>
        <v>0</v>
      </c>
      <c r="H234" s="271">
        <v>0</v>
      </c>
      <c r="I234" s="280" t="s">
        <v>1774</v>
      </c>
    </row>
    <row r="235" spans="1:9" s="276" customFormat="1" ht="33.75" hidden="1" customHeight="1">
      <c r="A235" s="256"/>
      <c r="B235" s="255" t="s">
        <v>1369</v>
      </c>
      <c r="C235" s="256" t="s">
        <v>1208</v>
      </c>
      <c r="D235" s="262"/>
      <c r="E235" s="283">
        <f>15000/1000000</f>
        <v>1.4999999999999999E-2</v>
      </c>
      <c r="F235" s="266">
        <f t="shared" si="45"/>
        <v>0</v>
      </c>
      <c r="G235" s="266">
        <f t="shared" si="37"/>
        <v>0</v>
      </c>
      <c r="H235" s="271">
        <v>0</v>
      </c>
      <c r="I235" s="280" t="s">
        <v>1774</v>
      </c>
    </row>
    <row r="236" spans="1:9" s="141" customFormat="1" ht="45" hidden="1" customHeight="1">
      <c r="A236" s="112" t="s">
        <v>742</v>
      </c>
      <c r="B236" s="154" t="s">
        <v>1370</v>
      </c>
      <c r="C236" s="122"/>
      <c r="D236" s="149"/>
      <c r="E236" s="146"/>
      <c r="F236" s="155">
        <f t="shared" si="45"/>
        <v>0</v>
      </c>
      <c r="G236" s="155">
        <f t="shared" si="37"/>
        <v>0</v>
      </c>
      <c r="H236" s="271">
        <v>0</v>
      </c>
      <c r="I236" s="280" t="s">
        <v>1774</v>
      </c>
    </row>
    <row r="237" spans="1:9" s="141" customFormat="1" ht="56.25" hidden="1" customHeight="1">
      <c r="A237" s="112" t="s">
        <v>742</v>
      </c>
      <c r="B237" s="148" t="s">
        <v>1371</v>
      </c>
      <c r="C237" s="112"/>
      <c r="D237" s="137"/>
      <c r="E237" s="113"/>
      <c r="F237" s="155">
        <f t="shared" si="45"/>
        <v>0</v>
      </c>
      <c r="G237" s="155">
        <f t="shared" si="37"/>
        <v>0</v>
      </c>
      <c r="H237" s="271">
        <v>0</v>
      </c>
      <c r="I237" s="280" t="s">
        <v>1774</v>
      </c>
    </row>
    <row r="238" spans="1:9" s="141" customFormat="1" ht="39" hidden="1" customHeight="1">
      <c r="A238" s="112"/>
      <c r="B238" s="148" t="s">
        <v>1372</v>
      </c>
      <c r="C238" s="112"/>
      <c r="D238" s="137"/>
      <c r="E238" s="133">
        <v>30</v>
      </c>
      <c r="F238" s="155">
        <f t="shared" si="45"/>
        <v>0</v>
      </c>
      <c r="G238" s="155">
        <f t="shared" si="37"/>
        <v>0</v>
      </c>
      <c r="H238" s="271">
        <v>0</v>
      </c>
      <c r="I238" s="280" t="s">
        <v>1774</v>
      </c>
    </row>
    <row r="239" spans="1:9" s="141" customFormat="1" ht="56.25" hidden="1" customHeight="1">
      <c r="A239" s="112"/>
      <c r="B239" s="148" t="s">
        <v>1373</v>
      </c>
      <c r="C239" s="112"/>
      <c r="D239" s="137"/>
      <c r="E239" s="113"/>
      <c r="F239" s="155">
        <f t="shared" si="45"/>
        <v>0</v>
      </c>
      <c r="G239" s="155">
        <f t="shared" si="37"/>
        <v>0</v>
      </c>
      <c r="H239" s="271">
        <v>0</v>
      </c>
      <c r="I239" s="280" t="s">
        <v>1774</v>
      </c>
    </row>
    <row r="240" spans="1:9" s="141" customFormat="1" ht="51" hidden="1" customHeight="1">
      <c r="A240" s="112"/>
      <c r="B240" s="148" t="s">
        <v>1374</v>
      </c>
      <c r="C240" s="112"/>
      <c r="D240" s="137"/>
      <c r="E240" s="113"/>
      <c r="F240" s="155">
        <f t="shared" si="45"/>
        <v>0</v>
      </c>
      <c r="G240" s="155">
        <f t="shared" si="37"/>
        <v>0</v>
      </c>
      <c r="H240" s="271">
        <v>0</v>
      </c>
      <c r="I240" s="280" t="s">
        <v>1774</v>
      </c>
    </row>
    <row r="241" spans="1:9" s="141" customFormat="1" ht="35.25" hidden="1" customHeight="1">
      <c r="A241" s="112"/>
      <c r="B241" s="148" t="s">
        <v>1375</v>
      </c>
      <c r="C241" s="112"/>
      <c r="D241" s="137"/>
      <c r="E241" s="113"/>
      <c r="F241" s="155">
        <f t="shared" si="45"/>
        <v>0</v>
      </c>
      <c r="G241" s="155">
        <f t="shared" si="37"/>
        <v>0</v>
      </c>
      <c r="H241" s="271">
        <v>0</v>
      </c>
      <c r="I241" s="280" t="s">
        <v>1774</v>
      </c>
    </row>
    <row r="242" spans="1:9" s="141" customFormat="1" ht="55.5" hidden="1" customHeight="1">
      <c r="A242" s="112"/>
      <c r="B242" s="148" t="s">
        <v>1376</v>
      </c>
      <c r="C242" s="112"/>
      <c r="D242" s="137"/>
      <c r="E242" s="113"/>
      <c r="F242" s="155">
        <f t="shared" si="45"/>
        <v>0</v>
      </c>
      <c r="G242" s="155">
        <f t="shared" si="37"/>
        <v>0</v>
      </c>
      <c r="H242" s="271">
        <v>0</v>
      </c>
      <c r="I242" s="280" t="s">
        <v>1774</v>
      </c>
    </row>
    <row r="243" spans="1:9" s="141" customFormat="1" ht="32.25" hidden="1" customHeight="1">
      <c r="A243" s="112" t="s">
        <v>742</v>
      </c>
      <c r="B243" s="148" t="s">
        <v>1377</v>
      </c>
      <c r="C243" s="112"/>
      <c r="D243" s="137"/>
      <c r="E243" s="113"/>
      <c r="F243" s="155">
        <f t="shared" si="45"/>
        <v>0</v>
      </c>
      <c r="G243" s="155">
        <f t="shared" si="37"/>
        <v>0</v>
      </c>
      <c r="H243" s="271">
        <v>0</v>
      </c>
      <c r="I243" s="280" t="s">
        <v>1774</v>
      </c>
    </row>
    <row r="244" spans="1:9" s="141" customFormat="1" ht="26.25" hidden="1" customHeight="1">
      <c r="A244" s="112" t="s">
        <v>742</v>
      </c>
      <c r="B244" s="148" t="s">
        <v>1378</v>
      </c>
      <c r="C244" s="112"/>
      <c r="D244" s="137"/>
      <c r="E244" s="113"/>
      <c r="F244" s="155">
        <f t="shared" si="45"/>
        <v>0</v>
      </c>
      <c r="G244" s="155">
        <f t="shared" si="37"/>
        <v>0</v>
      </c>
      <c r="H244" s="271">
        <v>0</v>
      </c>
      <c r="I244" s="280" t="s">
        <v>1774</v>
      </c>
    </row>
    <row r="245" spans="1:9" ht="28.5" customHeight="1">
      <c r="A245" s="13" t="s">
        <v>742</v>
      </c>
      <c r="B245" s="12" t="s">
        <v>2068</v>
      </c>
      <c r="C245" s="13"/>
      <c r="D245" s="779"/>
      <c r="E245" s="19"/>
      <c r="F245" s="20">
        <f>+F250</f>
        <v>273</v>
      </c>
      <c r="G245" s="20">
        <f t="shared" ref="G245:H245" si="50">+G250</f>
        <v>260</v>
      </c>
      <c r="H245" s="271">
        <f t="shared" si="50"/>
        <v>13</v>
      </c>
      <c r="I245" s="929"/>
    </row>
    <row r="246" spans="1:9" s="141" customFormat="1" ht="50.25" hidden="1" customHeight="1">
      <c r="A246" s="112"/>
      <c r="B246" s="148" t="s">
        <v>1380</v>
      </c>
      <c r="C246" s="112"/>
      <c r="D246" s="137"/>
      <c r="E246" s="133">
        <v>15</v>
      </c>
      <c r="F246" s="155">
        <f>D246*E246</f>
        <v>0</v>
      </c>
      <c r="G246" s="155">
        <f t="shared" si="37"/>
        <v>0</v>
      </c>
      <c r="H246" s="271">
        <v>0</v>
      </c>
      <c r="I246" s="280" t="s">
        <v>1774</v>
      </c>
    </row>
    <row r="247" spans="1:9" s="141" customFormat="1" ht="24" hidden="1" customHeight="1">
      <c r="A247" s="112"/>
      <c r="B247" s="148" t="s">
        <v>1381</v>
      </c>
      <c r="C247" s="112"/>
      <c r="D247" s="137"/>
      <c r="E247" s="133">
        <v>70</v>
      </c>
      <c r="F247" s="155">
        <f t="shared" ref="F247:F250" si="51">D247*E247</f>
        <v>0</v>
      </c>
      <c r="G247" s="155">
        <f t="shared" si="37"/>
        <v>0</v>
      </c>
      <c r="H247" s="271">
        <v>0</v>
      </c>
      <c r="I247" s="280" t="s">
        <v>1774</v>
      </c>
    </row>
    <row r="248" spans="1:9" s="141" customFormat="1" ht="32.25" hidden="1" customHeight="1">
      <c r="A248" s="112"/>
      <c r="B248" s="148" t="s">
        <v>1382</v>
      </c>
      <c r="C248" s="112" t="s">
        <v>903</v>
      </c>
      <c r="D248" s="137"/>
      <c r="E248" s="133">
        <v>45</v>
      </c>
      <c r="F248" s="155">
        <f t="shared" si="51"/>
        <v>0</v>
      </c>
      <c r="G248" s="155">
        <f t="shared" si="37"/>
        <v>0</v>
      </c>
      <c r="H248" s="271">
        <v>0</v>
      </c>
      <c r="I248" s="280" t="s">
        <v>1774</v>
      </c>
    </row>
    <row r="249" spans="1:9" s="141" customFormat="1" ht="22.5" hidden="1" customHeight="1">
      <c r="A249" s="112"/>
      <c r="B249" s="148" t="s">
        <v>1383</v>
      </c>
      <c r="C249" s="112"/>
      <c r="D249" s="137"/>
      <c r="E249" s="133">
        <v>60</v>
      </c>
      <c r="F249" s="155">
        <f t="shared" si="51"/>
        <v>0</v>
      </c>
      <c r="G249" s="155">
        <f t="shared" ref="G249:G313" si="52">F249-H249</f>
        <v>0</v>
      </c>
      <c r="H249" s="271">
        <v>0</v>
      </c>
      <c r="I249" s="280" t="s">
        <v>1774</v>
      </c>
    </row>
    <row r="250" spans="1:9" ht="18" customHeight="1">
      <c r="A250" s="13"/>
      <c r="B250" s="12" t="s">
        <v>1384</v>
      </c>
      <c r="C250" s="13" t="s">
        <v>878</v>
      </c>
      <c r="D250" s="779">
        <v>6</v>
      </c>
      <c r="E250" s="931">
        <v>45.5</v>
      </c>
      <c r="F250" s="20">
        <f t="shared" si="51"/>
        <v>273</v>
      </c>
      <c r="G250" s="20">
        <f>F250-H250</f>
        <v>260</v>
      </c>
      <c r="H250" s="271">
        <v>13</v>
      </c>
      <c r="I250" s="929"/>
    </row>
    <row r="251" spans="1:9" s="143" customFormat="1" ht="28.5" hidden="1" customHeight="1">
      <c r="A251" s="119" t="s">
        <v>1227</v>
      </c>
      <c r="B251" s="222" t="s">
        <v>1385</v>
      </c>
      <c r="C251" s="119"/>
      <c r="D251" s="151"/>
      <c r="E251" s="118"/>
      <c r="F251" s="155">
        <f t="shared" si="45"/>
        <v>0</v>
      </c>
      <c r="G251" s="155">
        <f t="shared" si="52"/>
        <v>0</v>
      </c>
      <c r="H251" s="271">
        <v>0</v>
      </c>
      <c r="I251" s="147" t="s">
        <v>1774</v>
      </c>
    </row>
    <row r="252" spans="1:9" s="317" customFormat="1" ht="18" customHeight="1">
      <c r="A252" s="26">
        <v>4</v>
      </c>
      <c r="B252" s="55" t="s">
        <v>19</v>
      </c>
      <c r="C252" s="26"/>
      <c r="D252" s="783"/>
      <c r="E252" s="781"/>
      <c r="F252" s="21">
        <f>+F253+F275+F296</f>
        <v>1404</v>
      </c>
      <c r="G252" s="21">
        <f t="shared" ref="G252:H252" si="53">+G253+G275+G296</f>
        <v>1336</v>
      </c>
      <c r="H252" s="272">
        <f t="shared" si="53"/>
        <v>68</v>
      </c>
      <c r="I252" s="929"/>
    </row>
    <row r="253" spans="1:9" s="319" customFormat="1" ht="26">
      <c r="A253" s="125" t="s">
        <v>911</v>
      </c>
      <c r="B253" s="394" t="s">
        <v>1363</v>
      </c>
      <c r="C253" s="125"/>
      <c r="D253" s="890"/>
      <c r="E253" s="895"/>
      <c r="F253" s="20">
        <f>+F254+F255+F256+F257+F261+F266+F271+F272+F273+F274</f>
        <v>1035</v>
      </c>
      <c r="G253" s="20">
        <f t="shared" ref="G253:H253" si="54">+G254+G255+G256+G257+G261+G266+G271+G272+G273+G274</f>
        <v>983</v>
      </c>
      <c r="H253" s="271">
        <f t="shared" si="54"/>
        <v>52</v>
      </c>
      <c r="I253" s="929"/>
    </row>
    <row r="254" spans="1:9" s="141" customFormat="1" ht="26.25" hidden="1" customHeight="1">
      <c r="A254" s="112" t="s">
        <v>742</v>
      </c>
      <c r="B254" s="148" t="s">
        <v>1314</v>
      </c>
      <c r="C254" s="112"/>
      <c r="D254" s="137"/>
      <c r="E254" s="133">
        <v>25</v>
      </c>
      <c r="F254" s="155">
        <f t="shared" si="45"/>
        <v>0</v>
      </c>
      <c r="G254" s="155">
        <f t="shared" si="52"/>
        <v>0</v>
      </c>
      <c r="H254" s="271">
        <v>0</v>
      </c>
      <c r="I254" s="280" t="s">
        <v>1774</v>
      </c>
    </row>
    <row r="255" spans="1:9" s="276" customFormat="1" ht="26.25" hidden="1" customHeight="1">
      <c r="A255" s="256" t="s">
        <v>742</v>
      </c>
      <c r="B255" s="255" t="s">
        <v>1315</v>
      </c>
      <c r="C255" s="256" t="s">
        <v>878</v>
      </c>
      <c r="D255" s="262"/>
      <c r="E255" s="279">
        <v>40</v>
      </c>
      <c r="F255" s="266">
        <f t="shared" si="45"/>
        <v>0</v>
      </c>
      <c r="G255" s="266">
        <f t="shared" si="52"/>
        <v>0</v>
      </c>
      <c r="H255" s="271">
        <v>0</v>
      </c>
      <c r="I255" s="280" t="s">
        <v>1774</v>
      </c>
    </row>
    <row r="256" spans="1:9" s="141" customFormat="1" ht="26.25" hidden="1" customHeight="1">
      <c r="A256" s="112" t="s">
        <v>742</v>
      </c>
      <c r="B256" s="148" t="s">
        <v>1316</v>
      </c>
      <c r="C256" s="112"/>
      <c r="D256" s="137"/>
      <c r="E256" s="133">
        <v>5</v>
      </c>
      <c r="F256" s="155">
        <f t="shared" si="45"/>
        <v>0</v>
      </c>
      <c r="G256" s="155">
        <f t="shared" si="52"/>
        <v>0</v>
      </c>
      <c r="H256" s="271">
        <v>0</v>
      </c>
      <c r="I256" s="280" t="s">
        <v>1774</v>
      </c>
    </row>
    <row r="257" spans="1:9" ht="63" customHeight="1">
      <c r="A257" s="13" t="s">
        <v>742</v>
      </c>
      <c r="B257" s="12" t="s">
        <v>1317</v>
      </c>
      <c r="C257" s="13"/>
      <c r="D257" s="779"/>
      <c r="E257" s="930"/>
      <c r="F257" s="20">
        <f>SUM(F258:F260)</f>
        <v>520</v>
      </c>
      <c r="G257" s="20">
        <f t="shared" si="52"/>
        <v>494</v>
      </c>
      <c r="H257" s="271">
        <v>26</v>
      </c>
      <c r="I257" s="96"/>
    </row>
    <row r="258" spans="1:9" s="141" customFormat="1" ht="18" hidden="1" customHeight="1">
      <c r="A258" s="112"/>
      <c r="B258" s="148" t="s">
        <v>1318</v>
      </c>
      <c r="C258" s="112" t="s">
        <v>903</v>
      </c>
      <c r="D258" s="137">
        <v>1</v>
      </c>
      <c r="E258" s="132">
        <v>50</v>
      </c>
      <c r="F258" s="155">
        <v>50</v>
      </c>
      <c r="G258" s="155">
        <f t="shared" si="52"/>
        <v>47</v>
      </c>
      <c r="H258" s="271">
        <v>3</v>
      </c>
      <c r="I258" s="280" t="s">
        <v>1774</v>
      </c>
    </row>
    <row r="259" spans="1:9" s="141" customFormat="1" ht="18" hidden="1" customHeight="1">
      <c r="A259" s="112"/>
      <c r="B259" s="148" t="s">
        <v>1700</v>
      </c>
      <c r="C259" s="112" t="s">
        <v>878</v>
      </c>
      <c r="D259" s="137">
        <v>3</v>
      </c>
      <c r="E259" s="132">
        <v>40</v>
      </c>
      <c r="F259" s="155">
        <v>120</v>
      </c>
      <c r="G259" s="155">
        <f t="shared" si="52"/>
        <v>114</v>
      </c>
      <c r="H259" s="271">
        <v>6</v>
      </c>
      <c r="I259" s="280" t="s">
        <v>1774</v>
      </c>
    </row>
    <row r="260" spans="1:9" s="141" customFormat="1" ht="18" hidden="1" customHeight="1">
      <c r="A260" s="112"/>
      <c r="B260" s="148" t="s">
        <v>1319</v>
      </c>
      <c r="C260" s="112" t="s">
        <v>875</v>
      </c>
      <c r="D260" s="137">
        <v>7</v>
      </c>
      <c r="E260" s="133">
        <v>50</v>
      </c>
      <c r="F260" s="155">
        <v>350</v>
      </c>
      <c r="G260" s="155">
        <f t="shared" si="52"/>
        <v>332</v>
      </c>
      <c r="H260" s="271">
        <v>18</v>
      </c>
      <c r="I260" s="280" t="s">
        <v>1774</v>
      </c>
    </row>
    <row r="261" spans="1:9" ht="38.25" customHeight="1">
      <c r="A261" s="13" t="s">
        <v>742</v>
      </c>
      <c r="B261" s="12" t="s">
        <v>1320</v>
      </c>
      <c r="C261" s="13"/>
      <c r="D261" s="779"/>
      <c r="E261" s="931"/>
      <c r="F261" s="20">
        <f>SUM(F262:F265)</f>
        <v>335</v>
      </c>
      <c r="G261" s="20">
        <f t="shared" si="52"/>
        <v>318</v>
      </c>
      <c r="H261" s="271">
        <v>17</v>
      </c>
      <c r="I261" s="929"/>
    </row>
    <row r="262" spans="1:9" s="141" customFormat="1" ht="26.25" hidden="1" customHeight="1">
      <c r="A262" s="112"/>
      <c r="B262" s="148" t="s">
        <v>1321</v>
      </c>
      <c r="C262" s="112" t="s">
        <v>874</v>
      </c>
      <c r="D262" s="137">
        <v>335</v>
      </c>
      <c r="E262" s="133">
        <v>1</v>
      </c>
      <c r="F262" s="155">
        <f>D262*E262</f>
        <v>335</v>
      </c>
      <c r="G262" s="155">
        <f t="shared" si="52"/>
        <v>318</v>
      </c>
      <c r="H262" s="271">
        <v>17</v>
      </c>
      <c r="I262" s="280" t="s">
        <v>1774</v>
      </c>
    </row>
    <row r="263" spans="1:9" s="276" customFormat="1" ht="25.5" hidden="1" customHeight="1">
      <c r="A263" s="256"/>
      <c r="B263" s="255" t="s">
        <v>1322</v>
      </c>
      <c r="C263" s="256" t="s">
        <v>874</v>
      </c>
      <c r="D263" s="262"/>
      <c r="E263" s="282">
        <v>0.8</v>
      </c>
      <c r="F263" s="266">
        <f>D263*E263</f>
        <v>0</v>
      </c>
      <c r="G263" s="266">
        <f t="shared" si="52"/>
        <v>0</v>
      </c>
      <c r="H263" s="271">
        <v>0</v>
      </c>
      <c r="I263" s="280" t="s">
        <v>1774</v>
      </c>
    </row>
    <row r="264" spans="1:9" s="276" customFormat="1" ht="26.25" hidden="1" customHeight="1">
      <c r="A264" s="256"/>
      <c r="B264" s="255" t="s">
        <v>1323</v>
      </c>
      <c r="C264" s="256" t="s">
        <v>874</v>
      </c>
      <c r="D264" s="262"/>
      <c r="E264" s="282">
        <v>0.5</v>
      </c>
      <c r="F264" s="266">
        <f t="shared" ref="F264:F265" si="55">D264*E264</f>
        <v>0</v>
      </c>
      <c r="G264" s="266">
        <f t="shared" si="52"/>
        <v>0</v>
      </c>
      <c r="H264" s="271">
        <v>0</v>
      </c>
      <c r="I264" s="280" t="s">
        <v>1774</v>
      </c>
    </row>
    <row r="265" spans="1:9" s="276" customFormat="1" ht="26.25" hidden="1" customHeight="1">
      <c r="A265" s="256"/>
      <c r="B265" s="255" t="s">
        <v>1324</v>
      </c>
      <c r="C265" s="256" t="s">
        <v>874</v>
      </c>
      <c r="D265" s="262"/>
      <c r="E265" s="282">
        <v>0.5</v>
      </c>
      <c r="F265" s="266">
        <f t="shared" si="55"/>
        <v>0</v>
      </c>
      <c r="G265" s="266">
        <f t="shared" si="52"/>
        <v>0</v>
      </c>
      <c r="H265" s="271">
        <v>0</v>
      </c>
      <c r="I265" s="280" t="s">
        <v>1774</v>
      </c>
    </row>
    <row r="266" spans="1:9" s="276" customFormat="1" ht="26.25" hidden="1" customHeight="1">
      <c r="A266" s="256" t="s">
        <v>742</v>
      </c>
      <c r="B266" s="255" t="s">
        <v>1325</v>
      </c>
      <c r="C266" s="256"/>
      <c r="D266" s="262"/>
      <c r="E266" s="279"/>
      <c r="F266" s="266">
        <f>SUM(F267:F270)</f>
        <v>0</v>
      </c>
      <c r="G266" s="266">
        <f t="shared" si="52"/>
        <v>0</v>
      </c>
      <c r="H266" s="271">
        <v>0</v>
      </c>
      <c r="I266" s="280" t="s">
        <v>1774</v>
      </c>
    </row>
    <row r="267" spans="1:9" s="276" customFormat="1" ht="26.25" hidden="1" customHeight="1">
      <c r="A267" s="256"/>
      <c r="B267" s="255" t="s">
        <v>1326</v>
      </c>
      <c r="C267" s="256" t="s">
        <v>902</v>
      </c>
      <c r="D267" s="262"/>
      <c r="E267" s="279">
        <v>80</v>
      </c>
      <c r="F267" s="266">
        <f>D267*E267</f>
        <v>0</v>
      </c>
      <c r="G267" s="266">
        <f t="shared" si="52"/>
        <v>0</v>
      </c>
      <c r="H267" s="271">
        <v>0</v>
      </c>
      <c r="I267" s="280" t="s">
        <v>1774</v>
      </c>
    </row>
    <row r="268" spans="1:9" s="276" customFormat="1" ht="63" hidden="1" customHeight="1">
      <c r="A268" s="256"/>
      <c r="B268" s="255" t="s">
        <v>1386</v>
      </c>
      <c r="C268" s="256" t="s">
        <v>874</v>
      </c>
      <c r="D268" s="262"/>
      <c r="E268" s="279">
        <v>1</v>
      </c>
      <c r="F268" s="266">
        <f>D268*E268</f>
        <v>0</v>
      </c>
      <c r="G268" s="266">
        <f t="shared" si="52"/>
        <v>0</v>
      </c>
      <c r="H268" s="271">
        <v>0</v>
      </c>
      <c r="I268" s="280" t="s">
        <v>1774</v>
      </c>
    </row>
    <row r="269" spans="1:9" s="276" customFormat="1" ht="57" hidden="1" customHeight="1">
      <c r="A269" s="256"/>
      <c r="B269" s="255" t="s">
        <v>1328</v>
      </c>
      <c r="C269" s="256" t="s">
        <v>875</v>
      </c>
      <c r="D269" s="262"/>
      <c r="E269" s="279">
        <v>66</v>
      </c>
      <c r="F269" s="266">
        <f t="shared" ref="F269:F270" si="56">D269*E269</f>
        <v>0</v>
      </c>
      <c r="G269" s="266">
        <f t="shared" si="52"/>
        <v>0</v>
      </c>
      <c r="H269" s="271">
        <v>0</v>
      </c>
      <c r="I269" s="280" t="s">
        <v>1774</v>
      </c>
    </row>
    <row r="270" spans="1:9" s="276" customFormat="1" ht="26.25" hidden="1" customHeight="1">
      <c r="A270" s="256"/>
      <c r="B270" s="255" t="s">
        <v>1329</v>
      </c>
      <c r="C270" s="256" t="s">
        <v>1034</v>
      </c>
      <c r="D270" s="262"/>
      <c r="E270" s="279">
        <v>50</v>
      </c>
      <c r="F270" s="266">
        <f t="shared" si="56"/>
        <v>0</v>
      </c>
      <c r="G270" s="266">
        <f t="shared" si="52"/>
        <v>0</v>
      </c>
      <c r="H270" s="271">
        <v>0</v>
      </c>
      <c r="I270" s="280" t="s">
        <v>1774</v>
      </c>
    </row>
    <row r="271" spans="1:9" s="276" customFormat="1" ht="35.25" hidden="1" customHeight="1">
      <c r="A271" s="256" t="s">
        <v>742</v>
      </c>
      <c r="B271" s="255" t="s">
        <v>1330</v>
      </c>
      <c r="C271" s="256" t="s">
        <v>902</v>
      </c>
      <c r="D271" s="262"/>
      <c r="E271" s="279">
        <v>40</v>
      </c>
      <c r="F271" s="266">
        <f t="shared" si="45"/>
        <v>0</v>
      </c>
      <c r="G271" s="266">
        <f t="shared" si="52"/>
        <v>0</v>
      </c>
      <c r="H271" s="271">
        <v>0</v>
      </c>
      <c r="I271" s="280" t="s">
        <v>1774</v>
      </c>
    </row>
    <row r="272" spans="1:9" ht="52">
      <c r="A272" s="13" t="s">
        <v>742</v>
      </c>
      <c r="B272" s="12" t="s">
        <v>1387</v>
      </c>
      <c r="C272" s="13" t="s">
        <v>878</v>
      </c>
      <c r="D272" s="779">
        <v>3</v>
      </c>
      <c r="E272" s="166">
        <v>60</v>
      </c>
      <c r="F272" s="20">
        <f t="shared" si="45"/>
        <v>180</v>
      </c>
      <c r="G272" s="20">
        <f t="shared" si="52"/>
        <v>171</v>
      </c>
      <c r="H272" s="271">
        <v>9</v>
      </c>
      <c r="I272" s="929"/>
    </row>
    <row r="273" spans="1:9" s="141" customFormat="1" ht="66" hidden="1" customHeight="1">
      <c r="A273" s="112" t="s">
        <v>742</v>
      </c>
      <c r="B273" s="148" t="s">
        <v>1332</v>
      </c>
      <c r="C273" s="112"/>
      <c r="D273" s="137"/>
      <c r="E273" s="113"/>
      <c r="F273" s="155">
        <f t="shared" si="45"/>
        <v>0</v>
      </c>
      <c r="G273" s="155">
        <f t="shared" si="52"/>
        <v>0</v>
      </c>
      <c r="H273" s="271">
        <v>0</v>
      </c>
      <c r="I273" s="280" t="s">
        <v>1774</v>
      </c>
    </row>
    <row r="274" spans="1:9" s="276" customFormat="1" ht="38.25" hidden="1" customHeight="1">
      <c r="A274" s="256" t="s">
        <v>742</v>
      </c>
      <c r="B274" s="255" t="s">
        <v>1333</v>
      </c>
      <c r="C274" s="256" t="s">
        <v>1034</v>
      </c>
      <c r="D274" s="262"/>
      <c r="E274" s="279">
        <v>50</v>
      </c>
      <c r="F274" s="266">
        <f t="shared" si="45"/>
        <v>0</v>
      </c>
      <c r="G274" s="266">
        <f t="shared" si="52"/>
        <v>0</v>
      </c>
      <c r="H274" s="271">
        <v>0</v>
      </c>
      <c r="I274" s="280" t="s">
        <v>1774</v>
      </c>
    </row>
    <row r="275" spans="1:9" s="319" customFormat="1" ht="26.25" customHeight="1">
      <c r="A275" s="125" t="s">
        <v>915</v>
      </c>
      <c r="B275" s="394" t="s">
        <v>1364</v>
      </c>
      <c r="C275" s="125"/>
      <c r="D275" s="890"/>
      <c r="E275" s="895"/>
      <c r="F275" s="20">
        <f>+F276+F281+F282+F288+F289+F290</f>
        <v>369</v>
      </c>
      <c r="G275" s="20">
        <f t="shared" ref="G275:H275" si="57">+G276+G281+G282+G288+G289+G290</f>
        <v>353</v>
      </c>
      <c r="H275" s="271">
        <f t="shared" si="57"/>
        <v>16</v>
      </c>
      <c r="I275" s="929"/>
    </row>
    <row r="276" spans="1:9" ht="18" customHeight="1">
      <c r="A276" s="13" t="s">
        <v>742</v>
      </c>
      <c r="B276" s="12" t="s">
        <v>1365</v>
      </c>
      <c r="C276" s="13"/>
      <c r="D276" s="779"/>
      <c r="E276" s="19"/>
      <c r="F276" s="20">
        <f>SUM(F277:F280)</f>
        <v>129</v>
      </c>
      <c r="G276" s="20">
        <f t="shared" ref="G276:H276" si="58">SUM(G277:G280)</f>
        <v>125</v>
      </c>
      <c r="H276" s="271">
        <f t="shared" si="58"/>
        <v>4</v>
      </c>
      <c r="I276" s="781"/>
    </row>
    <row r="277" spans="1:9" s="141" customFormat="1" ht="39.75" hidden="1" customHeight="1">
      <c r="A277" s="112"/>
      <c r="B277" s="148" t="s">
        <v>1366</v>
      </c>
      <c r="C277" s="112" t="s">
        <v>878</v>
      </c>
      <c r="D277" s="137">
        <v>3</v>
      </c>
      <c r="E277" s="160">
        <v>43</v>
      </c>
      <c r="F277" s="155">
        <v>129</v>
      </c>
      <c r="G277" s="155">
        <f>F277-H277</f>
        <v>125</v>
      </c>
      <c r="H277" s="271">
        <v>4</v>
      </c>
      <c r="I277" s="280" t="s">
        <v>1774</v>
      </c>
    </row>
    <row r="278" spans="1:9" s="276" customFormat="1" ht="33.75" hidden="1" customHeight="1">
      <c r="A278" s="256"/>
      <c r="B278" s="255" t="s">
        <v>1367</v>
      </c>
      <c r="C278" s="256" t="s">
        <v>902</v>
      </c>
      <c r="D278" s="262"/>
      <c r="E278" s="279">
        <v>50</v>
      </c>
      <c r="F278" s="266">
        <f t="shared" si="45"/>
        <v>0</v>
      </c>
      <c r="G278" s="266">
        <f t="shared" si="52"/>
        <v>0</v>
      </c>
      <c r="H278" s="271">
        <v>0</v>
      </c>
      <c r="I278" s="280" t="s">
        <v>1774</v>
      </c>
    </row>
    <row r="279" spans="1:9" s="276" customFormat="1" ht="34.5" hidden="1" customHeight="1">
      <c r="A279" s="256"/>
      <c r="B279" s="255" t="s">
        <v>1368</v>
      </c>
      <c r="C279" s="256" t="s">
        <v>1342</v>
      </c>
      <c r="D279" s="262"/>
      <c r="E279" s="279">
        <v>40</v>
      </c>
      <c r="F279" s="266">
        <f t="shared" ref="F279:F343" si="59">D279*E279</f>
        <v>0</v>
      </c>
      <c r="G279" s="266">
        <f t="shared" si="52"/>
        <v>0</v>
      </c>
      <c r="H279" s="271">
        <v>0</v>
      </c>
      <c r="I279" s="280" t="s">
        <v>1774</v>
      </c>
    </row>
    <row r="280" spans="1:9" s="276" customFormat="1" ht="33.75" hidden="1" customHeight="1">
      <c r="A280" s="256"/>
      <c r="B280" s="255" t="s">
        <v>1369</v>
      </c>
      <c r="C280" s="256" t="s">
        <v>1208</v>
      </c>
      <c r="D280" s="262"/>
      <c r="E280" s="283">
        <f>15000/1000000</f>
        <v>1.4999999999999999E-2</v>
      </c>
      <c r="F280" s="266">
        <v>0</v>
      </c>
      <c r="G280" s="266">
        <f t="shared" si="52"/>
        <v>0</v>
      </c>
      <c r="H280" s="271">
        <v>0</v>
      </c>
      <c r="I280" s="280" t="s">
        <v>1774</v>
      </c>
    </row>
    <row r="281" spans="1:9" s="276" customFormat="1" ht="45" hidden="1" customHeight="1">
      <c r="A281" s="256" t="s">
        <v>742</v>
      </c>
      <c r="B281" s="284" t="s">
        <v>1370</v>
      </c>
      <c r="C281" s="281"/>
      <c r="D281" s="261"/>
      <c r="E281" s="285"/>
      <c r="F281" s="266">
        <f t="shared" si="59"/>
        <v>0</v>
      </c>
      <c r="G281" s="266">
        <f t="shared" si="52"/>
        <v>0</v>
      </c>
      <c r="H281" s="271">
        <v>0</v>
      </c>
      <c r="I281" s="280" t="s">
        <v>1774</v>
      </c>
    </row>
    <row r="282" spans="1:9" s="276" customFormat="1" ht="51" hidden="1" customHeight="1">
      <c r="A282" s="256" t="s">
        <v>742</v>
      </c>
      <c r="B282" s="255" t="s">
        <v>1371</v>
      </c>
      <c r="C282" s="256"/>
      <c r="D282" s="262"/>
      <c r="E282" s="278"/>
      <c r="F282" s="266">
        <f t="shared" si="59"/>
        <v>0</v>
      </c>
      <c r="G282" s="266">
        <f t="shared" si="52"/>
        <v>0</v>
      </c>
      <c r="H282" s="271">
        <v>0</v>
      </c>
      <c r="I282" s="280" t="s">
        <v>1774</v>
      </c>
    </row>
    <row r="283" spans="1:9" s="276" customFormat="1" ht="39" hidden="1" customHeight="1">
      <c r="A283" s="256"/>
      <c r="B283" s="255" t="s">
        <v>1372</v>
      </c>
      <c r="C283" s="256" t="s">
        <v>903</v>
      </c>
      <c r="D283" s="262"/>
      <c r="E283" s="279">
        <v>30</v>
      </c>
      <c r="F283" s="266">
        <f t="shared" si="59"/>
        <v>0</v>
      </c>
      <c r="G283" s="266">
        <f t="shared" si="52"/>
        <v>0</v>
      </c>
      <c r="H283" s="271">
        <v>0</v>
      </c>
      <c r="I283" s="280" t="s">
        <v>1774</v>
      </c>
    </row>
    <row r="284" spans="1:9" s="141" customFormat="1" ht="56.25" hidden="1" customHeight="1">
      <c r="A284" s="112"/>
      <c r="B284" s="148" t="s">
        <v>1373</v>
      </c>
      <c r="C284" s="112"/>
      <c r="D284" s="137"/>
      <c r="E284" s="113"/>
      <c r="F284" s="155">
        <f t="shared" si="59"/>
        <v>0</v>
      </c>
      <c r="G284" s="155">
        <f t="shared" si="52"/>
        <v>0</v>
      </c>
      <c r="H284" s="271">
        <v>0</v>
      </c>
      <c r="I284" s="280" t="s">
        <v>1774</v>
      </c>
    </row>
    <row r="285" spans="1:9" s="141" customFormat="1" ht="51" hidden="1" customHeight="1">
      <c r="A285" s="112"/>
      <c r="B285" s="148" t="s">
        <v>1374</v>
      </c>
      <c r="C285" s="112"/>
      <c r="D285" s="137"/>
      <c r="E285" s="113"/>
      <c r="F285" s="155">
        <f t="shared" si="59"/>
        <v>0</v>
      </c>
      <c r="G285" s="155">
        <f t="shared" si="52"/>
        <v>0</v>
      </c>
      <c r="H285" s="271">
        <v>0</v>
      </c>
      <c r="I285" s="280" t="s">
        <v>1774</v>
      </c>
    </row>
    <row r="286" spans="1:9" s="141" customFormat="1" ht="35.25" hidden="1" customHeight="1">
      <c r="A286" s="112"/>
      <c r="B286" s="148" t="s">
        <v>1375</v>
      </c>
      <c r="C286" s="112"/>
      <c r="D286" s="137"/>
      <c r="E286" s="113"/>
      <c r="F286" s="155">
        <f t="shared" si="59"/>
        <v>0</v>
      </c>
      <c r="G286" s="155">
        <f t="shared" si="52"/>
        <v>0</v>
      </c>
      <c r="H286" s="271">
        <v>0</v>
      </c>
      <c r="I286" s="280" t="s">
        <v>1774</v>
      </c>
    </row>
    <row r="287" spans="1:9" s="141" customFormat="1" ht="52.5" hidden="1" customHeight="1">
      <c r="A287" s="112"/>
      <c r="B287" s="148" t="s">
        <v>1376</v>
      </c>
      <c r="C287" s="112"/>
      <c r="D287" s="137"/>
      <c r="E287" s="113"/>
      <c r="F287" s="155">
        <f t="shared" si="59"/>
        <v>0</v>
      </c>
      <c r="G287" s="155">
        <f t="shared" si="52"/>
        <v>0</v>
      </c>
      <c r="H287" s="271">
        <v>0</v>
      </c>
      <c r="I287" s="280" t="s">
        <v>1774</v>
      </c>
    </row>
    <row r="288" spans="1:9" s="141" customFormat="1" ht="32.25" hidden="1" customHeight="1">
      <c r="A288" s="112" t="s">
        <v>742</v>
      </c>
      <c r="B288" s="148" t="s">
        <v>1377</v>
      </c>
      <c r="C288" s="112"/>
      <c r="D288" s="137"/>
      <c r="E288" s="113"/>
      <c r="F288" s="155">
        <f t="shared" si="59"/>
        <v>0</v>
      </c>
      <c r="G288" s="155">
        <f t="shared" si="52"/>
        <v>0</v>
      </c>
      <c r="H288" s="271">
        <v>0</v>
      </c>
      <c r="I288" s="280" t="s">
        <v>1774</v>
      </c>
    </row>
    <row r="289" spans="1:9" s="141" customFormat="1" ht="26.25" hidden="1" customHeight="1">
      <c r="A289" s="112" t="s">
        <v>742</v>
      </c>
      <c r="B289" s="148" t="s">
        <v>1378</v>
      </c>
      <c r="C289" s="112"/>
      <c r="D289" s="137"/>
      <c r="E289" s="113"/>
      <c r="F289" s="155">
        <f t="shared" si="59"/>
        <v>0</v>
      </c>
      <c r="G289" s="155">
        <f t="shared" si="52"/>
        <v>0</v>
      </c>
      <c r="H289" s="271">
        <v>0</v>
      </c>
      <c r="I289" s="280" t="s">
        <v>1774</v>
      </c>
    </row>
    <row r="290" spans="1:9" ht="28.5" customHeight="1">
      <c r="A290" s="13" t="s">
        <v>742</v>
      </c>
      <c r="B290" s="12" t="s">
        <v>2068</v>
      </c>
      <c r="C290" s="13"/>
      <c r="D290" s="779"/>
      <c r="E290" s="19"/>
      <c r="F290" s="20">
        <f>SUM(F291:F295)</f>
        <v>240</v>
      </c>
      <c r="G290" s="20">
        <f t="shared" si="52"/>
        <v>228</v>
      </c>
      <c r="H290" s="271">
        <v>12</v>
      </c>
      <c r="I290" s="96"/>
    </row>
    <row r="291" spans="1:9" s="141" customFormat="1" ht="43.5" hidden="1" customHeight="1">
      <c r="A291" s="112"/>
      <c r="B291" s="148" t="s">
        <v>1380</v>
      </c>
      <c r="C291" s="112"/>
      <c r="D291" s="137"/>
      <c r="E291" s="133">
        <v>15</v>
      </c>
      <c r="F291" s="155">
        <f>D291*E291</f>
        <v>0</v>
      </c>
      <c r="G291" s="155">
        <f t="shared" si="52"/>
        <v>0</v>
      </c>
      <c r="H291" s="271">
        <v>0</v>
      </c>
      <c r="I291" s="280" t="s">
        <v>1774</v>
      </c>
    </row>
    <row r="292" spans="1:9" s="141" customFormat="1" ht="24" hidden="1" customHeight="1">
      <c r="A292" s="112"/>
      <c r="B292" s="148" t="s">
        <v>1381</v>
      </c>
      <c r="C292" s="112"/>
      <c r="D292" s="137"/>
      <c r="E292" s="133">
        <v>70</v>
      </c>
      <c r="F292" s="155">
        <f t="shared" ref="F292:F295" si="60">D292*E292</f>
        <v>0</v>
      </c>
      <c r="G292" s="155">
        <f t="shared" si="52"/>
        <v>0</v>
      </c>
      <c r="H292" s="271">
        <v>0</v>
      </c>
      <c r="I292" s="280" t="s">
        <v>1774</v>
      </c>
    </row>
    <row r="293" spans="1:9" s="141" customFormat="1" ht="32.25" hidden="1" customHeight="1">
      <c r="A293" s="112"/>
      <c r="B293" s="148" t="s">
        <v>1382</v>
      </c>
      <c r="C293" s="112" t="s">
        <v>903</v>
      </c>
      <c r="D293" s="137"/>
      <c r="E293" s="133">
        <v>45</v>
      </c>
      <c r="F293" s="155">
        <f t="shared" si="60"/>
        <v>0</v>
      </c>
      <c r="G293" s="155">
        <f t="shared" si="52"/>
        <v>0</v>
      </c>
      <c r="H293" s="271">
        <v>0</v>
      </c>
      <c r="I293" s="280" t="s">
        <v>1774</v>
      </c>
    </row>
    <row r="294" spans="1:9" s="141" customFormat="1" ht="22.5" hidden="1" customHeight="1">
      <c r="A294" s="112"/>
      <c r="B294" s="148" t="s">
        <v>1383</v>
      </c>
      <c r="C294" s="112"/>
      <c r="D294" s="137"/>
      <c r="E294" s="133">
        <v>60</v>
      </c>
      <c r="F294" s="155">
        <f t="shared" si="60"/>
        <v>0</v>
      </c>
      <c r="G294" s="155">
        <f t="shared" si="52"/>
        <v>0</v>
      </c>
      <c r="H294" s="271">
        <v>0</v>
      </c>
      <c r="I294" s="280" t="s">
        <v>1774</v>
      </c>
    </row>
    <row r="295" spans="1:9" ht="18" customHeight="1">
      <c r="A295" s="13"/>
      <c r="B295" s="12" t="s">
        <v>1384</v>
      </c>
      <c r="C295" s="13" t="s">
        <v>878</v>
      </c>
      <c r="D295" s="779">
        <v>6</v>
      </c>
      <c r="E295" s="166">
        <v>40</v>
      </c>
      <c r="F295" s="20">
        <f t="shared" si="60"/>
        <v>240</v>
      </c>
      <c r="G295" s="20">
        <f t="shared" si="52"/>
        <v>228</v>
      </c>
      <c r="H295" s="271">
        <v>12</v>
      </c>
      <c r="I295" s="929"/>
    </row>
    <row r="296" spans="1:9" s="290" customFormat="1" ht="28.5" hidden="1" customHeight="1">
      <c r="A296" s="286" t="s">
        <v>1227</v>
      </c>
      <c r="B296" s="287" t="s">
        <v>1385</v>
      </c>
      <c r="C296" s="286"/>
      <c r="D296" s="288"/>
      <c r="E296" s="289"/>
      <c r="F296" s="266">
        <f t="shared" si="59"/>
        <v>0</v>
      </c>
      <c r="G296" s="266">
        <f t="shared" si="52"/>
        <v>0</v>
      </c>
      <c r="H296" s="271">
        <v>0</v>
      </c>
      <c r="I296" s="280" t="s">
        <v>1774</v>
      </c>
    </row>
    <row r="297" spans="1:9" s="317" customFormat="1" ht="18" customHeight="1">
      <c r="A297" s="26">
        <v>5</v>
      </c>
      <c r="B297" s="55" t="s">
        <v>17</v>
      </c>
      <c r="C297" s="26"/>
      <c r="D297" s="783"/>
      <c r="E297" s="781"/>
      <c r="F297" s="21">
        <f>+F298+F319+F340</f>
        <v>1836</v>
      </c>
      <c r="G297" s="21">
        <f t="shared" ref="G297:H297" si="61">+G298+G319+G340</f>
        <v>1747</v>
      </c>
      <c r="H297" s="272">
        <f t="shared" si="61"/>
        <v>89</v>
      </c>
      <c r="I297" s="929"/>
    </row>
    <row r="298" spans="1:9" s="319" customFormat="1" ht="26.25" customHeight="1">
      <c r="A298" s="125" t="s">
        <v>911</v>
      </c>
      <c r="B298" s="394" t="s">
        <v>1363</v>
      </c>
      <c r="C298" s="125"/>
      <c r="D298" s="890"/>
      <c r="E298" s="895"/>
      <c r="F298" s="20">
        <f>+F299+F300+F301+F302+F305+F310+F315+F316+F317+F318</f>
        <v>1318</v>
      </c>
      <c r="G298" s="20">
        <f t="shared" ref="G298:H298" si="62">+G299+G300+G301+G302+G305+G310+G315+G316+G317+G318</f>
        <v>1252</v>
      </c>
      <c r="H298" s="271">
        <f t="shared" si="62"/>
        <v>66</v>
      </c>
      <c r="I298" s="929"/>
    </row>
    <row r="299" spans="1:9" s="141" customFormat="1" ht="26.25" hidden="1" customHeight="1">
      <c r="A299" s="112" t="s">
        <v>742</v>
      </c>
      <c r="B299" s="148" t="s">
        <v>1314</v>
      </c>
      <c r="C299" s="112"/>
      <c r="D299" s="137"/>
      <c r="E299" s="133">
        <v>25</v>
      </c>
      <c r="F299" s="155">
        <f t="shared" ref="F299:F340" si="63">D299*E299</f>
        <v>0</v>
      </c>
      <c r="G299" s="155">
        <f t="shared" si="52"/>
        <v>0</v>
      </c>
      <c r="H299" s="271">
        <v>0</v>
      </c>
      <c r="I299" s="280" t="s">
        <v>1774</v>
      </c>
    </row>
    <row r="300" spans="1:9" ht="39">
      <c r="A300" s="13" t="s">
        <v>742</v>
      </c>
      <c r="B300" s="12" t="s">
        <v>1315</v>
      </c>
      <c r="C300" s="13" t="s">
        <v>878</v>
      </c>
      <c r="D300" s="779">
        <v>6</v>
      </c>
      <c r="E300" s="166">
        <v>30</v>
      </c>
      <c r="F300" s="20">
        <f>D300*E300</f>
        <v>180</v>
      </c>
      <c r="G300" s="20">
        <f>F300-H300</f>
        <v>171</v>
      </c>
      <c r="H300" s="271">
        <v>9</v>
      </c>
      <c r="I300" s="929"/>
    </row>
    <row r="301" spans="1:9" s="141" customFormat="1" ht="26.25" hidden="1" customHeight="1">
      <c r="A301" s="112" t="s">
        <v>742</v>
      </c>
      <c r="B301" s="148" t="s">
        <v>1316</v>
      </c>
      <c r="C301" s="112"/>
      <c r="D301" s="137"/>
      <c r="E301" s="133">
        <v>5</v>
      </c>
      <c r="F301" s="155">
        <f t="shared" si="63"/>
        <v>0</v>
      </c>
      <c r="G301" s="155">
        <f t="shared" si="52"/>
        <v>0</v>
      </c>
      <c r="H301" s="271">
        <v>0</v>
      </c>
      <c r="I301" s="280" t="s">
        <v>1774</v>
      </c>
    </row>
    <row r="302" spans="1:9" ht="66" customHeight="1">
      <c r="A302" s="13" t="s">
        <v>742</v>
      </c>
      <c r="B302" s="12" t="s">
        <v>1317</v>
      </c>
      <c r="C302" s="13"/>
      <c r="D302" s="779"/>
      <c r="E302" s="930"/>
      <c r="F302" s="20">
        <f>SUM(F303:F304)</f>
        <v>360</v>
      </c>
      <c r="G302" s="20">
        <f>SUM(G303:G304)</f>
        <v>339</v>
      </c>
      <c r="H302" s="271">
        <f>SUM(H303:H304)</f>
        <v>21</v>
      </c>
      <c r="I302" s="929"/>
    </row>
    <row r="303" spans="1:9" s="141" customFormat="1" ht="18" hidden="1" customHeight="1">
      <c r="A303" s="112"/>
      <c r="B303" s="148" t="s">
        <v>1318</v>
      </c>
      <c r="C303" s="112" t="s">
        <v>903</v>
      </c>
      <c r="D303" s="137">
        <v>4</v>
      </c>
      <c r="E303" s="132">
        <v>50</v>
      </c>
      <c r="F303" s="155">
        <v>200</v>
      </c>
      <c r="G303" s="155">
        <f>F303-H303</f>
        <v>187</v>
      </c>
      <c r="H303" s="271">
        <v>13</v>
      </c>
      <c r="I303" s="280" t="s">
        <v>1774</v>
      </c>
    </row>
    <row r="304" spans="1:9" s="141" customFormat="1" ht="18" hidden="1" customHeight="1">
      <c r="A304" s="112"/>
      <c r="B304" s="148" t="s">
        <v>1319</v>
      </c>
      <c r="C304" s="112" t="s">
        <v>875</v>
      </c>
      <c r="D304" s="137">
        <v>4</v>
      </c>
      <c r="E304" s="133">
        <v>40</v>
      </c>
      <c r="F304" s="155">
        <v>160</v>
      </c>
      <c r="G304" s="155">
        <f>F304-H304</f>
        <v>152</v>
      </c>
      <c r="H304" s="271">
        <v>8</v>
      </c>
      <c r="I304" s="280" t="s">
        <v>1774</v>
      </c>
    </row>
    <row r="305" spans="1:9" ht="39" customHeight="1">
      <c r="A305" s="13" t="s">
        <v>742</v>
      </c>
      <c r="B305" s="12" t="s">
        <v>1320</v>
      </c>
      <c r="C305" s="13"/>
      <c r="D305" s="779"/>
      <c r="E305" s="931"/>
      <c r="F305" s="20">
        <f>SUM(F306:F309)</f>
        <v>368</v>
      </c>
      <c r="G305" s="20">
        <f t="shared" si="52"/>
        <v>350</v>
      </c>
      <c r="H305" s="271">
        <v>18</v>
      </c>
      <c r="I305" s="96"/>
    </row>
    <row r="306" spans="1:9" s="141" customFormat="1" ht="26.25" hidden="1" customHeight="1">
      <c r="A306" s="112"/>
      <c r="B306" s="148" t="s">
        <v>1321</v>
      </c>
      <c r="C306" s="112" t="s">
        <v>874</v>
      </c>
      <c r="D306" s="137">
        <v>262</v>
      </c>
      <c r="E306" s="133">
        <v>1</v>
      </c>
      <c r="F306" s="155">
        <f>D306*E306</f>
        <v>262</v>
      </c>
      <c r="G306" s="155">
        <f t="shared" si="52"/>
        <v>249</v>
      </c>
      <c r="H306" s="271">
        <v>13</v>
      </c>
      <c r="I306" s="280" t="s">
        <v>1774</v>
      </c>
    </row>
    <row r="307" spans="1:9" s="141" customFormat="1" ht="18" hidden="1" customHeight="1">
      <c r="A307" s="112"/>
      <c r="B307" s="148" t="s">
        <v>1322</v>
      </c>
      <c r="C307" s="112" t="s">
        <v>874</v>
      </c>
      <c r="D307" s="137">
        <v>70</v>
      </c>
      <c r="E307" s="160">
        <v>0.8</v>
      </c>
      <c r="F307" s="155">
        <f>D307*E307</f>
        <v>56</v>
      </c>
      <c r="G307" s="155">
        <f t="shared" si="52"/>
        <v>53</v>
      </c>
      <c r="H307" s="271">
        <v>3</v>
      </c>
      <c r="I307" s="280" t="s">
        <v>1774</v>
      </c>
    </row>
    <row r="308" spans="1:9" s="141" customFormat="1" ht="26.25" hidden="1" customHeight="1">
      <c r="A308" s="112"/>
      <c r="B308" s="148" t="s">
        <v>1323</v>
      </c>
      <c r="C308" s="112" t="s">
        <v>874</v>
      </c>
      <c r="D308" s="137">
        <v>50</v>
      </c>
      <c r="E308" s="160">
        <v>0.5</v>
      </c>
      <c r="F308" s="155">
        <f t="shared" ref="F308:F309" si="64">D308*E308</f>
        <v>25</v>
      </c>
      <c r="G308" s="155">
        <f t="shared" si="52"/>
        <v>24</v>
      </c>
      <c r="H308" s="271">
        <v>1</v>
      </c>
      <c r="I308" s="280" t="s">
        <v>1774</v>
      </c>
    </row>
    <row r="309" spans="1:9" s="141" customFormat="1" ht="26.25" hidden="1" customHeight="1">
      <c r="A309" s="112"/>
      <c r="B309" s="148" t="s">
        <v>1324</v>
      </c>
      <c r="C309" s="112" t="s">
        <v>874</v>
      </c>
      <c r="D309" s="137">
        <v>50</v>
      </c>
      <c r="E309" s="160">
        <v>0.5</v>
      </c>
      <c r="F309" s="155">
        <f t="shared" si="64"/>
        <v>25</v>
      </c>
      <c r="G309" s="155">
        <f t="shared" si="52"/>
        <v>24</v>
      </c>
      <c r="H309" s="271">
        <v>1</v>
      </c>
      <c r="I309" s="280" t="s">
        <v>1774</v>
      </c>
    </row>
    <row r="310" spans="1:9" ht="26.25" customHeight="1">
      <c r="A310" s="13" t="s">
        <v>742</v>
      </c>
      <c r="B310" s="12" t="s">
        <v>1325</v>
      </c>
      <c r="C310" s="13"/>
      <c r="D310" s="779"/>
      <c r="E310" s="166"/>
      <c r="F310" s="20">
        <f>SUM(F311:F314)</f>
        <v>240</v>
      </c>
      <c r="G310" s="20">
        <f t="shared" ref="G310:H310" si="65">SUM(G311:G314)</f>
        <v>231</v>
      </c>
      <c r="H310" s="271">
        <f t="shared" si="65"/>
        <v>9</v>
      </c>
      <c r="I310" s="781"/>
    </row>
    <row r="311" spans="1:9" s="141" customFormat="1" ht="26.25" hidden="1" customHeight="1">
      <c r="A311" s="112"/>
      <c r="B311" s="148" t="s">
        <v>1326</v>
      </c>
      <c r="C311" s="112" t="s">
        <v>902</v>
      </c>
      <c r="D311" s="137">
        <v>3</v>
      </c>
      <c r="E311" s="133">
        <v>80</v>
      </c>
      <c r="F311" s="155">
        <f>D311*E311</f>
        <v>240</v>
      </c>
      <c r="G311" s="155">
        <f>F311-H311</f>
        <v>231</v>
      </c>
      <c r="H311" s="271">
        <v>9</v>
      </c>
      <c r="I311" s="280" t="s">
        <v>1774</v>
      </c>
    </row>
    <row r="312" spans="1:9" s="141" customFormat="1" ht="60.75" hidden="1" customHeight="1">
      <c r="A312" s="112"/>
      <c r="B312" s="148" t="s">
        <v>1386</v>
      </c>
      <c r="C312" s="112" t="s">
        <v>874</v>
      </c>
      <c r="D312" s="137"/>
      <c r="E312" s="133">
        <v>1</v>
      </c>
      <c r="F312" s="155">
        <f>D312*E312</f>
        <v>0</v>
      </c>
      <c r="G312" s="155">
        <f t="shared" si="52"/>
        <v>0</v>
      </c>
      <c r="H312" s="271">
        <v>0</v>
      </c>
      <c r="I312" s="280" t="s">
        <v>1774</v>
      </c>
    </row>
    <row r="313" spans="1:9" s="276" customFormat="1" ht="57" hidden="1" customHeight="1">
      <c r="A313" s="256"/>
      <c r="B313" s="255" t="s">
        <v>1328</v>
      </c>
      <c r="C313" s="256" t="s">
        <v>875</v>
      </c>
      <c r="D313" s="262"/>
      <c r="E313" s="279">
        <v>66</v>
      </c>
      <c r="F313" s="266">
        <f t="shared" ref="F313:F314" si="66">D313*E313</f>
        <v>0</v>
      </c>
      <c r="G313" s="266">
        <f t="shared" si="52"/>
        <v>0</v>
      </c>
      <c r="H313" s="271">
        <v>0</v>
      </c>
      <c r="I313" s="280" t="s">
        <v>1774</v>
      </c>
    </row>
    <row r="314" spans="1:9" s="276" customFormat="1" ht="26.25" hidden="1" customHeight="1">
      <c r="A314" s="256"/>
      <c r="B314" s="255" t="s">
        <v>1329</v>
      </c>
      <c r="C314" s="256" t="s">
        <v>1034</v>
      </c>
      <c r="D314" s="262"/>
      <c r="E314" s="279">
        <v>50</v>
      </c>
      <c r="F314" s="266">
        <f t="shared" si="66"/>
        <v>0</v>
      </c>
      <c r="G314" s="266">
        <f t="shared" ref="G314:G377" si="67">F314-H314</f>
        <v>0</v>
      </c>
      <c r="H314" s="271">
        <v>0</v>
      </c>
      <c r="I314" s="280" t="s">
        <v>1774</v>
      </c>
    </row>
    <row r="315" spans="1:9" s="276" customFormat="1" ht="22.5" hidden="1" customHeight="1">
      <c r="A315" s="256" t="s">
        <v>742</v>
      </c>
      <c r="B315" s="255" t="s">
        <v>1330</v>
      </c>
      <c r="C315" s="256" t="s">
        <v>902</v>
      </c>
      <c r="D315" s="262"/>
      <c r="E315" s="279">
        <v>40</v>
      </c>
      <c r="F315" s="266">
        <f t="shared" si="63"/>
        <v>0</v>
      </c>
      <c r="G315" s="266">
        <f t="shared" si="67"/>
        <v>0</v>
      </c>
      <c r="H315" s="271">
        <v>0</v>
      </c>
      <c r="I315" s="280" t="s">
        <v>1774</v>
      </c>
    </row>
    <row r="316" spans="1:9" ht="65">
      <c r="A316" s="13" t="s">
        <v>742</v>
      </c>
      <c r="B316" s="12" t="s">
        <v>1388</v>
      </c>
      <c r="C316" s="13" t="s">
        <v>878</v>
      </c>
      <c r="D316" s="779">
        <v>3</v>
      </c>
      <c r="E316" s="166">
        <v>40</v>
      </c>
      <c r="F316" s="20">
        <f t="shared" si="63"/>
        <v>120</v>
      </c>
      <c r="G316" s="20">
        <f t="shared" si="67"/>
        <v>114</v>
      </c>
      <c r="H316" s="271">
        <v>6</v>
      </c>
      <c r="I316" s="96"/>
    </row>
    <row r="317" spans="1:9" s="141" customFormat="1" ht="64.5" hidden="1" customHeight="1">
      <c r="A317" s="112" t="s">
        <v>742</v>
      </c>
      <c r="B317" s="148" t="s">
        <v>1332</v>
      </c>
      <c r="C317" s="112"/>
      <c r="D317" s="137"/>
      <c r="E317" s="113"/>
      <c r="F317" s="155">
        <f t="shared" si="63"/>
        <v>0</v>
      </c>
      <c r="G317" s="155">
        <f t="shared" si="67"/>
        <v>0</v>
      </c>
      <c r="H317" s="271">
        <v>0</v>
      </c>
      <c r="I317" s="280" t="s">
        <v>1774</v>
      </c>
    </row>
    <row r="318" spans="1:9" ht="38.25" customHeight="1">
      <c r="A318" s="13" t="s">
        <v>742</v>
      </c>
      <c r="B318" s="12" t="s">
        <v>1333</v>
      </c>
      <c r="C318" s="13" t="s">
        <v>1034</v>
      </c>
      <c r="D318" s="779">
        <v>1</v>
      </c>
      <c r="E318" s="166">
        <v>50</v>
      </c>
      <c r="F318" s="20">
        <f t="shared" si="63"/>
        <v>50</v>
      </c>
      <c r="G318" s="20">
        <f t="shared" si="67"/>
        <v>47</v>
      </c>
      <c r="H318" s="271">
        <v>3</v>
      </c>
      <c r="I318" s="929"/>
    </row>
    <row r="319" spans="1:9" s="319" customFormat="1" ht="26.25" customHeight="1">
      <c r="A319" s="125" t="s">
        <v>915</v>
      </c>
      <c r="B319" s="394" t="s">
        <v>1364</v>
      </c>
      <c r="C319" s="125"/>
      <c r="D319" s="890"/>
      <c r="E319" s="895"/>
      <c r="F319" s="20">
        <f>+F320+F325+F326+F332+F333+F334</f>
        <v>518</v>
      </c>
      <c r="G319" s="20">
        <f t="shared" ref="G319:H319" si="68">+G320+G325+G326+G332+G333+G334</f>
        <v>495</v>
      </c>
      <c r="H319" s="271">
        <f t="shared" si="68"/>
        <v>23</v>
      </c>
      <c r="I319" s="929"/>
    </row>
    <row r="320" spans="1:9" ht="18" customHeight="1">
      <c r="A320" s="13" t="s">
        <v>742</v>
      </c>
      <c r="B320" s="12" t="s">
        <v>1365</v>
      </c>
      <c r="C320" s="13"/>
      <c r="D320" s="779"/>
      <c r="E320" s="19"/>
      <c r="F320" s="20">
        <f>SUM(F321:F324)</f>
        <v>80</v>
      </c>
      <c r="G320" s="20">
        <f t="shared" ref="G320:H320" si="69">SUM(G321:G324)</f>
        <v>79</v>
      </c>
      <c r="H320" s="271">
        <f t="shared" si="69"/>
        <v>1</v>
      </c>
      <c r="I320" s="929"/>
    </row>
    <row r="321" spans="1:9" s="141" customFormat="1" ht="39.75" hidden="1" customHeight="1">
      <c r="A321" s="112"/>
      <c r="B321" s="148" t="s">
        <v>1366</v>
      </c>
      <c r="C321" s="112" t="s">
        <v>878</v>
      </c>
      <c r="D321" s="137">
        <v>2</v>
      </c>
      <c r="E321" s="133">
        <v>40</v>
      </c>
      <c r="F321" s="155">
        <f t="shared" si="63"/>
        <v>80</v>
      </c>
      <c r="G321" s="155">
        <f>F321-H321</f>
        <v>79</v>
      </c>
      <c r="H321" s="271">
        <v>1</v>
      </c>
      <c r="I321" s="280" t="s">
        <v>1774</v>
      </c>
    </row>
    <row r="322" spans="1:9" s="276" customFormat="1" ht="33.75" hidden="1" customHeight="1">
      <c r="A322" s="256"/>
      <c r="B322" s="255" t="s">
        <v>1367</v>
      </c>
      <c r="C322" s="256" t="s">
        <v>902</v>
      </c>
      <c r="D322" s="262"/>
      <c r="E322" s="279">
        <v>50</v>
      </c>
      <c r="F322" s="266">
        <f t="shared" si="63"/>
        <v>0</v>
      </c>
      <c r="G322" s="266">
        <f t="shared" si="67"/>
        <v>0</v>
      </c>
      <c r="H322" s="271">
        <v>0</v>
      </c>
      <c r="I322" s="280" t="s">
        <v>1774</v>
      </c>
    </row>
    <row r="323" spans="1:9" s="276" customFormat="1" ht="34.5" hidden="1" customHeight="1">
      <c r="A323" s="256"/>
      <c r="B323" s="255" t="s">
        <v>1368</v>
      </c>
      <c r="C323" s="256" t="s">
        <v>1342</v>
      </c>
      <c r="D323" s="262"/>
      <c r="E323" s="279">
        <v>40</v>
      </c>
      <c r="F323" s="266">
        <f t="shared" si="63"/>
        <v>0</v>
      </c>
      <c r="G323" s="266">
        <f t="shared" si="67"/>
        <v>0</v>
      </c>
      <c r="H323" s="271">
        <v>0</v>
      </c>
      <c r="I323" s="280" t="s">
        <v>1774</v>
      </c>
    </row>
    <row r="324" spans="1:9" s="276" customFormat="1" ht="33.75" hidden="1" customHeight="1">
      <c r="A324" s="256"/>
      <c r="B324" s="255" t="s">
        <v>1369</v>
      </c>
      <c r="C324" s="256" t="s">
        <v>1208</v>
      </c>
      <c r="D324" s="262"/>
      <c r="E324" s="283">
        <f>15000/1000000</f>
        <v>1.4999999999999999E-2</v>
      </c>
      <c r="F324" s="266">
        <v>0</v>
      </c>
      <c r="G324" s="266">
        <f t="shared" si="67"/>
        <v>0</v>
      </c>
      <c r="H324" s="271">
        <v>0</v>
      </c>
      <c r="I324" s="280" t="s">
        <v>1774</v>
      </c>
    </row>
    <row r="325" spans="1:9" s="276" customFormat="1" ht="45" hidden="1" customHeight="1">
      <c r="A325" s="256" t="s">
        <v>742</v>
      </c>
      <c r="B325" s="284" t="s">
        <v>1370</v>
      </c>
      <c r="C325" s="281"/>
      <c r="D325" s="261"/>
      <c r="E325" s="285"/>
      <c r="F325" s="266">
        <f t="shared" si="63"/>
        <v>0</v>
      </c>
      <c r="G325" s="266">
        <f t="shared" si="67"/>
        <v>0</v>
      </c>
      <c r="H325" s="271">
        <v>0</v>
      </c>
      <c r="I325" s="280" t="s">
        <v>1774</v>
      </c>
    </row>
    <row r="326" spans="1:9" s="276" customFormat="1" ht="52.5" hidden="1" customHeight="1">
      <c r="A326" s="256" t="s">
        <v>742</v>
      </c>
      <c r="B326" s="255" t="s">
        <v>1371</v>
      </c>
      <c r="C326" s="256"/>
      <c r="D326" s="262"/>
      <c r="E326" s="278"/>
      <c r="F326" s="266">
        <f t="shared" si="63"/>
        <v>0</v>
      </c>
      <c r="G326" s="266">
        <f t="shared" si="67"/>
        <v>0</v>
      </c>
      <c r="H326" s="271">
        <v>0</v>
      </c>
      <c r="I326" s="280" t="s">
        <v>1774</v>
      </c>
    </row>
    <row r="327" spans="1:9" s="276" customFormat="1" ht="39" hidden="1" customHeight="1">
      <c r="A327" s="256"/>
      <c r="B327" s="255" t="s">
        <v>1372</v>
      </c>
      <c r="C327" s="256" t="s">
        <v>903</v>
      </c>
      <c r="D327" s="262"/>
      <c r="E327" s="279">
        <v>30</v>
      </c>
      <c r="F327" s="266">
        <f t="shared" si="63"/>
        <v>0</v>
      </c>
      <c r="G327" s="266">
        <f t="shared" si="67"/>
        <v>0</v>
      </c>
      <c r="H327" s="271">
        <v>0</v>
      </c>
      <c r="I327" s="280" t="s">
        <v>1774</v>
      </c>
    </row>
    <row r="328" spans="1:9" s="141" customFormat="1" ht="56.25" hidden="1" customHeight="1">
      <c r="A328" s="112"/>
      <c r="B328" s="148" t="s">
        <v>1373</v>
      </c>
      <c r="C328" s="112"/>
      <c r="D328" s="137"/>
      <c r="E328" s="113"/>
      <c r="F328" s="155">
        <f t="shared" si="63"/>
        <v>0</v>
      </c>
      <c r="G328" s="155">
        <f t="shared" si="67"/>
        <v>0</v>
      </c>
      <c r="H328" s="271">
        <v>0</v>
      </c>
      <c r="I328" s="280" t="s">
        <v>1774</v>
      </c>
    </row>
    <row r="329" spans="1:9" s="141" customFormat="1" ht="51" hidden="1" customHeight="1">
      <c r="A329" s="112"/>
      <c r="B329" s="148" t="s">
        <v>1374</v>
      </c>
      <c r="C329" s="112"/>
      <c r="D329" s="137"/>
      <c r="E329" s="113"/>
      <c r="F329" s="155">
        <f t="shared" si="63"/>
        <v>0</v>
      </c>
      <c r="G329" s="155">
        <f t="shared" si="67"/>
        <v>0</v>
      </c>
      <c r="H329" s="271">
        <v>0</v>
      </c>
      <c r="I329" s="280" t="s">
        <v>1774</v>
      </c>
    </row>
    <row r="330" spans="1:9" s="141" customFormat="1" ht="35.25" hidden="1" customHeight="1">
      <c r="A330" s="112"/>
      <c r="B330" s="148" t="s">
        <v>1375</v>
      </c>
      <c r="C330" s="112"/>
      <c r="D330" s="137"/>
      <c r="E330" s="113"/>
      <c r="F330" s="155">
        <f t="shared" si="63"/>
        <v>0</v>
      </c>
      <c r="G330" s="155">
        <f t="shared" si="67"/>
        <v>0</v>
      </c>
      <c r="H330" s="271">
        <v>0</v>
      </c>
      <c r="I330" s="280" t="s">
        <v>1774</v>
      </c>
    </row>
    <row r="331" spans="1:9" s="141" customFormat="1" ht="52.5" hidden="1" customHeight="1">
      <c r="A331" s="112"/>
      <c r="B331" s="148" t="s">
        <v>1376</v>
      </c>
      <c r="C331" s="112"/>
      <c r="D331" s="137"/>
      <c r="E331" s="113"/>
      <c r="F331" s="155">
        <f t="shared" si="63"/>
        <v>0</v>
      </c>
      <c r="G331" s="155">
        <f t="shared" si="67"/>
        <v>0</v>
      </c>
      <c r="H331" s="271">
        <v>0</v>
      </c>
      <c r="I331" s="280" t="s">
        <v>1774</v>
      </c>
    </row>
    <row r="332" spans="1:9" s="141" customFormat="1" ht="32.25" hidden="1" customHeight="1">
      <c r="A332" s="112" t="s">
        <v>742</v>
      </c>
      <c r="B332" s="148" t="s">
        <v>1377</v>
      </c>
      <c r="C332" s="112"/>
      <c r="D332" s="137"/>
      <c r="E332" s="113"/>
      <c r="F332" s="155">
        <f t="shared" si="63"/>
        <v>0</v>
      </c>
      <c r="G332" s="155">
        <f t="shared" si="67"/>
        <v>0</v>
      </c>
      <c r="H332" s="271">
        <v>0</v>
      </c>
      <c r="I332" s="280" t="s">
        <v>1774</v>
      </c>
    </row>
    <row r="333" spans="1:9" s="141" customFormat="1" ht="26.25" hidden="1" customHeight="1">
      <c r="A333" s="112" t="s">
        <v>742</v>
      </c>
      <c r="B333" s="148" t="s">
        <v>1378</v>
      </c>
      <c r="C333" s="112"/>
      <c r="D333" s="137"/>
      <c r="E333" s="113"/>
      <c r="F333" s="155">
        <f t="shared" si="63"/>
        <v>0</v>
      </c>
      <c r="G333" s="155">
        <f t="shared" si="67"/>
        <v>0</v>
      </c>
      <c r="H333" s="271">
        <v>0</v>
      </c>
      <c r="I333" s="280" t="s">
        <v>1774</v>
      </c>
    </row>
    <row r="334" spans="1:9" ht="28.5" customHeight="1">
      <c r="A334" s="13" t="s">
        <v>742</v>
      </c>
      <c r="B334" s="12" t="s">
        <v>2068</v>
      </c>
      <c r="C334" s="13"/>
      <c r="D334" s="779"/>
      <c r="E334" s="19"/>
      <c r="F334" s="20">
        <f>SUM(F335:F339)</f>
        <v>438</v>
      </c>
      <c r="G334" s="20">
        <f t="shared" si="67"/>
        <v>416</v>
      </c>
      <c r="H334" s="271">
        <v>22</v>
      </c>
      <c r="I334" s="929"/>
    </row>
    <row r="335" spans="1:9" s="141" customFormat="1" ht="43.5" hidden="1" customHeight="1">
      <c r="A335" s="112"/>
      <c r="B335" s="148" t="s">
        <v>1380</v>
      </c>
      <c r="C335" s="112"/>
      <c r="D335" s="137"/>
      <c r="E335" s="133">
        <v>15</v>
      </c>
      <c r="F335" s="155">
        <f>D335*E335</f>
        <v>0</v>
      </c>
      <c r="G335" s="155">
        <f t="shared" si="67"/>
        <v>0</v>
      </c>
      <c r="H335" s="271">
        <v>0</v>
      </c>
      <c r="I335" s="280" t="s">
        <v>1774</v>
      </c>
    </row>
    <row r="336" spans="1:9" s="141" customFormat="1" ht="24" hidden="1" customHeight="1">
      <c r="A336" s="112"/>
      <c r="B336" s="148" t="s">
        <v>1381</v>
      </c>
      <c r="C336" s="112" t="s">
        <v>1028</v>
      </c>
      <c r="D336" s="137">
        <v>1</v>
      </c>
      <c r="E336" s="133">
        <v>78</v>
      </c>
      <c r="F336" s="155">
        <f t="shared" ref="F336:F339" si="70">D336*E336</f>
        <v>78</v>
      </c>
      <c r="G336" s="155">
        <f t="shared" si="67"/>
        <v>74</v>
      </c>
      <c r="H336" s="271">
        <v>4</v>
      </c>
      <c r="I336" s="280" t="s">
        <v>1774</v>
      </c>
    </row>
    <row r="337" spans="1:9" s="141" customFormat="1" ht="32.25" hidden="1" customHeight="1">
      <c r="A337" s="112"/>
      <c r="B337" s="148" t="s">
        <v>1382</v>
      </c>
      <c r="C337" s="112" t="s">
        <v>903</v>
      </c>
      <c r="D337" s="137">
        <v>3</v>
      </c>
      <c r="E337" s="133">
        <v>45</v>
      </c>
      <c r="F337" s="155">
        <f t="shared" si="70"/>
        <v>135</v>
      </c>
      <c r="G337" s="155">
        <f t="shared" si="67"/>
        <v>128</v>
      </c>
      <c r="H337" s="271">
        <v>7</v>
      </c>
      <c r="I337" s="280" t="s">
        <v>1774</v>
      </c>
    </row>
    <row r="338" spans="1:9" s="141" customFormat="1" ht="22.5" hidden="1" customHeight="1">
      <c r="A338" s="112"/>
      <c r="B338" s="148" t="s">
        <v>1383</v>
      </c>
      <c r="C338" s="112"/>
      <c r="D338" s="137"/>
      <c r="E338" s="133">
        <v>60</v>
      </c>
      <c r="F338" s="155">
        <f t="shared" si="70"/>
        <v>0</v>
      </c>
      <c r="G338" s="155">
        <f t="shared" si="67"/>
        <v>0</v>
      </c>
      <c r="H338" s="271">
        <v>0</v>
      </c>
      <c r="I338" s="280" t="s">
        <v>1774</v>
      </c>
    </row>
    <row r="339" spans="1:9" s="141" customFormat="1" ht="18" hidden="1" customHeight="1">
      <c r="A339" s="112"/>
      <c r="B339" s="148" t="s">
        <v>1701</v>
      </c>
      <c r="C339" s="112" t="s">
        <v>878</v>
      </c>
      <c r="D339" s="137">
        <v>5</v>
      </c>
      <c r="E339" s="133">
        <v>45</v>
      </c>
      <c r="F339" s="155">
        <f t="shared" si="70"/>
        <v>225</v>
      </c>
      <c r="G339" s="155">
        <f t="shared" si="67"/>
        <v>214</v>
      </c>
      <c r="H339" s="271">
        <v>11</v>
      </c>
      <c r="I339" s="280" t="s">
        <v>1774</v>
      </c>
    </row>
    <row r="340" spans="1:9" s="143" customFormat="1" ht="28.5" hidden="1" customHeight="1">
      <c r="A340" s="119" t="s">
        <v>1227</v>
      </c>
      <c r="B340" s="222" t="s">
        <v>1385</v>
      </c>
      <c r="C340" s="119"/>
      <c r="D340" s="151"/>
      <c r="E340" s="118"/>
      <c r="F340" s="155">
        <f t="shared" si="63"/>
        <v>0</v>
      </c>
      <c r="G340" s="155">
        <f t="shared" si="67"/>
        <v>0</v>
      </c>
      <c r="H340" s="271">
        <v>0</v>
      </c>
      <c r="I340" s="280" t="s">
        <v>1774</v>
      </c>
    </row>
    <row r="341" spans="1:9" s="317" customFormat="1" ht="18" customHeight="1">
      <c r="A341" s="26">
        <v>6</v>
      </c>
      <c r="B341" s="55" t="s">
        <v>15</v>
      </c>
      <c r="C341" s="26"/>
      <c r="D341" s="783"/>
      <c r="E341" s="781"/>
      <c r="F341" s="21">
        <f>+F342+F363+F384</f>
        <v>2376</v>
      </c>
      <c r="G341" s="21">
        <f t="shared" ref="G341:H341" si="71">+G342+G363+G384</f>
        <v>2260</v>
      </c>
      <c r="H341" s="272">
        <f t="shared" si="71"/>
        <v>116</v>
      </c>
      <c r="I341" s="96"/>
    </row>
    <row r="342" spans="1:9" s="319" customFormat="1" ht="26.25" customHeight="1">
      <c r="A342" s="125" t="s">
        <v>911</v>
      </c>
      <c r="B342" s="394" t="s">
        <v>1363</v>
      </c>
      <c r="C342" s="125"/>
      <c r="D342" s="890"/>
      <c r="E342" s="895"/>
      <c r="F342" s="20">
        <f>+F343+F344+F345+F346+F349+F354+F359+F360+F361+F362</f>
        <v>1453</v>
      </c>
      <c r="G342" s="20">
        <f t="shared" ref="G342:H342" si="72">+G343+G344+G345+G346+G349+G354+G359+G360+G361+G362</f>
        <v>1384</v>
      </c>
      <c r="H342" s="273">
        <f t="shared" si="72"/>
        <v>69</v>
      </c>
      <c r="I342" s="929"/>
    </row>
    <row r="343" spans="1:9" s="141" customFormat="1" ht="26.25" hidden="1" customHeight="1">
      <c r="A343" s="112" t="s">
        <v>742</v>
      </c>
      <c r="B343" s="148" t="s">
        <v>1314</v>
      </c>
      <c r="C343" s="112"/>
      <c r="D343" s="137"/>
      <c r="E343" s="133">
        <v>25</v>
      </c>
      <c r="F343" s="155">
        <f t="shared" si="59"/>
        <v>0</v>
      </c>
      <c r="G343" s="155">
        <f t="shared" si="67"/>
        <v>0</v>
      </c>
      <c r="H343" s="273">
        <v>0</v>
      </c>
      <c r="I343" s="280" t="s">
        <v>1774</v>
      </c>
    </row>
    <row r="344" spans="1:9" ht="39">
      <c r="A344" s="13" t="s">
        <v>742</v>
      </c>
      <c r="B344" s="12" t="s">
        <v>1315</v>
      </c>
      <c r="C344" s="13" t="s">
        <v>878</v>
      </c>
      <c r="D344" s="779">
        <v>5</v>
      </c>
      <c r="E344" s="166">
        <v>45</v>
      </c>
      <c r="F344" s="20">
        <f t="shared" ref="F344:F421" si="73">D344*E344</f>
        <v>225</v>
      </c>
      <c r="G344" s="20">
        <f t="shared" si="67"/>
        <v>214</v>
      </c>
      <c r="H344" s="273">
        <v>11</v>
      </c>
      <c r="I344" s="929"/>
    </row>
    <row r="345" spans="1:9" s="141" customFormat="1" ht="26.25" hidden="1" customHeight="1">
      <c r="A345" s="112" t="s">
        <v>742</v>
      </c>
      <c r="B345" s="148" t="s">
        <v>1316</v>
      </c>
      <c r="C345" s="112"/>
      <c r="D345" s="137"/>
      <c r="E345" s="133">
        <v>5</v>
      </c>
      <c r="F345" s="155">
        <f t="shared" si="73"/>
        <v>0</v>
      </c>
      <c r="G345" s="155">
        <f t="shared" si="67"/>
        <v>0</v>
      </c>
      <c r="H345" s="273">
        <v>0</v>
      </c>
      <c r="I345" s="280" t="s">
        <v>1774</v>
      </c>
    </row>
    <row r="346" spans="1:9" ht="67.5" customHeight="1">
      <c r="A346" s="13" t="s">
        <v>742</v>
      </c>
      <c r="B346" s="12" t="s">
        <v>1317</v>
      </c>
      <c r="C346" s="13"/>
      <c r="D346" s="779"/>
      <c r="E346" s="930"/>
      <c r="F346" s="20">
        <f>SUM(F347:F348)</f>
        <v>600</v>
      </c>
      <c r="G346" s="20">
        <f t="shared" si="67"/>
        <v>570</v>
      </c>
      <c r="H346" s="273">
        <v>30</v>
      </c>
      <c r="I346" s="929"/>
    </row>
    <row r="347" spans="1:9" s="141" customFormat="1" ht="18" hidden="1" customHeight="1">
      <c r="A347" s="112"/>
      <c r="B347" s="148" t="s">
        <v>1318</v>
      </c>
      <c r="C347" s="112" t="s">
        <v>903</v>
      </c>
      <c r="D347" s="137">
        <v>5</v>
      </c>
      <c r="E347" s="132">
        <v>50</v>
      </c>
      <c r="F347" s="155">
        <v>250</v>
      </c>
      <c r="G347" s="155">
        <f t="shared" si="67"/>
        <v>237</v>
      </c>
      <c r="H347" s="273">
        <v>13</v>
      </c>
      <c r="I347" s="280" t="s">
        <v>1774</v>
      </c>
    </row>
    <row r="348" spans="1:9" s="141" customFormat="1" ht="18" hidden="1" customHeight="1">
      <c r="A348" s="112"/>
      <c r="B348" s="148" t="s">
        <v>1319</v>
      </c>
      <c r="C348" s="112" t="s">
        <v>875</v>
      </c>
      <c r="D348" s="137">
        <v>5</v>
      </c>
      <c r="E348" s="133">
        <v>70</v>
      </c>
      <c r="F348" s="155">
        <v>350</v>
      </c>
      <c r="G348" s="155">
        <f t="shared" si="67"/>
        <v>332</v>
      </c>
      <c r="H348" s="273">
        <v>18</v>
      </c>
      <c r="I348" s="280" t="s">
        <v>1774</v>
      </c>
    </row>
    <row r="349" spans="1:9" ht="38.25" customHeight="1">
      <c r="A349" s="13" t="s">
        <v>742</v>
      </c>
      <c r="B349" s="12" t="s">
        <v>1320</v>
      </c>
      <c r="C349" s="13" t="s">
        <v>1389</v>
      </c>
      <c r="D349" s="779"/>
      <c r="E349" s="931"/>
      <c r="F349" s="20">
        <f>SUM(F350:F353)</f>
        <v>268</v>
      </c>
      <c r="G349" s="20">
        <f t="shared" si="67"/>
        <v>255</v>
      </c>
      <c r="H349" s="273">
        <v>13</v>
      </c>
      <c r="I349" s="929"/>
    </row>
    <row r="350" spans="1:9" s="141" customFormat="1" ht="26.25" hidden="1" customHeight="1">
      <c r="A350" s="112"/>
      <c r="B350" s="148" t="s">
        <v>1321</v>
      </c>
      <c r="C350" s="112" t="s">
        <v>874</v>
      </c>
      <c r="D350" s="137">
        <v>144</v>
      </c>
      <c r="E350" s="133">
        <v>1</v>
      </c>
      <c r="F350" s="155">
        <f>D350*E350</f>
        <v>144</v>
      </c>
      <c r="G350" s="155">
        <f t="shared" si="67"/>
        <v>137</v>
      </c>
      <c r="H350" s="273">
        <v>7</v>
      </c>
      <c r="I350" s="280" t="s">
        <v>1774</v>
      </c>
    </row>
    <row r="351" spans="1:9" s="141" customFormat="1" ht="25.5" hidden="1" customHeight="1">
      <c r="A351" s="112"/>
      <c r="B351" s="148" t="s">
        <v>1322</v>
      </c>
      <c r="C351" s="112" t="s">
        <v>874</v>
      </c>
      <c r="D351" s="137">
        <v>120</v>
      </c>
      <c r="E351" s="160">
        <v>0.8</v>
      </c>
      <c r="F351" s="155">
        <f>D351*E351</f>
        <v>96</v>
      </c>
      <c r="G351" s="155">
        <f t="shared" si="67"/>
        <v>91</v>
      </c>
      <c r="H351" s="273">
        <v>5</v>
      </c>
      <c r="I351" s="280" t="s">
        <v>1774</v>
      </c>
    </row>
    <row r="352" spans="1:9" s="276" customFormat="1" ht="26.25" hidden="1" customHeight="1">
      <c r="A352" s="256"/>
      <c r="B352" s="255" t="s">
        <v>1323</v>
      </c>
      <c r="C352" s="256" t="s">
        <v>874</v>
      </c>
      <c r="D352" s="262"/>
      <c r="E352" s="282">
        <v>0.5</v>
      </c>
      <c r="F352" s="266">
        <f t="shared" ref="F352" si="74">D352*E352</f>
        <v>0</v>
      </c>
      <c r="G352" s="266">
        <f t="shared" si="67"/>
        <v>0</v>
      </c>
      <c r="H352" s="273">
        <v>0</v>
      </c>
      <c r="I352" s="280" t="s">
        <v>1774</v>
      </c>
    </row>
    <row r="353" spans="1:9" s="141" customFormat="1" ht="26.25" hidden="1" customHeight="1">
      <c r="A353" s="112"/>
      <c r="B353" s="148" t="s">
        <v>1324</v>
      </c>
      <c r="C353" s="112" t="s">
        <v>874</v>
      </c>
      <c r="D353" s="137">
        <v>55</v>
      </c>
      <c r="E353" s="160">
        <v>0.5</v>
      </c>
      <c r="F353" s="155">
        <v>28</v>
      </c>
      <c r="G353" s="155">
        <f t="shared" si="67"/>
        <v>27</v>
      </c>
      <c r="H353" s="273">
        <v>1</v>
      </c>
      <c r="I353" s="280" t="s">
        <v>1774</v>
      </c>
    </row>
    <row r="354" spans="1:9" ht="26.25" customHeight="1">
      <c r="A354" s="13" t="s">
        <v>742</v>
      </c>
      <c r="B354" s="12" t="s">
        <v>1325</v>
      </c>
      <c r="C354" s="13"/>
      <c r="D354" s="779"/>
      <c r="E354" s="166"/>
      <c r="F354" s="20">
        <f>SUM(F355:F358)</f>
        <v>360</v>
      </c>
      <c r="G354" s="20">
        <f t="shared" ref="G354:H354" si="75">SUM(G355:G358)</f>
        <v>345</v>
      </c>
      <c r="H354" s="273">
        <f t="shared" si="75"/>
        <v>15</v>
      </c>
      <c r="I354" s="929"/>
    </row>
    <row r="355" spans="1:9" s="141" customFormat="1" ht="26.25" hidden="1" customHeight="1">
      <c r="A355" s="112"/>
      <c r="B355" s="148" t="s">
        <v>1326</v>
      </c>
      <c r="C355" s="112" t="s">
        <v>902</v>
      </c>
      <c r="D355" s="137">
        <v>4</v>
      </c>
      <c r="E355" s="133">
        <v>75</v>
      </c>
      <c r="F355" s="155">
        <f>D355*E355</f>
        <v>300</v>
      </c>
      <c r="G355" s="155">
        <f t="shared" si="67"/>
        <v>285</v>
      </c>
      <c r="H355" s="273">
        <v>15</v>
      </c>
      <c r="I355" s="280" t="s">
        <v>1774</v>
      </c>
    </row>
    <row r="356" spans="1:9" s="141" customFormat="1" ht="63" hidden="1" customHeight="1">
      <c r="A356" s="112"/>
      <c r="B356" s="148" t="s">
        <v>1327</v>
      </c>
      <c r="C356" s="112" t="s">
        <v>1147</v>
      </c>
      <c r="D356" s="137">
        <v>2</v>
      </c>
      <c r="E356" s="133">
        <v>30</v>
      </c>
      <c r="F356" s="155">
        <f>D356*E356</f>
        <v>60</v>
      </c>
      <c r="G356" s="155">
        <f t="shared" si="67"/>
        <v>60</v>
      </c>
      <c r="H356" s="273"/>
      <c r="I356" s="280" t="s">
        <v>1774</v>
      </c>
    </row>
    <row r="357" spans="1:9" s="141" customFormat="1" ht="57" hidden="1" customHeight="1">
      <c r="A357" s="112"/>
      <c r="B357" s="148" t="s">
        <v>1328</v>
      </c>
      <c r="C357" s="112" t="s">
        <v>875</v>
      </c>
      <c r="D357" s="137"/>
      <c r="E357" s="133">
        <v>66</v>
      </c>
      <c r="F357" s="155">
        <f t="shared" ref="F357:F358" si="76">D357*E357</f>
        <v>0</v>
      </c>
      <c r="G357" s="155">
        <f t="shared" si="67"/>
        <v>0</v>
      </c>
      <c r="H357" s="273">
        <v>0</v>
      </c>
      <c r="I357" s="280" t="s">
        <v>1774</v>
      </c>
    </row>
    <row r="358" spans="1:9" s="276" customFormat="1" ht="39" hidden="1">
      <c r="A358" s="256"/>
      <c r="B358" s="255" t="s">
        <v>1329</v>
      </c>
      <c r="C358" s="256" t="s">
        <v>1034</v>
      </c>
      <c r="D358" s="262"/>
      <c r="E358" s="279">
        <v>50</v>
      </c>
      <c r="F358" s="266">
        <f t="shared" si="76"/>
        <v>0</v>
      </c>
      <c r="G358" s="266">
        <f t="shared" si="67"/>
        <v>0</v>
      </c>
      <c r="H358" s="273">
        <v>0</v>
      </c>
      <c r="I358" s="280" t="s">
        <v>1774</v>
      </c>
    </row>
    <row r="359" spans="1:9" s="276" customFormat="1" ht="26" hidden="1">
      <c r="A359" s="256" t="s">
        <v>742</v>
      </c>
      <c r="B359" s="255" t="s">
        <v>1330</v>
      </c>
      <c r="C359" s="256" t="s">
        <v>902</v>
      </c>
      <c r="D359" s="262"/>
      <c r="E359" s="279">
        <v>40</v>
      </c>
      <c r="F359" s="266">
        <f t="shared" si="73"/>
        <v>0</v>
      </c>
      <c r="G359" s="266">
        <f t="shared" si="67"/>
        <v>0</v>
      </c>
      <c r="H359" s="273">
        <v>0</v>
      </c>
      <c r="I359" s="280" t="s">
        <v>1774</v>
      </c>
    </row>
    <row r="360" spans="1:9" s="276" customFormat="1" ht="59.25" hidden="1" customHeight="1">
      <c r="A360" s="256" t="s">
        <v>742</v>
      </c>
      <c r="B360" s="255" t="s">
        <v>1387</v>
      </c>
      <c r="C360" s="256" t="s">
        <v>1147</v>
      </c>
      <c r="D360" s="262"/>
      <c r="E360" s="279">
        <v>20</v>
      </c>
      <c r="F360" s="266">
        <f>D360*E360</f>
        <v>0</v>
      </c>
      <c r="G360" s="266">
        <f t="shared" si="67"/>
        <v>0</v>
      </c>
      <c r="H360" s="273">
        <v>0</v>
      </c>
      <c r="I360" s="280" t="s">
        <v>1774</v>
      </c>
    </row>
    <row r="361" spans="1:9" s="276" customFormat="1" ht="72" hidden="1" customHeight="1">
      <c r="A361" s="256" t="s">
        <v>742</v>
      </c>
      <c r="B361" s="255" t="s">
        <v>1332</v>
      </c>
      <c r="C361" s="256" t="s">
        <v>875</v>
      </c>
      <c r="D361" s="262"/>
      <c r="E361" s="279">
        <v>66</v>
      </c>
      <c r="F361" s="266">
        <f t="shared" ref="F361" si="77">D361*E361</f>
        <v>0</v>
      </c>
      <c r="G361" s="266">
        <f t="shared" si="67"/>
        <v>0</v>
      </c>
      <c r="H361" s="273">
        <v>0</v>
      </c>
      <c r="I361" s="280" t="s">
        <v>1774</v>
      </c>
    </row>
    <row r="362" spans="1:9" s="276" customFormat="1" ht="42.75" hidden="1" customHeight="1">
      <c r="A362" s="256" t="s">
        <v>742</v>
      </c>
      <c r="B362" s="255" t="s">
        <v>1333</v>
      </c>
      <c r="C362" s="256" t="s">
        <v>1034</v>
      </c>
      <c r="D362" s="262"/>
      <c r="E362" s="279">
        <v>50</v>
      </c>
      <c r="F362" s="266">
        <f t="shared" si="73"/>
        <v>0</v>
      </c>
      <c r="G362" s="266">
        <f t="shared" si="67"/>
        <v>0</v>
      </c>
      <c r="H362" s="273">
        <v>0</v>
      </c>
      <c r="I362" s="280" t="s">
        <v>1774</v>
      </c>
    </row>
    <row r="363" spans="1:9" s="319" customFormat="1" ht="26.25" customHeight="1">
      <c r="A363" s="125" t="s">
        <v>915</v>
      </c>
      <c r="B363" s="394" t="s">
        <v>1364</v>
      </c>
      <c r="C363" s="125"/>
      <c r="D363" s="890"/>
      <c r="E363" s="895"/>
      <c r="F363" s="20">
        <f>+F364+F369+F370+F376+F377+F378</f>
        <v>923</v>
      </c>
      <c r="G363" s="20">
        <f>+G364+G369+G370+G376+G377+G378</f>
        <v>876</v>
      </c>
      <c r="H363" s="273">
        <f>+H364+H369+H370+H376+H377+H378</f>
        <v>47</v>
      </c>
      <c r="I363" s="929"/>
    </row>
    <row r="364" spans="1:9" ht="18" customHeight="1">
      <c r="A364" s="13" t="s">
        <v>742</v>
      </c>
      <c r="B364" s="12" t="s">
        <v>1365</v>
      </c>
      <c r="C364" s="13"/>
      <c r="D364" s="779"/>
      <c r="E364" s="19"/>
      <c r="F364" s="20">
        <f>SUM(F365:F368)</f>
        <v>120</v>
      </c>
      <c r="G364" s="20">
        <f t="shared" si="67"/>
        <v>114</v>
      </c>
      <c r="H364" s="273">
        <v>6</v>
      </c>
      <c r="I364" s="96"/>
    </row>
    <row r="365" spans="1:9" s="141" customFormat="1" ht="39.75" hidden="1" customHeight="1">
      <c r="A365" s="112"/>
      <c r="B365" s="148" t="s">
        <v>1366</v>
      </c>
      <c r="C365" s="112" t="s">
        <v>878</v>
      </c>
      <c r="D365" s="137">
        <v>3</v>
      </c>
      <c r="E365" s="133">
        <v>40</v>
      </c>
      <c r="F365" s="155">
        <f t="shared" si="73"/>
        <v>120</v>
      </c>
      <c r="G365" s="155">
        <f t="shared" si="67"/>
        <v>114</v>
      </c>
      <c r="H365" s="273">
        <v>6</v>
      </c>
      <c r="I365" s="280" t="s">
        <v>1774</v>
      </c>
    </row>
    <row r="366" spans="1:9" s="276" customFormat="1" ht="33.75" hidden="1" customHeight="1">
      <c r="A366" s="256"/>
      <c r="B366" s="255" t="s">
        <v>1367</v>
      </c>
      <c r="C366" s="256" t="s">
        <v>902</v>
      </c>
      <c r="D366" s="262"/>
      <c r="E366" s="279">
        <v>50</v>
      </c>
      <c r="F366" s="266">
        <f t="shared" si="73"/>
        <v>0</v>
      </c>
      <c r="G366" s="266">
        <f t="shared" si="67"/>
        <v>0</v>
      </c>
      <c r="H366" s="273">
        <v>0</v>
      </c>
      <c r="I366" s="280" t="s">
        <v>1774</v>
      </c>
    </row>
    <row r="367" spans="1:9" s="276" customFormat="1" ht="34.5" hidden="1" customHeight="1">
      <c r="A367" s="256"/>
      <c r="B367" s="255" t="s">
        <v>1368</v>
      </c>
      <c r="C367" s="256" t="s">
        <v>1342</v>
      </c>
      <c r="D367" s="262"/>
      <c r="E367" s="279">
        <v>40</v>
      </c>
      <c r="F367" s="266">
        <f t="shared" si="73"/>
        <v>0</v>
      </c>
      <c r="G367" s="266">
        <f t="shared" si="67"/>
        <v>0</v>
      </c>
      <c r="H367" s="273">
        <v>0</v>
      </c>
      <c r="I367" s="280" t="s">
        <v>1774</v>
      </c>
    </row>
    <row r="368" spans="1:9" s="276" customFormat="1" ht="33.75" hidden="1" customHeight="1">
      <c r="A368" s="256"/>
      <c r="B368" s="255" t="s">
        <v>1369</v>
      </c>
      <c r="C368" s="256" t="s">
        <v>1208</v>
      </c>
      <c r="D368" s="262"/>
      <c r="E368" s="283">
        <f>15000/1000000</f>
        <v>1.4999999999999999E-2</v>
      </c>
      <c r="F368" s="266">
        <f t="shared" si="73"/>
        <v>0</v>
      </c>
      <c r="G368" s="266">
        <f t="shared" si="67"/>
        <v>0</v>
      </c>
      <c r="H368" s="273">
        <v>0</v>
      </c>
      <c r="I368" s="280" t="s">
        <v>1774</v>
      </c>
    </row>
    <row r="369" spans="1:9" s="141" customFormat="1" ht="45" hidden="1" customHeight="1">
      <c r="A369" s="112" t="s">
        <v>742</v>
      </c>
      <c r="B369" s="154" t="s">
        <v>1370</v>
      </c>
      <c r="C369" s="122"/>
      <c r="D369" s="149"/>
      <c r="E369" s="146"/>
      <c r="F369" s="155">
        <f t="shared" si="73"/>
        <v>0</v>
      </c>
      <c r="G369" s="155">
        <f t="shared" si="67"/>
        <v>0</v>
      </c>
      <c r="H369" s="273">
        <v>0</v>
      </c>
      <c r="I369" s="280" t="s">
        <v>1774</v>
      </c>
    </row>
    <row r="370" spans="1:9" ht="65">
      <c r="A370" s="13" t="s">
        <v>742</v>
      </c>
      <c r="B370" s="12" t="s">
        <v>1371</v>
      </c>
      <c r="C370" s="13"/>
      <c r="D370" s="779"/>
      <c r="E370" s="19"/>
      <c r="F370" s="20">
        <f>SUM(F371:F375)</f>
        <v>173</v>
      </c>
      <c r="G370" s="20">
        <f t="shared" ref="G370:H370" si="78">SUM(G371:G375)</f>
        <v>164</v>
      </c>
      <c r="H370" s="273">
        <f t="shared" si="78"/>
        <v>9</v>
      </c>
      <c r="I370" s="929"/>
    </row>
    <row r="371" spans="1:9" s="141" customFormat="1" ht="39" hidden="1" customHeight="1">
      <c r="A371" s="112"/>
      <c r="B371" s="148" t="s">
        <v>1372</v>
      </c>
      <c r="C371" s="112" t="s">
        <v>903</v>
      </c>
      <c r="D371" s="137">
        <v>1</v>
      </c>
      <c r="E371" s="133">
        <v>30</v>
      </c>
      <c r="F371" s="155">
        <f t="shared" si="73"/>
        <v>30</v>
      </c>
      <c r="G371" s="155">
        <f t="shared" si="67"/>
        <v>28</v>
      </c>
      <c r="H371" s="273">
        <v>2</v>
      </c>
      <c r="I371" s="280" t="s">
        <v>1774</v>
      </c>
    </row>
    <row r="372" spans="1:9" s="141" customFormat="1" ht="65" hidden="1">
      <c r="A372" s="112"/>
      <c r="B372" s="148" t="s">
        <v>1373</v>
      </c>
      <c r="C372" s="112" t="s">
        <v>875</v>
      </c>
      <c r="D372" s="137">
        <v>1</v>
      </c>
      <c r="E372" s="133">
        <v>143</v>
      </c>
      <c r="F372" s="155">
        <f t="shared" si="73"/>
        <v>143</v>
      </c>
      <c r="G372" s="155">
        <f t="shared" si="67"/>
        <v>136</v>
      </c>
      <c r="H372" s="273">
        <v>7</v>
      </c>
      <c r="I372" s="280" t="s">
        <v>1774</v>
      </c>
    </row>
    <row r="373" spans="1:9" s="141" customFormat="1" ht="51" hidden="1" customHeight="1">
      <c r="A373" s="112"/>
      <c r="B373" s="148" t="s">
        <v>1374</v>
      </c>
      <c r="C373" s="112"/>
      <c r="D373" s="137"/>
      <c r="E373" s="113"/>
      <c r="F373" s="155">
        <f t="shared" si="73"/>
        <v>0</v>
      </c>
      <c r="G373" s="155">
        <f t="shared" si="67"/>
        <v>0</v>
      </c>
      <c r="H373" s="273">
        <v>0</v>
      </c>
      <c r="I373" s="280" t="s">
        <v>1774</v>
      </c>
    </row>
    <row r="374" spans="1:9" s="141" customFormat="1" ht="35.25" hidden="1" customHeight="1">
      <c r="A374" s="112"/>
      <c r="B374" s="148" t="s">
        <v>1375</v>
      </c>
      <c r="C374" s="112"/>
      <c r="D374" s="137"/>
      <c r="E374" s="113"/>
      <c r="F374" s="155">
        <f t="shared" si="73"/>
        <v>0</v>
      </c>
      <c r="G374" s="155">
        <f t="shared" si="67"/>
        <v>0</v>
      </c>
      <c r="H374" s="273">
        <v>0</v>
      </c>
      <c r="I374" s="280" t="s">
        <v>1774</v>
      </c>
    </row>
    <row r="375" spans="1:9" s="141" customFormat="1" ht="54" hidden="1" customHeight="1">
      <c r="A375" s="112"/>
      <c r="B375" s="148" t="s">
        <v>1376</v>
      </c>
      <c r="C375" s="112"/>
      <c r="D375" s="137"/>
      <c r="E375" s="113"/>
      <c r="F375" s="155">
        <f t="shared" si="73"/>
        <v>0</v>
      </c>
      <c r="G375" s="155">
        <f t="shared" si="67"/>
        <v>0</v>
      </c>
      <c r="H375" s="273">
        <v>0</v>
      </c>
      <c r="I375" s="280" t="s">
        <v>1774</v>
      </c>
    </row>
    <row r="376" spans="1:9" s="141" customFormat="1" ht="32.25" hidden="1" customHeight="1">
      <c r="A376" s="112" t="s">
        <v>742</v>
      </c>
      <c r="B376" s="148" t="s">
        <v>1377</v>
      </c>
      <c r="C376" s="112"/>
      <c r="D376" s="137"/>
      <c r="E376" s="113"/>
      <c r="F376" s="155">
        <f t="shared" si="73"/>
        <v>0</v>
      </c>
      <c r="G376" s="155">
        <f t="shared" si="67"/>
        <v>0</v>
      </c>
      <c r="H376" s="273">
        <v>0</v>
      </c>
      <c r="I376" s="280" t="s">
        <v>1774</v>
      </c>
    </row>
    <row r="377" spans="1:9" s="141" customFormat="1" ht="26.25" hidden="1" customHeight="1">
      <c r="A377" s="112" t="s">
        <v>742</v>
      </c>
      <c r="B377" s="148" t="s">
        <v>1378</v>
      </c>
      <c r="C377" s="112"/>
      <c r="D377" s="137"/>
      <c r="E377" s="113"/>
      <c r="F377" s="155">
        <f t="shared" si="73"/>
        <v>0</v>
      </c>
      <c r="G377" s="155">
        <f t="shared" si="67"/>
        <v>0</v>
      </c>
      <c r="H377" s="273">
        <v>0</v>
      </c>
      <c r="I377" s="280" t="s">
        <v>1774</v>
      </c>
    </row>
    <row r="378" spans="1:9" ht="28.5" customHeight="1">
      <c r="A378" s="13" t="s">
        <v>742</v>
      </c>
      <c r="B378" s="12" t="s">
        <v>1379</v>
      </c>
      <c r="C378" s="13"/>
      <c r="D378" s="779"/>
      <c r="E378" s="19"/>
      <c r="F378" s="20">
        <f>SUM(F379:F383)</f>
        <v>630</v>
      </c>
      <c r="G378" s="20">
        <f>SUM(G379:G383)</f>
        <v>598</v>
      </c>
      <c r="H378" s="273">
        <f>SUM(H379:H383)</f>
        <v>32</v>
      </c>
      <c r="I378" s="929"/>
    </row>
    <row r="379" spans="1:9" s="141" customFormat="1" ht="43.5" hidden="1" customHeight="1">
      <c r="A379" s="112"/>
      <c r="B379" s="148" t="s">
        <v>1380</v>
      </c>
      <c r="C379" s="112"/>
      <c r="D379" s="137"/>
      <c r="E379" s="133">
        <v>15</v>
      </c>
      <c r="F379" s="155">
        <f>D379*E379</f>
        <v>0</v>
      </c>
      <c r="G379" s="155">
        <f t="shared" ref="G379:G441" si="79">F379-H379</f>
        <v>0</v>
      </c>
      <c r="H379" s="273">
        <v>0</v>
      </c>
      <c r="I379" s="280" t="s">
        <v>1774</v>
      </c>
    </row>
    <row r="380" spans="1:9" s="141" customFormat="1" ht="26" hidden="1">
      <c r="A380" s="112"/>
      <c r="B380" s="148" t="s">
        <v>1381</v>
      </c>
      <c r="C380" s="112" t="s">
        <v>1028</v>
      </c>
      <c r="D380" s="137"/>
      <c r="E380" s="133">
        <v>70</v>
      </c>
      <c r="F380" s="155">
        <f t="shared" ref="F380:F383" si="80">D380*E380</f>
        <v>0</v>
      </c>
      <c r="G380" s="155">
        <f t="shared" si="79"/>
        <v>0</v>
      </c>
      <c r="H380" s="273">
        <v>0</v>
      </c>
      <c r="I380" s="280" t="s">
        <v>1774</v>
      </c>
    </row>
    <row r="381" spans="1:9" s="141" customFormat="1" ht="32.25" hidden="1" customHeight="1">
      <c r="A381" s="112"/>
      <c r="B381" s="148" t="s">
        <v>1382</v>
      </c>
      <c r="C381" s="112" t="s">
        <v>903</v>
      </c>
      <c r="D381" s="137">
        <v>7</v>
      </c>
      <c r="E381" s="133">
        <v>45</v>
      </c>
      <c r="F381" s="155">
        <f t="shared" si="80"/>
        <v>315</v>
      </c>
      <c r="G381" s="155">
        <f>F381-H381</f>
        <v>299</v>
      </c>
      <c r="H381" s="273">
        <v>16</v>
      </c>
      <c r="I381" s="280" t="s">
        <v>1774</v>
      </c>
    </row>
    <row r="382" spans="1:9" s="141" customFormat="1" ht="22.5" hidden="1" customHeight="1">
      <c r="A382" s="112"/>
      <c r="B382" s="148" t="s">
        <v>1383</v>
      </c>
      <c r="C382" s="112"/>
      <c r="D382" s="137"/>
      <c r="E382" s="133">
        <v>60</v>
      </c>
      <c r="F382" s="155">
        <f t="shared" si="80"/>
        <v>0</v>
      </c>
      <c r="G382" s="155">
        <f t="shared" si="79"/>
        <v>0</v>
      </c>
      <c r="H382" s="273">
        <v>0</v>
      </c>
      <c r="I382" s="280" t="s">
        <v>1774</v>
      </c>
    </row>
    <row r="383" spans="1:9" s="141" customFormat="1" ht="18" hidden="1" customHeight="1">
      <c r="A383" s="112"/>
      <c r="B383" s="148" t="s">
        <v>1384</v>
      </c>
      <c r="C383" s="112" t="s">
        <v>878</v>
      </c>
      <c r="D383" s="137">
        <v>7</v>
      </c>
      <c r="E383" s="133">
        <v>45</v>
      </c>
      <c r="F383" s="155">
        <f t="shared" si="80"/>
        <v>315</v>
      </c>
      <c r="G383" s="155">
        <f>F383-H383</f>
        <v>299</v>
      </c>
      <c r="H383" s="273">
        <v>16</v>
      </c>
      <c r="I383" s="280" t="s">
        <v>1774</v>
      </c>
    </row>
    <row r="384" spans="1:9" s="143" customFormat="1" ht="26" hidden="1">
      <c r="A384" s="119" t="s">
        <v>1227</v>
      </c>
      <c r="B384" s="222" t="s">
        <v>1385</v>
      </c>
      <c r="C384" s="119"/>
      <c r="D384" s="151"/>
      <c r="E384" s="118"/>
      <c r="F384" s="155">
        <f t="shared" si="73"/>
        <v>0</v>
      </c>
      <c r="G384" s="155">
        <f t="shared" si="79"/>
        <v>0</v>
      </c>
      <c r="H384" s="271">
        <v>0</v>
      </c>
      <c r="I384" s="280" t="s">
        <v>1774</v>
      </c>
    </row>
    <row r="385" spans="1:9" s="317" customFormat="1" ht="18" customHeight="1">
      <c r="A385" s="26">
        <v>7</v>
      </c>
      <c r="B385" s="55" t="s">
        <v>13</v>
      </c>
      <c r="C385" s="26"/>
      <c r="D385" s="783"/>
      <c r="E385" s="781"/>
      <c r="F385" s="21">
        <f>+F386+F407+F428</f>
        <v>1187</v>
      </c>
      <c r="G385" s="21">
        <f t="shared" ref="G385:H385" si="81">+G386+G407+G428</f>
        <v>1130</v>
      </c>
      <c r="H385" s="272">
        <f t="shared" si="81"/>
        <v>57</v>
      </c>
      <c r="I385" s="929"/>
    </row>
    <row r="386" spans="1:9" s="319" customFormat="1" ht="26.25" customHeight="1">
      <c r="A386" s="125" t="s">
        <v>911</v>
      </c>
      <c r="B386" s="394" t="s">
        <v>1363</v>
      </c>
      <c r="C386" s="125"/>
      <c r="D386" s="890"/>
      <c r="E386" s="895"/>
      <c r="F386" s="20">
        <f>+F387+F388+F389+F390+F393+F398+F403+F404+F405+F406</f>
        <v>725</v>
      </c>
      <c r="G386" s="20">
        <f t="shared" ref="G386:H386" si="82">+G387+G388+G389+G390+G393+G398+G403+G404+G405+G406</f>
        <v>690</v>
      </c>
      <c r="H386" s="271">
        <f t="shared" si="82"/>
        <v>35</v>
      </c>
      <c r="I386" s="929"/>
    </row>
    <row r="387" spans="1:9" s="141" customFormat="1" ht="26.25" hidden="1" customHeight="1">
      <c r="A387" s="112" t="s">
        <v>742</v>
      </c>
      <c r="B387" s="148" t="s">
        <v>1314</v>
      </c>
      <c r="C387" s="112"/>
      <c r="D387" s="137"/>
      <c r="E387" s="133">
        <v>25</v>
      </c>
      <c r="F387" s="155">
        <f t="shared" si="73"/>
        <v>0</v>
      </c>
      <c r="G387" s="155">
        <f t="shared" si="79"/>
        <v>0</v>
      </c>
      <c r="H387" s="271">
        <v>0</v>
      </c>
      <c r="I387" s="280" t="s">
        <v>1774</v>
      </c>
    </row>
    <row r="388" spans="1:9" s="141" customFormat="1" ht="26.25" hidden="1" customHeight="1">
      <c r="A388" s="112" t="s">
        <v>742</v>
      </c>
      <c r="B388" s="148" t="s">
        <v>1315</v>
      </c>
      <c r="C388" s="112" t="s">
        <v>878</v>
      </c>
      <c r="D388" s="137"/>
      <c r="E388" s="133">
        <v>40</v>
      </c>
      <c r="F388" s="155">
        <f t="shared" si="73"/>
        <v>0</v>
      </c>
      <c r="G388" s="155">
        <f t="shared" si="79"/>
        <v>0</v>
      </c>
      <c r="H388" s="271">
        <v>0</v>
      </c>
      <c r="I388" s="280" t="s">
        <v>1774</v>
      </c>
    </row>
    <row r="389" spans="1:9" s="141" customFormat="1" ht="26.25" hidden="1" customHeight="1">
      <c r="A389" s="112" t="s">
        <v>742</v>
      </c>
      <c r="B389" s="148" t="s">
        <v>1316</v>
      </c>
      <c r="C389" s="112"/>
      <c r="D389" s="137"/>
      <c r="E389" s="133">
        <v>5</v>
      </c>
      <c r="F389" s="155">
        <f t="shared" si="73"/>
        <v>0</v>
      </c>
      <c r="G389" s="155">
        <f t="shared" si="79"/>
        <v>0</v>
      </c>
      <c r="H389" s="271">
        <v>0</v>
      </c>
      <c r="I389" s="280" t="s">
        <v>1774</v>
      </c>
    </row>
    <row r="390" spans="1:9" ht="63.75" customHeight="1">
      <c r="A390" s="13" t="s">
        <v>742</v>
      </c>
      <c r="B390" s="12" t="s">
        <v>1317</v>
      </c>
      <c r="C390" s="13"/>
      <c r="D390" s="779"/>
      <c r="E390" s="930"/>
      <c r="F390" s="20">
        <f>SUM(F391:F392)</f>
        <v>310</v>
      </c>
      <c r="G390" s="20">
        <f t="shared" ref="G390:H390" si="83">SUM(G391:G392)</f>
        <v>296</v>
      </c>
      <c r="H390" s="271">
        <f t="shared" si="83"/>
        <v>14</v>
      </c>
      <c r="I390" s="929"/>
    </row>
    <row r="391" spans="1:9" s="141" customFormat="1" ht="21.75" hidden="1" customHeight="1">
      <c r="A391" s="112"/>
      <c r="B391" s="148" t="s">
        <v>1318</v>
      </c>
      <c r="C391" s="112" t="s">
        <v>903</v>
      </c>
      <c r="D391" s="137">
        <v>3</v>
      </c>
      <c r="E391" s="132">
        <v>45</v>
      </c>
      <c r="F391" s="155">
        <v>135</v>
      </c>
      <c r="G391" s="155">
        <f t="shared" si="79"/>
        <v>130</v>
      </c>
      <c r="H391" s="271">
        <v>5</v>
      </c>
      <c r="I391" s="280" t="s">
        <v>1774</v>
      </c>
    </row>
    <row r="392" spans="1:9" s="141" customFormat="1" ht="21.75" hidden="1" customHeight="1">
      <c r="A392" s="112"/>
      <c r="B392" s="148" t="s">
        <v>1319</v>
      </c>
      <c r="C392" s="112" t="s">
        <v>875</v>
      </c>
      <c r="D392" s="137">
        <v>5</v>
      </c>
      <c r="E392" s="133">
        <v>35</v>
      </c>
      <c r="F392" s="155">
        <v>175</v>
      </c>
      <c r="G392" s="155">
        <f>F392-H392</f>
        <v>166</v>
      </c>
      <c r="H392" s="271">
        <v>9</v>
      </c>
      <c r="I392" s="280" t="s">
        <v>1774</v>
      </c>
    </row>
    <row r="393" spans="1:9" s="276" customFormat="1" ht="39" hidden="1" customHeight="1">
      <c r="A393" s="256" t="s">
        <v>742</v>
      </c>
      <c r="B393" s="255" t="s">
        <v>1320</v>
      </c>
      <c r="C393" s="256"/>
      <c r="D393" s="262"/>
      <c r="E393" s="282"/>
      <c r="F393" s="266">
        <f>SUM(F394:F397)</f>
        <v>0</v>
      </c>
      <c r="G393" s="266">
        <f t="shared" si="79"/>
        <v>0</v>
      </c>
      <c r="H393" s="271">
        <v>0</v>
      </c>
      <c r="I393" s="280" t="s">
        <v>1774</v>
      </c>
    </row>
    <row r="394" spans="1:9" s="276" customFormat="1" ht="26.25" hidden="1" customHeight="1">
      <c r="A394" s="256"/>
      <c r="B394" s="255" t="s">
        <v>1321</v>
      </c>
      <c r="C394" s="256" t="s">
        <v>874</v>
      </c>
      <c r="D394" s="262"/>
      <c r="E394" s="279">
        <v>1</v>
      </c>
      <c r="F394" s="266">
        <f>D394*E394</f>
        <v>0</v>
      </c>
      <c r="G394" s="266">
        <f t="shared" si="79"/>
        <v>0</v>
      </c>
      <c r="H394" s="271">
        <v>0</v>
      </c>
      <c r="I394" s="280" t="s">
        <v>1774</v>
      </c>
    </row>
    <row r="395" spans="1:9" s="276" customFormat="1" ht="25.5" hidden="1" customHeight="1">
      <c r="A395" s="256"/>
      <c r="B395" s="255" t="s">
        <v>1322</v>
      </c>
      <c r="C395" s="256" t="s">
        <v>874</v>
      </c>
      <c r="D395" s="262"/>
      <c r="E395" s="282">
        <v>0.8</v>
      </c>
      <c r="F395" s="266">
        <f>D395*E395</f>
        <v>0</v>
      </c>
      <c r="G395" s="266">
        <f t="shared" si="79"/>
        <v>0</v>
      </c>
      <c r="H395" s="271">
        <v>0</v>
      </c>
      <c r="I395" s="280" t="s">
        <v>1774</v>
      </c>
    </row>
    <row r="396" spans="1:9" s="276" customFormat="1" ht="26.25" hidden="1" customHeight="1">
      <c r="A396" s="256"/>
      <c r="B396" s="255" t="s">
        <v>1323</v>
      </c>
      <c r="C396" s="256" t="s">
        <v>874</v>
      </c>
      <c r="D396" s="262"/>
      <c r="E396" s="282">
        <v>0.5</v>
      </c>
      <c r="F396" s="266">
        <f t="shared" ref="F396:F397" si="84">D396*E396</f>
        <v>0</v>
      </c>
      <c r="G396" s="266">
        <f t="shared" si="79"/>
        <v>0</v>
      </c>
      <c r="H396" s="271">
        <v>0</v>
      </c>
      <c r="I396" s="280" t="s">
        <v>1774</v>
      </c>
    </row>
    <row r="397" spans="1:9" s="276" customFormat="1" ht="26.25" hidden="1" customHeight="1">
      <c r="A397" s="256"/>
      <c r="B397" s="255" t="s">
        <v>1324</v>
      </c>
      <c r="C397" s="256" t="s">
        <v>874</v>
      </c>
      <c r="D397" s="262"/>
      <c r="E397" s="282">
        <v>0.5</v>
      </c>
      <c r="F397" s="266">
        <f t="shared" si="84"/>
        <v>0</v>
      </c>
      <c r="G397" s="266">
        <f t="shared" si="79"/>
        <v>0</v>
      </c>
      <c r="H397" s="271">
        <v>0</v>
      </c>
      <c r="I397" s="280" t="s">
        <v>1774</v>
      </c>
    </row>
    <row r="398" spans="1:9" ht="26.25" customHeight="1">
      <c r="A398" s="13" t="s">
        <v>742</v>
      </c>
      <c r="B398" s="12" t="s">
        <v>1325</v>
      </c>
      <c r="C398" s="13"/>
      <c r="D398" s="779"/>
      <c r="E398" s="166"/>
      <c r="F398" s="20">
        <f>SUM(F399:F402)</f>
        <v>415</v>
      </c>
      <c r="G398" s="20">
        <f t="shared" si="79"/>
        <v>394</v>
      </c>
      <c r="H398" s="271">
        <v>21</v>
      </c>
      <c r="I398" s="929"/>
    </row>
    <row r="399" spans="1:9" s="141" customFormat="1" ht="26.25" hidden="1" customHeight="1">
      <c r="A399" s="112"/>
      <c r="B399" s="148" t="s">
        <v>1326</v>
      </c>
      <c r="C399" s="112" t="s">
        <v>902</v>
      </c>
      <c r="D399" s="137"/>
      <c r="E399" s="133">
        <v>80</v>
      </c>
      <c r="F399" s="155">
        <f>D399*E399</f>
        <v>0</v>
      </c>
      <c r="G399" s="155">
        <f t="shared" si="79"/>
        <v>0</v>
      </c>
      <c r="H399" s="271">
        <v>0</v>
      </c>
      <c r="I399" s="280" t="s">
        <v>1774</v>
      </c>
    </row>
    <row r="400" spans="1:9" s="276" customFormat="1" ht="60" hidden="1" customHeight="1">
      <c r="A400" s="256"/>
      <c r="B400" s="255" t="s">
        <v>1386</v>
      </c>
      <c r="C400" s="256" t="s">
        <v>878</v>
      </c>
      <c r="D400" s="262"/>
      <c r="E400" s="279">
        <v>40</v>
      </c>
      <c r="F400" s="266">
        <f>D400*E400</f>
        <v>0</v>
      </c>
      <c r="G400" s="266">
        <f t="shared" si="79"/>
        <v>0</v>
      </c>
      <c r="H400" s="271">
        <v>0</v>
      </c>
      <c r="I400" s="280" t="s">
        <v>1774</v>
      </c>
    </row>
    <row r="401" spans="1:9" s="141" customFormat="1" ht="65" hidden="1">
      <c r="A401" s="112"/>
      <c r="B401" s="148" t="s">
        <v>1328</v>
      </c>
      <c r="C401" s="112" t="s">
        <v>875</v>
      </c>
      <c r="D401" s="137">
        <v>4</v>
      </c>
      <c r="E401" s="133">
        <v>70</v>
      </c>
      <c r="F401" s="155">
        <f t="shared" ref="F401:F402" si="85">D401*E401</f>
        <v>280</v>
      </c>
      <c r="G401" s="155">
        <f t="shared" si="79"/>
        <v>266</v>
      </c>
      <c r="H401" s="271">
        <v>14</v>
      </c>
      <c r="I401" s="280" t="s">
        <v>1774</v>
      </c>
    </row>
    <row r="402" spans="1:9" ht="39">
      <c r="A402" s="13"/>
      <c r="B402" s="12" t="s">
        <v>1329</v>
      </c>
      <c r="C402" s="13" t="s">
        <v>1034</v>
      </c>
      <c r="D402" s="779">
        <v>3</v>
      </c>
      <c r="E402" s="166">
        <v>45</v>
      </c>
      <c r="F402" s="20">
        <f t="shared" si="85"/>
        <v>135</v>
      </c>
      <c r="G402" s="20">
        <f t="shared" si="79"/>
        <v>128</v>
      </c>
      <c r="H402" s="271">
        <v>7</v>
      </c>
      <c r="I402" s="96"/>
    </row>
    <row r="403" spans="1:9" s="276" customFormat="1" ht="22.5" hidden="1" customHeight="1">
      <c r="A403" s="256" t="s">
        <v>742</v>
      </c>
      <c r="B403" s="255" t="s">
        <v>1330</v>
      </c>
      <c r="C403" s="256" t="s">
        <v>902</v>
      </c>
      <c r="D403" s="262"/>
      <c r="E403" s="279">
        <v>40</v>
      </c>
      <c r="F403" s="266">
        <f t="shared" si="73"/>
        <v>0</v>
      </c>
      <c r="G403" s="266">
        <f t="shared" si="79"/>
        <v>0</v>
      </c>
      <c r="H403" s="271">
        <v>0</v>
      </c>
      <c r="I403" s="280" t="s">
        <v>1774</v>
      </c>
    </row>
    <row r="404" spans="1:9" s="276" customFormat="1" ht="57.75" hidden="1" customHeight="1">
      <c r="A404" s="256" t="s">
        <v>742</v>
      </c>
      <c r="B404" s="255" t="s">
        <v>1388</v>
      </c>
      <c r="C404" s="256" t="s">
        <v>1147</v>
      </c>
      <c r="D404" s="262"/>
      <c r="E404" s="279">
        <v>30</v>
      </c>
      <c r="F404" s="266">
        <f t="shared" si="73"/>
        <v>0</v>
      </c>
      <c r="G404" s="266">
        <f t="shared" si="79"/>
        <v>0</v>
      </c>
      <c r="H404" s="271">
        <v>0</v>
      </c>
      <c r="I404" s="280" t="s">
        <v>1774</v>
      </c>
    </row>
    <row r="405" spans="1:9" s="276" customFormat="1" ht="65.25" hidden="1" customHeight="1">
      <c r="A405" s="256" t="s">
        <v>742</v>
      </c>
      <c r="B405" s="255" t="s">
        <v>1332</v>
      </c>
      <c r="C405" s="256"/>
      <c r="D405" s="262"/>
      <c r="E405" s="278"/>
      <c r="F405" s="266">
        <f t="shared" si="73"/>
        <v>0</v>
      </c>
      <c r="G405" s="266">
        <f t="shared" si="79"/>
        <v>0</v>
      </c>
      <c r="H405" s="271">
        <v>0</v>
      </c>
      <c r="I405" s="280" t="s">
        <v>1774</v>
      </c>
    </row>
    <row r="406" spans="1:9" s="276" customFormat="1" ht="40.5" hidden="1" customHeight="1">
      <c r="A406" s="256" t="s">
        <v>742</v>
      </c>
      <c r="B406" s="255" t="s">
        <v>1333</v>
      </c>
      <c r="C406" s="256" t="s">
        <v>1034</v>
      </c>
      <c r="D406" s="262"/>
      <c r="E406" s="279">
        <v>50</v>
      </c>
      <c r="F406" s="266">
        <f t="shared" si="73"/>
        <v>0</v>
      </c>
      <c r="G406" s="266">
        <f t="shared" si="79"/>
        <v>0</v>
      </c>
      <c r="H406" s="271">
        <v>0</v>
      </c>
      <c r="I406" s="280" t="s">
        <v>1774</v>
      </c>
    </row>
    <row r="407" spans="1:9" s="319" customFormat="1" ht="26.25" customHeight="1">
      <c r="A407" s="125" t="s">
        <v>915</v>
      </c>
      <c r="B407" s="394" t="s">
        <v>1364</v>
      </c>
      <c r="C407" s="125"/>
      <c r="D407" s="890"/>
      <c r="E407" s="895"/>
      <c r="F407" s="20">
        <f>+F408+F413+F414+F420+F421+F422</f>
        <v>462</v>
      </c>
      <c r="G407" s="20">
        <f t="shared" ref="G407:H407" si="86">+G408+G413+G414+G420+G421+G422</f>
        <v>440</v>
      </c>
      <c r="H407" s="271">
        <f t="shared" si="86"/>
        <v>22</v>
      </c>
      <c r="I407" s="96"/>
    </row>
    <row r="408" spans="1:9" ht="18" customHeight="1">
      <c r="A408" s="13" t="s">
        <v>742</v>
      </c>
      <c r="B408" s="12" t="s">
        <v>1365</v>
      </c>
      <c r="C408" s="13"/>
      <c r="D408" s="779"/>
      <c r="E408" s="19"/>
      <c r="F408" s="20">
        <f>SUM(F409:F412)</f>
        <v>96</v>
      </c>
      <c r="G408" s="20">
        <f t="shared" ref="G408:H408" si="87">SUM(G409:G412)</f>
        <v>95</v>
      </c>
      <c r="H408" s="271">
        <f t="shared" si="87"/>
        <v>1</v>
      </c>
      <c r="I408" s="96"/>
    </row>
    <row r="409" spans="1:9" s="141" customFormat="1" ht="39.75" hidden="1" customHeight="1">
      <c r="A409" s="112"/>
      <c r="B409" s="148" t="s">
        <v>1366</v>
      </c>
      <c r="C409" s="112" t="s">
        <v>878</v>
      </c>
      <c r="D409" s="137">
        <v>3</v>
      </c>
      <c r="E409" s="133">
        <v>32</v>
      </c>
      <c r="F409" s="155">
        <f t="shared" si="73"/>
        <v>96</v>
      </c>
      <c r="G409" s="155">
        <f>F409-H409</f>
        <v>95</v>
      </c>
      <c r="H409" s="271">
        <v>1</v>
      </c>
      <c r="I409" s="466" t="s">
        <v>1774</v>
      </c>
    </row>
    <row r="410" spans="1:9" s="276" customFormat="1" ht="33.75" hidden="1" customHeight="1">
      <c r="A410" s="256"/>
      <c r="B410" s="255" t="s">
        <v>1367</v>
      </c>
      <c r="C410" s="256" t="s">
        <v>902</v>
      </c>
      <c r="D410" s="262"/>
      <c r="E410" s="279">
        <v>50</v>
      </c>
      <c r="F410" s="266">
        <f t="shared" si="73"/>
        <v>0</v>
      </c>
      <c r="G410" s="266">
        <f t="shared" si="79"/>
        <v>0</v>
      </c>
      <c r="H410" s="271">
        <v>0</v>
      </c>
      <c r="I410" s="466" t="s">
        <v>1774</v>
      </c>
    </row>
    <row r="411" spans="1:9" s="276" customFormat="1" ht="34.5" hidden="1" customHeight="1">
      <c r="A411" s="256"/>
      <c r="B411" s="255" t="s">
        <v>1368</v>
      </c>
      <c r="C411" s="256" t="s">
        <v>1342</v>
      </c>
      <c r="D411" s="262"/>
      <c r="E411" s="279">
        <v>40</v>
      </c>
      <c r="F411" s="266">
        <f t="shared" si="73"/>
        <v>0</v>
      </c>
      <c r="G411" s="266">
        <f t="shared" si="79"/>
        <v>0</v>
      </c>
      <c r="H411" s="271">
        <v>0</v>
      </c>
      <c r="I411" s="466" t="s">
        <v>1774</v>
      </c>
    </row>
    <row r="412" spans="1:9" s="276" customFormat="1" ht="33.75" hidden="1" customHeight="1">
      <c r="A412" s="256"/>
      <c r="B412" s="255" t="s">
        <v>1369</v>
      </c>
      <c r="C412" s="256" t="s">
        <v>1208</v>
      </c>
      <c r="D412" s="262"/>
      <c r="E412" s="283">
        <f>15000/1000000</f>
        <v>1.4999999999999999E-2</v>
      </c>
      <c r="F412" s="266">
        <f t="shared" si="73"/>
        <v>0</v>
      </c>
      <c r="G412" s="266">
        <f t="shared" si="79"/>
        <v>0</v>
      </c>
      <c r="H412" s="271">
        <v>0</v>
      </c>
      <c r="I412" s="466" t="s">
        <v>1774</v>
      </c>
    </row>
    <row r="413" spans="1:9" s="276" customFormat="1" ht="45" hidden="1" customHeight="1">
      <c r="A413" s="256" t="s">
        <v>742</v>
      </c>
      <c r="B413" s="284" t="s">
        <v>1370</v>
      </c>
      <c r="C413" s="281"/>
      <c r="D413" s="261"/>
      <c r="E413" s="285"/>
      <c r="F413" s="266">
        <f t="shared" si="73"/>
        <v>0</v>
      </c>
      <c r="G413" s="266">
        <f t="shared" si="79"/>
        <v>0</v>
      </c>
      <c r="H413" s="271">
        <v>0</v>
      </c>
      <c r="I413" s="466" t="s">
        <v>1774</v>
      </c>
    </row>
    <row r="414" spans="1:9" ht="51" customHeight="1">
      <c r="A414" s="13" t="s">
        <v>742</v>
      </c>
      <c r="B414" s="12" t="s">
        <v>1371</v>
      </c>
      <c r="C414" s="13"/>
      <c r="D414" s="779"/>
      <c r="E414" s="19"/>
      <c r="F414" s="20">
        <f>SUM(F415:F419)</f>
        <v>96</v>
      </c>
      <c r="G414" s="20">
        <f t="shared" ref="G414:H414" si="88">SUM(G415:G419)</f>
        <v>91</v>
      </c>
      <c r="H414" s="271">
        <f t="shared" si="88"/>
        <v>5</v>
      </c>
      <c r="I414" s="96"/>
    </row>
    <row r="415" spans="1:9" s="141" customFormat="1" ht="39" hidden="1" customHeight="1">
      <c r="A415" s="112"/>
      <c r="B415" s="148" t="s">
        <v>1372</v>
      </c>
      <c r="C415" s="112" t="s">
        <v>903</v>
      </c>
      <c r="D415" s="137">
        <v>3</v>
      </c>
      <c r="E415" s="133">
        <v>32</v>
      </c>
      <c r="F415" s="155">
        <f t="shared" si="73"/>
        <v>96</v>
      </c>
      <c r="G415" s="155">
        <f t="shared" si="79"/>
        <v>91</v>
      </c>
      <c r="H415" s="271">
        <v>5</v>
      </c>
      <c r="I415" s="466" t="s">
        <v>1774</v>
      </c>
    </row>
    <row r="416" spans="1:9" s="276" customFormat="1" ht="65" hidden="1">
      <c r="A416" s="256"/>
      <c r="B416" s="255" t="s">
        <v>1373</v>
      </c>
      <c r="C416" s="256" t="s">
        <v>903</v>
      </c>
      <c r="D416" s="262"/>
      <c r="E416" s="278">
        <f>-7+121</f>
        <v>114</v>
      </c>
      <c r="F416" s="266">
        <f t="shared" si="73"/>
        <v>0</v>
      </c>
      <c r="G416" s="266">
        <f t="shared" si="79"/>
        <v>0</v>
      </c>
      <c r="H416" s="271">
        <v>0</v>
      </c>
      <c r="I416" s="466" t="s">
        <v>1774</v>
      </c>
    </row>
    <row r="417" spans="1:9" s="276" customFormat="1" ht="65" hidden="1">
      <c r="A417" s="256"/>
      <c r="B417" s="255" t="s">
        <v>1374</v>
      </c>
      <c r="C417" s="256"/>
      <c r="D417" s="262"/>
      <c r="E417" s="278"/>
      <c r="F417" s="266">
        <f t="shared" si="73"/>
        <v>0</v>
      </c>
      <c r="G417" s="266">
        <f t="shared" si="79"/>
        <v>0</v>
      </c>
      <c r="H417" s="271">
        <v>0</v>
      </c>
      <c r="I417" s="466" t="s">
        <v>1774</v>
      </c>
    </row>
    <row r="418" spans="1:9" s="276" customFormat="1" ht="39" hidden="1">
      <c r="A418" s="256"/>
      <c r="B418" s="255" t="s">
        <v>1375</v>
      </c>
      <c r="C418" s="256"/>
      <c r="D418" s="262"/>
      <c r="E418" s="278"/>
      <c r="F418" s="266">
        <f t="shared" si="73"/>
        <v>0</v>
      </c>
      <c r="G418" s="266">
        <f t="shared" si="79"/>
        <v>0</v>
      </c>
      <c r="H418" s="271">
        <v>0</v>
      </c>
      <c r="I418" s="466" t="s">
        <v>1774</v>
      </c>
    </row>
    <row r="419" spans="1:9" s="276" customFormat="1" ht="52" hidden="1">
      <c r="A419" s="256"/>
      <c r="B419" s="255" t="s">
        <v>1376</v>
      </c>
      <c r="C419" s="256"/>
      <c r="D419" s="262"/>
      <c r="E419" s="278"/>
      <c r="F419" s="266">
        <f t="shared" si="73"/>
        <v>0</v>
      </c>
      <c r="G419" s="266">
        <f t="shared" si="79"/>
        <v>0</v>
      </c>
      <c r="H419" s="271">
        <v>0</v>
      </c>
      <c r="I419" s="466" t="s">
        <v>1774</v>
      </c>
    </row>
    <row r="420" spans="1:9" s="276" customFormat="1" ht="32.25" hidden="1" customHeight="1">
      <c r="A420" s="256" t="s">
        <v>742</v>
      </c>
      <c r="B420" s="255" t="s">
        <v>1377</v>
      </c>
      <c r="C420" s="256"/>
      <c r="D420" s="262"/>
      <c r="E420" s="278"/>
      <c r="F420" s="266">
        <f t="shared" si="73"/>
        <v>0</v>
      </c>
      <c r="G420" s="266">
        <f t="shared" si="79"/>
        <v>0</v>
      </c>
      <c r="H420" s="271">
        <v>0</v>
      </c>
      <c r="I420" s="466" t="s">
        <v>1774</v>
      </c>
    </row>
    <row r="421" spans="1:9" s="276" customFormat="1" ht="26.25" hidden="1" customHeight="1">
      <c r="A421" s="256" t="s">
        <v>742</v>
      </c>
      <c r="B421" s="255" t="s">
        <v>1378</v>
      </c>
      <c r="C421" s="256"/>
      <c r="D421" s="262"/>
      <c r="E421" s="278"/>
      <c r="F421" s="266">
        <f t="shared" si="73"/>
        <v>0</v>
      </c>
      <c r="G421" s="266">
        <f t="shared" si="79"/>
        <v>0</v>
      </c>
      <c r="H421" s="271">
        <v>0</v>
      </c>
      <c r="I421" s="466" t="s">
        <v>1774</v>
      </c>
    </row>
    <row r="422" spans="1:9" ht="28.5" customHeight="1">
      <c r="A422" s="13" t="s">
        <v>742</v>
      </c>
      <c r="B422" s="12" t="s">
        <v>1379</v>
      </c>
      <c r="C422" s="13"/>
      <c r="D422" s="779"/>
      <c r="E422" s="19"/>
      <c r="F422" s="20">
        <f>SUM(F423:F427)</f>
        <v>270</v>
      </c>
      <c r="G422" s="20">
        <f t="shared" ref="G422:H422" si="89">SUM(G423:G427)</f>
        <v>254</v>
      </c>
      <c r="H422" s="271">
        <f t="shared" si="89"/>
        <v>16</v>
      </c>
      <c r="I422" s="96"/>
    </row>
    <row r="423" spans="1:9" s="141" customFormat="1" ht="32.25" hidden="1" customHeight="1">
      <c r="A423" s="112"/>
      <c r="B423" s="148" t="s">
        <v>1380</v>
      </c>
      <c r="C423" s="112"/>
      <c r="D423" s="137"/>
      <c r="E423" s="133">
        <v>15</v>
      </c>
      <c r="F423" s="155">
        <f>D423*E423</f>
        <v>0</v>
      </c>
      <c r="G423" s="155">
        <f t="shared" si="79"/>
        <v>0</v>
      </c>
      <c r="H423" s="271">
        <v>0</v>
      </c>
      <c r="I423" s="466" t="s">
        <v>1774</v>
      </c>
    </row>
    <row r="424" spans="1:9" s="141" customFormat="1" ht="24" hidden="1" customHeight="1">
      <c r="A424" s="112"/>
      <c r="B424" s="148" t="s">
        <v>1381</v>
      </c>
      <c r="C424" s="112" t="s">
        <v>1028</v>
      </c>
      <c r="D424" s="137"/>
      <c r="E424" s="133">
        <v>70</v>
      </c>
      <c r="F424" s="155">
        <f t="shared" ref="F424:F472" si="90">D424*E424</f>
        <v>0</v>
      </c>
      <c r="G424" s="155">
        <f t="shared" si="79"/>
        <v>0</v>
      </c>
      <c r="H424" s="271">
        <v>0</v>
      </c>
      <c r="I424" s="466" t="s">
        <v>1774</v>
      </c>
    </row>
    <row r="425" spans="1:9" ht="32.25" customHeight="1">
      <c r="A425" s="13"/>
      <c r="B425" s="12" t="s">
        <v>1382</v>
      </c>
      <c r="C425" s="13" t="s">
        <v>903</v>
      </c>
      <c r="D425" s="779">
        <v>4</v>
      </c>
      <c r="E425" s="166">
        <v>45</v>
      </c>
      <c r="F425" s="20">
        <f t="shared" si="90"/>
        <v>180</v>
      </c>
      <c r="G425" s="20">
        <f t="shared" si="79"/>
        <v>171</v>
      </c>
      <c r="H425" s="271">
        <v>9</v>
      </c>
      <c r="I425" s="938"/>
    </row>
    <row r="426" spans="1:9" s="141" customFormat="1" ht="22.5" hidden="1" customHeight="1">
      <c r="A426" s="112"/>
      <c r="B426" s="148" t="s">
        <v>1383</v>
      </c>
      <c r="C426" s="112"/>
      <c r="D426" s="137"/>
      <c r="E426" s="133">
        <v>60</v>
      </c>
      <c r="F426" s="155">
        <f t="shared" si="90"/>
        <v>0</v>
      </c>
      <c r="G426" s="155">
        <f t="shared" si="79"/>
        <v>0</v>
      </c>
      <c r="H426" s="271">
        <v>0</v>
      </c>
      <c r="I426" s="466" t="s">
        <v>1774</v>
      </c>
    </row>
    <row r="427" spans="1:9" ht="18" customHeight="1">
      <c r="A427" s="13"/>
      <c r="B427" s="12" t="s">
        <v>1384</v>
      </c>
      <c r="C427" s="13" t="s">
        <v>878</v>
      </c>
      <c r="D427" s="779">
        <v>3</v>
      </c>
      <c r="E427" s="166">
        <v>30</v>
      </c>
      <c r="F427" s="20">
        <f t="shared" si="90"/>
        <v>90</v>
      </c>
      <c r="G427" s="20">
        <f>F427-H427</f>
        <v>83</v>
      </c>
      <c r="H427" s="271">
        <v>7</v>
      </c>
      <c r="I427" s="938"/>
    </row>
    <row r="428" spans="1:9" s="290" customFormat="1" ht="28.5" hidden="1" customHeight="1">
      <c r="A428" s="286" t="s">
        <v>1227</v>
      </c>
      <c r="B428" s="287" t="s">
        <v>1385</v>
      </c>
      <c r="C428" s="286"/>
      <c r="D428" s="288"/>
      <c r="E428" s="289"/>
      <c r="F428" s="266">
        <f t="shared" si="90"/>
        <v>0</v>
      </c>
      <c r="G428" s="266">
        <f t="shared" si="79"/>
        <v>0</v>
      </c>
      <c r="H428" s="271">
        <v>0</v>
      </c>
      <c r="I428" s="466" t="s">
        <v>1774</v>
      </c>
    </row>
    <row r="429" spans="1:9" s="317" customFormat="1" ht="18" customHeight="1">
      <c r="A429" s="26">
        <v>8</v>
      </c>
      <c r="B429" s="55" t="s">
        <v>11</v>
      </c>
      <c r="C429" s="26"/>
      <c r="D429" s="783"/>
      <c r="E429" s="781"/>
      <c r="F429" s="21">
        <f>+F430+F451+F472</f>
        <v>1511</v>
      </c>
      <c r="G429" s="21">
        <f t="shared" ref="G429:H429" si="91">+G430+G451+G472</f>
        <v>1438</v>
      </c>
      <c r="H429" s="274">
        <f t="shared" si="91"/>
        <v>73</v>
      </c>
      <c r="I429" s="96"/>
    </row>
    <row r="430" spans="1:9" s="319" customFormat="1" ht="26.25" customHeight="1">
      <c r="A430" s="125" t="s">
        <v>911</v>
      </c>
      <c r="B430" s="394" t="s">
        <v>1363</v>
      </c>
      <c r="C430" s="125"/>
      <c r="D430" s="890"/>
      <c r="E430" s="895"/>
      <c r="F430" s="20">
        <f>+F431+F432+F433+F434+F437+F442+F447+F448+F449+F450</f>
        <v>925</v>
      </c>
      <c r="G430" s="20">
        <f t="shared" ref="G430:H430" si="92">+G431+G432+G433+G434+G437+G442+G447+G448+G449+G450</f>
        <v>885</v>
      </c>
      <c r="H430" s="273">
        <f t="shared" si="92"/>
        <v>40</v>
      </c>
      <c r="I430" s="96"/>
    </row>
    <row r="431" spans="1:9" s="141" customFormat="1" ht="26.25" hidden="1" customHeight="1">
      <c r="A431" s="112" t="s">
        <v>742</v>
      </c>
      <c r="B431" s="148" t="s">
        <v>1314</v>
      </c>
      <c r="C431" s="112"/>
      <c r="D431" s="137"/>
      <c r="E431" s="133">
        <v>25</v>
      </c>
      <c r="F431" s="155">
        <f t="shared" si="90"/>
        <v>0</v>
      </c>
      <c r="G431" s="155">
        <f t="shared" si="79"/>
        <v>0</v>
      </c>
      <c r="H431" s="273">
        <v>0</v>
      </c>
      <c r="I431" s="466" t="s">
        <v>1774</v>
      </c>
    </row>
    <row r="432" spans="1:9" ht="39">
      <c r="A432" s="13" t="s">
        <v>742</v>
      </c>
      <c r="B432" s="12" t="s">
        <v>1315</v>
      </c>
      <c r="C432" s="13" t="s">
        <v>878</v>
      </c>
      <c r="D432" s="779">
        <v>3</v>
      </c>
      <c r="E432" s="166">
        <v>40</v>
      </c>
      <c r="F432" s="20">
        <f t="shared" si="90"/>
        <v>120</v>
      </c>
      <c r="G432" s="20">
        <f t="shared" si="79"/>
        <v>114</v>
      </c>
      <c r="H432" s="273">
        <v>6</v>
      </c>
      <c r="I432" s="96"/>
    </row>
    <row r="433" spans="1:9" s="141" customFormat="1" ht="39" hidden="1">
      <c r="A433" s="112" t="s">
        <v>742</v>
      </c>
      <c r="B433" s="148" t="s">
        <v>1316</v>
      </c>
      <c r="C433" s="112"/>
      <c r="D433" s="137"/>
      <c r="E433" s="133">
        <v>5</v>
      </c>
      <c r="F433" s="155">
        <f t="shared" si="90"/>
        <v>0</v>
      </c>
      <c r="G433" s="155">
        <f t="shared" si="79"/>
        <v>0</v>
      </c>
      <c r="H433" s="273">
        <v>0</v>
      </c>
      <c r="I433" s="466" t="s">
        <v>1774</v>
      </c>
    </row>
    <row r="434" spans="1:9" ht="65.25" customHeight="1">
      <c r="A434" s="13" t="s">
        <v>742</v>
      </c>
      <c r="B434" s="12" t="s">
        <v>1317</v>
      </c>
      <c r="C434" s="13"/>
      <c r="D434" s="779"/>
      <c r="E434" s="930"/>
      <c r="F434" s="20">
        <f>SUM(F435:F436)</f>
        <v>270</v>
      </c>
      <c r="G434" s="20">
        <f t="shared" ref="G434:H434" si="93">SUM(G435:G436)</f>
        <v>256</v>
      </c>
      <c r="H434" s="273">
        <f t="shared" si="93"/>
        <v>14</v>
      </c>
      <c r="I434" s="96"/>
    </row>
    <row r="435" spans="1:9" s="141" customFormat="1" ht="18" hidden="1" customHeight="1">
      <c r="A435" s="112"/>
      <c r="B435" s="148" t="s">
        <v>1318</v>
      </c>
      <c r="C435" s="112" t="s">
        <v>903</v>
      </c>
      <c r="D435" s="137">
        <v>3</v>
      </c>
      <c r="E435" s="132">
        <v>50</v>
      </c>
      <c r="F435" s="155">
        <v>150</v>
      </c>
      <c r="G435" s="155">
        <f t="shared" si="79"/>
        <v>142</v>
      </c>
      <c r="H435" s="273">
        <v>8</v>
      </c>
      <c r="I435" s="466" t="s">
        <v>1774</v>
      </c>
    </row>
    <row r="436" spans="1:9" s="141" customFormat="1" ht="18" hidden="1" customHeight="1">
      <c r="A436" s="112"/>
      <c r="B436" s="148" t="s">
        <v>1319</v>
      </c>
      <c r="C436" s="112" t="s">
        <v>875</v>
      </c>
      <c r="D436" s="137">
        <v>3</v>
      </c>
      <c r="E436" s="133">
        <v>40</v>
      </c>
      <c r="F436" s="155">
        <v>120</v>
      </c>
      <c r="G436" s="155">
        <f t="shared" si="79"/>
        <v>114</v>
      </c>
      <c r="H436" s="273">
        <v>6</v>
      </c>
      <c r="I436" s="466" t="s">
        <v>1774</v>
      </c>
    </row>
    <row r="437" spans="1:9" ht="41.25" customHeight="1">
      <c r="A437" s="13" t="s">
        <v>742</v>
      </c>
      <c r="B437" s="12" t="s">
        <v>1320</v>
      </c>
      <c r="C437" s="13" t="s">
        <v>1389</v>
      </c>
      <c r="D437" s="779"/>
      <c r="E437" s="931"/>
      <c r="F437" s="20">
        <f>SUM(F438:F441)</f>
        <v>195</v>
      </c>
      <c r="G437" s="20">
        <f t="shared" ref="G437:H437" si="94">SUM(G438:G441)</f>
        <v>188</v>
      </c>
      <c r="H437" s="273">
        <f t="shared" si="94"/>
        <v>7</v>
      </c>
      <c r="I437" s="96"/>
    </row>
    <row r="438" spans="1:9" s="141" customFormat="1" ht="26.25" hidden="1" customHeight="1">
      <c r="A438" s="112"/>
      <c r="B438" s="148" t="s">
        <v>1321</v>
      </c>
      <c r="C438" s="112" t="s">
        <v>874</v>
      </c>
      <c r="D438" s="137">
        <v>164</v>
      </c>
      <c r="E438" s="133">
        <v>1</v>
      </c>
      <c r="F438" s="155">
        <v>164</v>
      </c>
      <c r="G438" s="155">
        <f>F438-H438</f>
        <v>159</v>
      </c>
      <c r="H438" s="273">
        <v>5</v>
      </c>
      <c r="I438" s="466" t="s">
        <v>1774</v>
      </c>
    </row>
    <row r="439" spans="1:9" s="141" customFormat="1" ht="18" hidden="1" customHeight="1">
      <c r="A439" s="112"/>
      <c r="B439" s="148" t="s">
        <v>1322</v>
      </c>
      <c r="C439" s="112" t="s">
        <v>874</v>
      </c>
      <c r="D439" s="137">
        <v>30</v>
      </c>
      <c r="E439" s="160">
        <v>0.8</v>
      </c>
      <c r="F439" s="155">
        <v>24</v>
      </c>
      <c r="G439" s="155">
        <f t="shared" si="79"/>
        <v>22</v>
      </c>
      <c r="H439" s="273">
        <v>2</v>
      </c>
      <c r="I439" s="466" t="s">
        <v>1774</v>
      </c>
    </row>
    <row r="440" spans="1:9" s="141" customFormat="1" ht="26.25" hidden="1" customHeight="1">
      <c r="A440" s="112"/>
      <c r="B440" s="148" t="s">
        <v>1323</v>
      </c>
      <c r="C440" s="112" t="s">
        <v>874</v>
      </c>
      <c r="D440" s="137">
        <v>8</v>
      </c>
      <c r="E440" s="160">
        <v>0.5</v>
      </c>
      <c r="F440" s="155">
        <v>4</v>
      </c>
      <c r="G440" s="155">
        <f t="shared" si="79"/>
        <v>4</v>
      </c>
      <c r="H440" s="273">
        <v>0</v>
      </c>
      <c r="I440" s="466" t="s">
        <v>1774</v>
      </c>
    </row>
    <row r="441" spans="1:9" s="141" customFormat="1" ht="26.25" hidden="1" customHeight="1">
      <c r="A441" s="112"/>
      <c r="B441" s="148" t="s">
        <v>1324</v>
      </c>
      <c r="C441" s="112" t="s">
        <v>874</v>
      </c>
      <c r="D441" s="137">
        <v>5</v>
      </c>
      <c r="E441" s="160">
        <v>0.5</v>
      </c>
      <c r="F441" s="155">
        <v>3</v>
      </c>
      <c r="G441" s="155">
        <f t="shared" si="79"/>
        <v>3</v>
      </c>
      <c r="H441" s="273">
        <v>0</v>
      </c>
      <c r="I441" s="466" t="s">
        <v>1774</v>
      </c>
    </row>
    <row r="442" spans="1:9" ht="26.25" customHeight="1">
      <c r="A442" s="13" t="s">
        <v>742</v>
      </c>
      <c r="B442" s="12" t="s">
        <v>1325</v>
      </c>
      <c r="C442" s="13"/>
      <c r="D442" s="779"/>
      <c r="E442" s="166"/>
      <c r="F442" s="20">
        <f>SUM(F443:F446)</f>
        <v>340</v>
      </c>
      <c r="G442" s="20">
        <f t="shared" ref="G442:H442" si="95">SUM(G443:G446)</f>
        <v>327</v>
      </c>
      <c r="H442" s="271">
        <f t="shared" si="95"/>
        <v>13</v>
      </c>
      <c r="I442" s="96"/>
    </row>
    <row r="443" spans="1:9" s="141" customFormat="1" ht="26.25" hidden="1" customHeight="1">
      <c r="A443" s="112"/>
      <c r="B443" s="148" t="s">
        <v>1326</v>
      </c>
      <c r="C443" s="112" t="s">
        <v>902</v>
      </c>
      <c r="D443" s="137">
        <v>2</v>
      </c>
      <c r="E443" s="133">
        <v>80</v>
      </c>
      <c r="F443" s="155">
        <f>D443*E443</f>
        <v>160</v>
      </c>
      <c r="G443" s="155">
        <f t="shared" ref="G443:G472" si="96">F443-H443</f>
        <v>152</v>
      </c>
      <c r="H443" s="271">
        <v>8</v>
      </c>
      <c r="I443" s="466" t="s">
        <v>1774</v>
      </c>
    </row>
    <row r="444" spans="1:9" s="141" customFormat="1" ht="57.75" hidden="1" customHeight="1">
      <c r="A444" s="112"/>
      <c r="B444" s="148" t="s">
        <v>1327</v>
      </c>
      <c r="C444" s="112" t="s">
        <v>1147</v>
      </c>
      <c r="D444" s="137">
        <v>2</v>
      </c>
      <c r="E444" s="133">
        <v>40</v>
      </c>
      <c r="F444" s="155">
        <f>D444*E444</f>
        <v>80</v>
      </c>
      <c r="G444" s="155">
        <f>F444-H444</f>
        <v>80</v>
      </c>
      <c r="H444" s="271"/>
      <c r="I444" s="466" t="s">
        <v>1774</v>
      </c>
    </row>
    <row r="445" spans="1:9" s="276" customFormat="1" ht="57" hidden="1" customHeight="1">
      <c r="A445" s="256"/>
      <c r="B445" s="255" t="s">
        <v>1328</v>
      </c>
      <c r="C445" s="256" t="s">
        <v>875</v>
      </c>
      <c r="D445" s="262"/>
      <c r="E445" s="279">
        <v>66</v>
      </c>
      <c r="F445" s="266">
        <f t="shared" ref="F445:F446" si="97">D445*E445</f>
        <v>0</v>
      </c>
      <c r="G445" s="266">
        <f t="shared" si="96"/>
        <v>0</v>
      </c>
      <c r="H445" s="271">
        <v>0</v>
      </c>
      <c r="I445" s="466" t="s">
        <v>1774</v>
      </c>
    </row>
    <row r="446" spans="1:9" s="141" customFormat="1" ht="26.25" hidden="1" customHeight="1">
      <c r="A446" s="112"/>
      <c r="B446" s="148" t="s">
        <v>1329</v>
      </c>
      <c r="C446" s="112" t="s">
        <v>1034</v>
      </c>
      <c r="D446" s="137">
        <v>2</v>
      </c>
      <c r="E446" s="133">
        <v>50</v>
      </c>
      <c r="F446" s="155">
        <f t="shared" si="97"/>
        <v>100</v>
      </c>
      <c r="G446" s="155">
        <f t="shared" si="96"/>
        <v>95</v>
      </c>
      <c r="H446" s="271">
        <v>5</v>
      </c>
      <c r="I446" s="466" t="s">
        <v>1774</v>
      </c>
    </row>
    <row r="447" spans="1:9" s="276" customFormat="1" ht="32.25" hidden="1" customHeight="1">
      <c r="A447" s="256" t="s">
        <v>742</v>
      </c>
      <c r="B447" s="255" t="s">
        <v>1330</v>
      </c>
      <c r="C447" s="256" t="s">
        <v>902</v>
      </c>
      <c r="D447" s="262"/>
      <c r="E447" s="279">
        <v>40</v>
      </c>
      <c r="F447" s="266">
        <f t="shared" si="90"/>
        <v>0</v>
      </c>
      <c r="G447" s="266">
        <f t="shared" si="96"/>
        <v>0</v>
      </c>
      <c r="H447" s="271">
        <v>0</v>
      </c>
      <c r="I447" s="466" t="s">
        <v>1774</v>
      </c>
    </row>
    <row r="448" spans="1:9" s="276" customFormat="1" ht="59.25" hidden="1" customHeight="1">
      <c r="A448" s="256" t="s">
        <v>742</v>
      </c>
      <c r="B448" s="255" t="s">
        <v>1388</v>
      </c>
      <c r="C448" s="256" t="s">
        <v>878</v>
      </c>
      <c r="D448" s="262"/>
      <c r="E448" s="279">
        <v>40</v>
      </c>
      <c r="F448" s="266">
        <f t="shared" si="90"/>
        <v>0</v>
      </c>
      <c r="G448" s="266">
        <f t="shared" si="96"/>
        <v>0</v>
      </c>
      <c r="H448" s="271">
        <v>0</v>
      </c>
      <c r="I448" s="466" t="s">
        <v>1774</v>
      </c>
    </row>
    <row r="449" spans="1:10" s="276" customFormat="1" ht="68.25" hidden="1" customHeight="1">
      <c r="A449" s="256" t="s">
        <v>742</v>
      </c>
      <c r="B449" s="255" t="s">
        <v>1332</v>
      </c>
      <c r="C449" s="256"/>
      <c r="D449" s="262"/>
      <c r="E449" s="278"/>
      <c r="F449" s="266">
        <f t="shared" si="90"/>
        <v>0</v>
      </c>
      <c r="G449" s="266">
        <f t="shared" si="96"/>
        <v>0</v>
      </c>
      <c r="H449" s="271">
        <v>0</v>
      </c>
      <c r="I449" s="466" t="s">
        <v>1774</v>
      </c>
    </row>
    <row r="450" spans="1:10" s="276" customFormat="1" ht="48" hidden="1" customHeight="1">
      <c r="A450" s="256" t="s">
        <v>742</v>
      </c>
      <c r="B450" s="255" t="s">
        <v>1333</v>
      </c>
      <c r="C450" s="256" t="s">
        <v>1034</v>
      </c>
      <c r="D450" s="262"/>
      <c r="E450" s="279">
        <v>50</v>
      </c>
      <c r="F450" s="266">
        <f t="shared" si="90"/>
        <v>0</v>
      </c>
      <c r="G450" s="266">
        <f t="shared" si="96"/>
        <v>0</v>
      </c>
      <c r="H450" s="271">
        <v>0</v>
      </c>
      <c r="I450" s="466" t="s">
        <v>1774</v>
      </c>
    </row>
    <row r="451" spans="1:10" s="319" customFormat="1" ht="26.25" customHeight="1">
      <c r="A451" s="125" t="s">
        <v>915</v>
      </c>
      <c r="B451" s="394" t="s">
        <v>1364</v>
      </c>
      <c r="C451" s="125"/>
      <c r="D451" s="890"/>
      <c r="E451" s="895"/>
      <c r="F451" s="20">
        <f>+F452+F457+F458+F464+F465+F466</f>
        <v>586</v>
      </c>
      <c r="G451" s="20">
        <f t="shared" ref="G451:H451" si="98">+G452+G457+G458+G464+G465+G466</f>
        <v>553</v>
      </c>
      <c r="H451" s="271">
        <f t="shared" si="98"/>
        <v>33</v>
      </c>
      <c r="I451" s="96"/>
    </row>
    <row r="452" spans="1:10" ht="18" customHeight="1">
      <c r="A452" s="13" t="s">
        <v>742</v>
      </c>
      <c r="B452" s="12" t="s">
        <v>1390</v>
      </c>
      <c r="C452" s="13"/>
      <c r="D452" s="779"/>
      <c r="E452" s="19"/>
      <c r="F452" s="20">
        <f>SUM(F453:F456)</f>
        <v>168</v>
      </c>
      <c r="G452" s="20">
        <f t="shared" si="96"/>
        <v>160</v>
      </c>
      <c r="H452" s="271">
        <v>8</v>
      </c>
      <c r="I452" s="96"/>
    </row>
    <row r="453" spans="1:10" s="141" customFormat="1" ht="39.75" hidden="1" customHeight="1">
      <c r="A453" s="112"/>
      <c r="B453" s="148" t="s">
        <v>1366</v>
      </c>
      <c r="C453" s="112" t="s">
        <v>878</v>
      </c>
      <c r="D453" s="137">
        <v>4</v>
      </c>
      <c r="E453" s="133">
        <v>42</v>
      </c>
      <c r="F453" s="155">
        <f>D453*E453</f>
        <v>168</v>
      </c>
      <c r="G453" s="155">
        <f t="shared" si="96"/>
        <v>160</v>
      </c>
      <c r="H453" s="271">
        <v>8</v>
      </c>
      <c r="I453" s="466" t="s">
        <v>1774</v>
      </c>
    </row>
    <row r="454" spans="1:10" s="276" customFormat="1" ht="33.75" hidden="1" customHeight="1">
      <c r="A454" s="256"/>
      <c r="B454" s="255" t="s">
        <v>1367</v>
      </c>
      <c r="C454" s="256" t="s">
        <v>902</v>
      </c>
      <c r="D454" s="262"/>
      <c r="E454" s="279">
        <v>50</v>
      </c>
      <c r="F454" s="266">
        <f t="shared" si="90"/>
        <v>0</v>
      </c>
      <c r="G454" s="266">
        <f t="shared" si="96"/>
        <v>0</v>
      </c>
      <c r="H454" s="271">
        <v>0</v>
      </c>
      <c r="I454" s="466" t="s">
        <v>1774</v>
      </c>
    </row>
    <row r="455" spans="1:10" s="276" customFormat="1" ht="34.5" hidden="1" customHeight="1">
      <c r="A455" s="256"/>
      <c r="B455" s="255" t="s">
        <v>1368</v>
      </c>
      <c r="C455" s="256" t="s">
        <v>1342</v>
      </c>
      <c r="D455" s="262"/>
      <c r="E455" s="279">
        <v>40</v>
      </c>
      <c r="F455" s="266">
        <f t="shared" si="90"/>
        <v>0</v>
      </c>
      <c r="G455" s="266">
        <f t="shared" si="96"/>
        <v>0</v>
      </c>
      <c r="H455" s="271">
        <v>0</v>
      </c>
      <c r="I455" s="466" t="s">
        <v>1774</v>
      </c>
    </row>
    <row r="456" spans="1:10" s="276" customFormat="1" ht="33.75" hidden="1" customHeight="1">
      <c r="A456" s="256"/>
      <c r="B456" s="255" t="s">
        <v>1369</v>
      </c>
      <c r="C456" s="256" t="s">
        <v>1208</v>
      </c>
      <c r="D456" s="262"/>
      <c r="E456" s="283">
        <f>15000/1000000</f>
        <v>1.4999999999999999E-2</v>
      </c>
      <c r="F456" s="266">
        <f t="shared" si="90"/>
        <v>0</v>
      </c>
      <c r="G456" s="266">
        <f t="shared" si="96"/>
        <v>0</v>
      </c>
      <c r="H456" s="271">
        <v>0</v>
      </c>
      <c r="I456" s="466" t="s">
        <v>1774</v>
      </c>
      <c r="J456" s="276" t="s">
        <v>1391</v>
      </c>
    </row>
    <row r="457" spans="1:10" s="276" customFormat="1" ht="45" hidden="1" customHeight="1">
      <c r="A457" s="256" t="s">
        <v>742</v>
      </c>
      <c r="B457" s="284" t="s">
        <v>1370</v>
      </c>
      <c r="C457" s="281"/>
      <c r="D457" s="261"/>
      <c r="E457" s="285"/>
      <c r="F457" s="266">
        <f t="shared" si="90"/>
        <v>0</v>
      </c>
      <c r="G457" s="266">
        <f t="shared" si="96"/>
        <v>0</v>
      </c>
      <c r="H457" s="271">
        <v>0</v>
      </c>
      <c r="I457" s="466" t="s">
        <v>1774</v>
      </c>
    </row>
    <row r="458" spans="1:10" s="276" customFormat="1" ht="39" hidden="1" customHeight="1">
      <c r="A458" s="256" t="s">
        <v>742</v>
      </c>
      <c r="B458" s="255" t="s">
        <v>1371</v>
      </c>
      <c r="C458" s="256"/>
      <c r="D458" s="262"/>
      <c r="E458" s="278"/>
      <c r="F458" s="266">
        <f t="shared" si="90"/>
        <v>0</v>
      </c>
      <c r="G458" s="266">
        <f t="shared" si="96"/>
        <v>0</v>
      </c>
      <c r="H458" s="271">
        <v>0</v>
      </c>
      <c r="I458" s="466" t="s">
        <v>1774</v>
      </c>
    </row>
    <row r="459" spans="1:10" s="276" customFormat="1" ht="39" hidden="1" customHeight="1">
      <c r="A459" s="256"/>
      <c r="B459" s="255" t="s">
        <v>1372</v>
      </c>
      <c r="C459" s="256" t="s">
        <v>903</v>
      </c>
      <c r="D459" s="262"/>
      <c r="E459" s="279">
        <v>30</v>
      </c>
      <c r="F459" s="266">
        <f t="shared" si="90"/>
        <v>0</v>
      </c>
      <c r="G459" s="266">
        <f t="shared" si="96"/>
        <v>0</v>
      </c>
      <c r="H459" s="271">
        <v>0</v>
      </c>
      <c r="I459" s="466" t="s">
        <v>1774</v>
      </c>
    </row>
    <row r="460" spans="1:10" s="141" customFormat="1" ht="56.25" hidden="1" customHeight="1">
      <c r="A460" s="112"/>
      <c r="B460" s="148" t="s">
        <v>1373</v>
      </c>
      <c r="C460" s="112"/>
      <c r="D460" s="137"/>
      <c r="E460" s="113"/>
      <c r="F460" s="155">
        <f t="shared" si="90"/>
        <v>0</v>
      </c>
      <c r="G460" s="155">
        <f t="shared" si="96"/>
        <v>0</v>
      </c>
      <c r="H460" s="271">
        <v>0</v>
      </c>
      <c r="I460" s="466" t="s">
        <v>1774</v>
      </c>
    </row>
    <row r="461" spans="1:10" s="141" customFormat="1" ht="51" hidden="1" customHeight="1">
      <c r="A461" s="112"/>
      <c r="B461" s="148" t="s">
        <v>1374</v>
      </c>
      <c r="C461" s="112"/>
      <c r="D461" s="137"/>
      <c r="E461" s="113"/>
      <c r="F461" s="155">
        <f t="shared" si="90"/>
        <v>0</v>
      </c>
      <c r="G461" s="155">
        <f t="shared" si="96"/>
        <v>0</v>
      </c>
      <c r="H461" s="271">
        <v>0</v>
      </c>
      <c r="I461" s="466" t="s">
        <v>1774</v>
      </c>
    </row>
    <row r="462" spans="1:10" s="141" customFormat="1" ht="35.25" hidden="1" customHeight="1">
      <c r="A462" s="112"/>
      <c r="B462" s="148" t="s">
        <v>1375</v>
      </c>
      <c r="C462" s="112"/>
      <c r="D462" s="137"/>
      <c r="E462" s="113"/>
      <c r="F462" s="155">
        <f t="shared" si="90"/>
        <v>0</v>
      </c>
      <c r="G462" s="155">
        <f t="shared" si="96"/>
        <v>0</v>
      </c>
      <c r="H462" s="271">
        <v>0</v>
      </c>
      <c r="I462" s="466" t="s">
        <v>1774</v>
      </c>
    </row>
    <row r="463" spans="1:10" s="141" customFormat="1" ht="39" hidden="1" customHeight="1">
      <c r="A463" s="112"/>
      <c r="B463" s="148" t="s">
        <v>1376</v>
      </c>
      <c r="C463" s="112"/>
      <c r="D463" s="137"/>
      <c r="E463" s="113"/>
      <c r="F463" s="155">
        <f t="shared" si="90"/>
        <v>0</v>
      </c>
      <c r="G463" s="155">
        <f t="shared" si="96"/>
        <v>0</v>
      </c>
      <c r="H463" s="271">
        <v>0</v>
      </c>
      <c r="I463" s="466" t="s">
        <v>1774</v>
      </c>
    </row>
    <row r="464" spans="1:10" s="141" customFormat="1" ht="32.25" hidden="1" customHeight="1">
      <c r="A464" s="112" t="s">
        <v>742</v>
      </c>
      <c r="B464" s="148" t="s">
        <v>1377</v>
      </c>
      <c r="C464" s="112"/>
      <c r="D464" s="137"/>
      <c r="E464" s="113"/>
      <c r="F464" s="155">
        <f t="shared" si="90"/>
        <v>0</v>
      </c>
      <c r="G464" s="155">
        <f t="shared" si="96"/>
        <v>0</v>
      </c>
      <c r="H464" s="271">
        <v>0</v>
      </c>
      <c r="I464" s="466" t="s">
        <v>1774</v>
      </c>
    </row>
    <row r="465" spans="1:9" s="141" customFormat="1" ht="26.25" hidden="1" customHeight="1">
      <c r="A465" s="112" t="s">
        <v>742</v>
      </c>
      <c r="B465" s="148" t="s">
        <v>1378</v>
      </c>
      <c r="C465" s="112"/>
      <c r="D465" s="137"/>
      <c r="E465" s="113"/>
      <c r="F465" s="155">
        <f t="shared" si="90"/>
        <v>0</v>
      </c>
      <c r="G465" s="155">
        <f t="shared" si="96"/>
        <v>0</v>
      </c>
      <c r="H465" s="271">
        <v>0</v>
      </c>
      <c r="I465" s="466" t="s">
        <v>1774</v>
      </c>
    </row>
    <row r="466" spans="1:9" ht="25.5" customHeight="1">
      <c r="A466" s="13" t="s">
        <v>742</v>
      </c>
      <c r="B466" s="12" t="s">
        <v>1379</v>
      </c>
      <c r="C466" s="13"/>
      <c r="D466" s="779"/>
      <c r="E466" s="19"/>
      <c r="F466" s="20">
        <f>SUM(F467:F471)</f>
        <v>418</v>
      </c>
      <c r="G466" s="20">
        <f t="shared" ref="G466:H466" si="99">SUM(G467:G471)</f>
        <v>393</v>
      </c>
      <c r="H466" s="271">
        <f t="shared" si="99"/>
        <v>25</v>
      </c>
      <c r="I466" s="96"/>
    </row>
    <row r="467" spans="1:9" s="141" customFormat="1" ht="44.25" hidden="1" customHeight="1">
      <c r="A467" s="112"/>
      <c r="B467" s="148" t="s">
        <v>1380</v>
      </c>
      <c r="C467" s="112"/>
      <c r="D467" s="137"/>
      <c r="E467" s="133">
        <v>15</v>
      </c>
      <c r="F467" s="155">
        <f>D467*E467</f>
        <v>0</v>
      </c>
      <c r="G467" s="155">
        <f t="shared" si="96"/>
        <v>0</v>
      </c>
      <c r="H467" s="271">
        <v>0</v>
      </c>
      <c r="I467" s="466" t="s">
        <v>1774</v>
      </c>
    </row>
    <row r="468" spans="1:9" s="276" customFormat="1" ht="24" hidden="1" customHeight="1">
      <c r="A468" s="256"/>
      <c r="B468" s="255" t="s">
        <v>1381</v>
      </c>
      <c r="C468" s="256" t="s">
        <v>1028</v>
      </c>
      <c r="D468" s="262"/>
      <c r="E468" s="279">
        <v>70</v>
      </c>
      <c r="F468" s="266">
        <f t="shared" ref="F468:F470" si="100">D468*E468</f>
        <v>0</v>
      </c>
      <c r="G468" s="266">
        <f t="shared" si="96"/>
        <v>0</v>
      </c>
      <c r="H468" s="271">
        <v>0</v>
      </c>
      <c r="I468" s="466" t="s">
        <v>1774</v>
      </c>
    </row>
    <row r="469" spans="1:9" s="141" customFormat="1" ht="32.25" hidden="1" customHeight="1">
      <c r="A469" s="112"/>
      <c r="B469" s="148" t="s">
        <v>1382</v>
      </c>
      <c r="C469" s="112" t="s">
        <v>903</v>
      </c>
      <c r="D469" s="137">
        <v>7</v>
      </c>
      <c r="E469" s="133">
        <v>40</v>
      </c>
      <c r="F469" s="155">
        <f t="shared" si="100"/>
        <v>280</v>
      </c>
      <c r="G469" s="155">
        <f t="shared" si="96"/>
        <v>266</v>
      </c>
      <c r="H469" s="271">
        <v>14</v>
      </c>
      <c r="I469" s="466" t="s">
        <v>1774</v>
      </c>
    </row>
    <row r="470" spans="1:9" s="141" customFormat="1" ht="22.5" hidden="1" customHeight="1">
      <c r="A470" s="112"/>
      <c r="B470" s="148" t="s">
        <v>1383</v>
      </c>
      <c r="C470" s="112"/>
      <c r="D470" s="137"/>
      <c r="E470" s="133">
        <v>60</v>
      </c>
      <c r="F470" s="155">
        <f t="shared" si="100"/>
        <v>0</v>
      </c>
      <c r="G470" s="155">
        <f t="shared" si="96"/>
        <v>0</v>
      </c>
      <c r="H470" s="271">
        <v>0</v>
      </c>
      <c r="I470" s="466" t="s">
        <v>1774</v>
      </c>
    </row>
    <row r="471" spans="1:9" s="141" customFormat="1" ht="18" hidden="1" customHeight="1">
      <c r="A471" s="112"/>
      <c r="B471" s="148" t="s">
        <v>1384</v>
      </c>
      <c r="C471" s="112" t="s">
        <v>878</v>
      </c>
      <c r="D471" s="137">
        <v>3</v>
      </c>
      <c r="E471" s="133">
        <v>46</v>
      </c>
      <c r="F471" s="155">
        <v>138</v>
      </c>
      <c r="G471" s="155">
        <f>F471-H471</f>
        <v>127</v>
      </c>
      <c r="H471" s="271">
        <v>11</v>
      </c>
      <c r="I471" s="466" t="s">
        <v>1774</v>
      </c>
    </row>
    <row r="472" spans="1:9" s="143" customFormat="1" ht="26" hidden="1">
      <c r="A472" s="119" t="s">
        <v>1227</v>
      </c>
      <c r="B472" s="222" t="s">
        <v>1385</v>
      </c>
      <c r="C472" s="119"/>
      <c r="D472" s="151"/>
      <c r="E472" s="118"/>
      <c r="F472" s="155">
        <f t="shared" si="90"/>
        <v>0</v>
      </c>
      <c r="G472" s="155">
        <f t="shared" si="96"/>
        <v>0</v>
      </c>
      <c r="H472" s="271">
        <v>0</v>
      </c>
      <c r="I472" s="466" t="s">
        <v>1774</v>
      </c>
    </row>
    <row r="473" spans="1:9" ht="3.75" customHeight="1">
      <c r="A473" s="683"/>
      <c r="B473" s="705"/>
      <c r="C473" s="683"/>
      <c r="D473" s="788"/>
      <c r="E473" s="939"/>
      <c r="F473" s="706"/>
      <c r="G473" s="706"/>
      <c r="H473" s="275"/>
      <c r="I473" s="939"/>
    </row>
    <row r="474" spans="1:9" ht="3" customHeight="1">
      <c r="A474" s="105"/>
      <c r="B474" s="105"/>
      <c r="C474" s="864"/>
      <c r="D474" s="893"/>
      <c r="E474" s="105"/>
      <c r="F474" s="105"/>
      <c r="G474" s="105"/>
      <c r="I474" s="105"/>
    </row>
    <row r="475" spans="1:9" s="330" customFormat="1" ht="18" customHeight="1">
      <c r="A475" s="1824" t="s">
        <v>2497</v>
      </c>
      <c r="B475" s="1824"/>
      <c r="C475" s="510"/>
      <c r="D475" s="510"/>
      <c r="E475" s="510"/>
      <c r="F475" s="510"/>
      <c r="G475" s="510"/>
      <c r="H475" s="277"/>
      <c r="I475" s="509"/>
    </row>
    <row r="476" spans="1:9" s="591" customFormat="1" ht="77.25" customHeight="1">
      <c r="A476" s="1800" t="s">
        <v>2517</v>
      </c>
      <c r="B476" s="1800"/>
      <c r="C476" s="1800"/>
      <c r="D476" s="1800"/>
      <c r="E476" s="1800"/>
      <c r="F476" s="1800"/>
      <c r="G476" s="1800"/>
      <c r="H476" s="1917"/>
      <c r="I476" s="1800"/>
    </row>
    <row r="477" spans="1:9" s="591" customFormat="1" ht="18" customHeight="1">
      <c r="A477" s="1800" t="s">
        <v>2067</v>
      </c>
      <c r="B477" s="1801"/>
      <c r="C477" s="1801"/>
      <c r="D477" s="1801"/>
      <c r="E477" s="1801"/>
      <c r="F477" s="1801"/>
      <c r="G477" s="1801"/>
      <c r="H477" s="1918"/>
      <c r="I477" s="1801"/>
    </row>
    <row r="478" spans="1:9" s="591" customFormat="1" ht="178.5" customHeight="1">
      <c r="A478" s="1801" t="s">
        <v>2518</v>
      </c>
      <c r="B478" s="1801"/>
      <c r="C478" s="1801"/>
      <c r="D478" s="1801"/>
      <c r="E478" s="1801"/>
      <c r="F478" s="1801"/>
      <c r="G478" s="1801"/>
      <c r="H478" s="1918"/>
      <c r="I478" s="1801"/>
    </row>
    <row r="479" spans="1:9" s="591" customFormat="1" ht="66" customHeight="1">
      <c r="A479" s="1800" t="s">
        <v>2519</v>
      </c>
      <c r="B479" s="1800"/>
      <c r="C479" s="1800"/>
      <c r="D479" s="1800"/>
      <c r="E479" s="1800"/>
      <c r="F479" s="1800"/>
      <c r="G479" s="1800"/>
      <c r="H479" s="1917"/>
      <c r="I479" s="1800"/>
    </row>
    <row r="480" spans="1:9" s="591" customFormat="1" ht="89.25" customHeight="1">
      <c r="A480" s="1800" t="s">
        <v>2520</v>
      </c>
      <c r="B480" s="1800"/>
      <c r="C480" s="1800"/>
      <c r="D480" s="1800"/>
      <c r="E480" s="1800"/>
      <c r="F480" s="1800"/>
      <c r="G480" s="1800"/>
      <c r="H480" s="1917"/>
      <c r="I480" s="1800"/>
    </row>
    <row r="481" spans="1:9" s="591" customFormat="1" ht="167.25" customHeight="1">
      <c r="A481" s="1800" t="s">
        <v>2521</v>
      </c>
      <c r="B481" s="1800"/>
      <c r="C481" s="1800"/>
      <c r="D481" s="1800"/>
      <c r="E481" s="1800"/>
      <c r="F481" s="1800"/>
      <c r="G481" s="1800"/>
      <c r="H481" s="1917"/>
      <c r="I481" s="1800"/>
    </row>
    <row r="482" spans="1:9" s="591" customFormat="1" ht="116.25" customHeight="1">
      <c r="A482" s="1801" t="s">
        <v>2522</v>
      </c>
      <c r="B482" s="1801"/>
      <c r="C482" s="1801"/>
      <c r="D482" s="1801"/>
      <c r="E482" s="1801"/>
      <c r="F482" s="1801"/>
      <c r="G482" s="1801"/>
      <c r="H482" s="1918"/>
      <c r="I482" s="1801"/>
    </row>
  </sheetData>
  <autoFilter ref="A7:O472">
    <filterColumn colId="8">
      <filters blank="1"/>
    </filterColumn>
  </autoFilter>
  <mergeCells count="21">
    <mergeCell ref="A1:B1"/>
    <mergeCell ref="A2:I2"/>
    <mergeCell ref="A3:I3"/>
    <mergeCell ref="A4:I4"/>
    <mergeCell ref="G1:I1"/>
    <mergeCell ref="A481:I481"/>
    <mergeCell ref="A482:I482"/>
    <mergeCell ref="I5:I6"/>
    <mergeCell ref="A475:B475"/>
    <mergeCell ref="A476:I476"/>
    <mergeCell ref="G5:G6"/>
    <mergeCell ref="A5:A6"/>
    <mergeCell ref="B5:B6"/>
    <mergeCell ref="C5:C6"/>
    <mergeCell ref="D5:D6"/>
    <mergeCell ref="E5:E6"/>
    <mergeCell ref="F5:F6"/>
    <mergeCell ref="A477:I477"/>
    <mergeCell ref="A478:I478"/>
    <mergeCell ref="A479:I479"/>
    <mergeCell ref="A480:I480"/>
  </mergeCells>
  <hyperlinks>
    <hyperlink ref="B236" r:id="rId1" tooltip="Quyết định 45/QĐ-TTg" display="https://thukyluat.vn/vb/quyet-dinh-45-qd-ttg-2019-cap-an-pham-bao-tap-chi-cho-vung-dan-toc-thieu-so-2019-2021-62d34.html"/>
    <hyperlink ref="B237" r:id="rId2" tooltip="Quyết định 1191/QĐ-TTg" display="https://thukyluat.vn/vb/quyet-dinh-1191-qd-ttg-2020-doi-moi-cong-tac-thong-tin-doi-ngoai-xay-dung-bien-gioi-hoa-binh-6daf3.html"/>
    <hyperlink ref="B147" r:id="rId3" tooltip="Quyết định 45/QĐ-TTg" display="https://thukyluat.vn/vb/quyet-dinh-45-qd-ttg-2019-cap-an-pham-bao-tap-chi-cho-vung-dan-toc-thieu-so-2019-2021-62d34.html"/>
    <hyperlink ref="B148" r:id="rId4" tooltip="Quyết định 1191/QĐ-TTg" display="https://thukyluat.vn/vb/quyet-dinh-1191-qd-ttg-2020-doi-moi-cong-tac-thong-tin-doi-ngoai-xay-dung-bien-gioi-hoa-binh-6daf3.html"/>
    <hyperlink ref="B192" r:id="rId5" tooltip="Quyết định 45/QĐ-TTg" display="https://thukyluat.vn/vb/quyet-dinh-45-qd-ttg-2019-cap-an-pham-bao-tap-chi-cho-vung-dan-toc-thieu-so-2019-2021-62d34.html"/>
    <hyperlink ref="B193" r:id="rId6" tooltip="Quyết định 1191/QĐ-TTg" display="https://thukyluat.vn/vb/quyet-dinh-1191-qd-ttg-2020-doi-moi-cong-tac-thong-tin-doi-ngoai-xay-dung-bien-gioi-hoa-binh-6daf3.html"/>
    <hyperlink ref="B281" r:id="rId7" tooltip="Quyết định 45/QĐ-TTg" display="https://thukyluat.vn/vb/quyet-dinh-45-qd-ttg-2019-cap-an-pham-bao-tap-chi-cho-vung-dan-toc-thieu-so-2019-2021-62d34.html"/>
    <hyperlink ref="B282" r:id="rId8" tooltip="Quyết định 1191/QĐ-TTg" display="https://thukyluat.vn/vb/quyet-dinh-1191-qd-ttg-2020-doi-moi-cong-tac-thong-tin-doi-ngoai-xay-dung-bien-gioi-hoa-binh-6daf3.html"/>
    <hyperlink ref="B325" r:id="rId9" tooltip="Quyết định 45/QĐ-TTg" display="https://thukyluat.vn/vb/quyet-dinh-45-qd-ttg-2019-cap-an-pham-bao-tap-chi-cho-vung-dan-toc-thieu-so-2019-2021-62d34.html"/>
    <hyperlink ref="B326" r:id="rId10" tooltip="Quyết định 1191/QĐ-TTg" display="https://thukyluat.vn/vb/quyet-dinh-1191-qd-ttg-2020-doi-moi-cong-tac-thong-tin-doi-ngoai-xay-dung-bien-gioi-hoa-binh-6daf3.html"/>
    <hyperlink ref="B369" r:id="rId11" tooltip="Quyết định 45/QĐ-TTg" display="https://thukyluat.vn/vb/quyet-dinh-45-qd-ttg-2019-cap-an-pham-bao-tap-chi-cho-vung-dan-toc-thieu-so-2019-2021-62d34.html"/>
    <hyperlink ref="B370" r:id="rId12" tooltip="Quyết định 1191/QĐ-TTg" display="https://thukyluat.vn/vb/quyet-dinh-1191-qd-ttg-2020-doi-moi-cong-tac-thong-tin-doi-ngoai-xay-dung-bien-gioi-hoa-binh-6daf3.html"/>
    <hyperlink ref="B413" r:id="rId13" tooltip="Quyết định 45/QĐ-TTg" display="https://thukyluat.vn/vb/quyet-dinh-45-qd-ttg-2019-cap-an-pham-bao-tap-chi-cho-vung-dan-toc-thieu-so-2019-2021-62d34.html"/>
    <hyperlink ref="B414" r:id="rId14" tooltip="Quyết định 1191/QĐ-TTg" display="https://thukyluat.vn/vb/quyet-dinh-1191-qd-ttg-2020-doi-moi-cong-tac-thong-tin-doi-ngoai-xay-dung-bien-gioi-hoa-binh-6daf3.html"/>
    <hyperlink ref="B457" r:id="rId15" tooltip="Quyết định 45/QĐ-TTg" display="https://thukyluat.vn/vb/quyet-dinh-45-qd-ttg-2019-cap-an-pham-bao-tap-chi-cho-vung-dan-toc-thieu-so-2019-2021-62d34.html"/>
    <hyperlink ref="B458" r:id="rId16" tooltip="Quyết định 1191/QĐ-TTg" display="https://thukyluat.vn/vb/quyet-dinh-1191-qd-ttg-2020-doi-moi-cong-tac-thong-tin-doi-ngoai-xay-dung-bien-gioi-hoa-binh-6daf3.html"/>
  </hyperlinks>
  <pageMargins left="0.45" right="0.45" top="0.75" bottom="0" header="0.3" footer="0.3"/>
  <pageSetup paperSize="9" scale="85" orientation="portrait" r:id="rId17"/>
  <headerFooter>
    <oddFooter>&amp;C&amp;8&amp;P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41"/>
  <sheetViews>
    <sheetView workbookViewId="0">
      <selection activeCell="F6" sqref="F6:F10"/>
    </sheetView>
  </sheetViews>
  <sheetFormatPr defaultColWidth="9.08203125" defaultRowHeight="13"/>
  <cols>
    <col min="1" max="1" width="4.33203125" style="331" customWidth="1"/>
    <col min="2" max="2" width="59.6640625" style="331" customWidth="1"/>
    <col min="3" max="3" width="8.4140625" style="331" hidden="1" customWidth="1"/>
    <col min="4" max="5" width="6.4140625" style="331" hidden="1" customWidth="1"/>
    <col min="6" max="6" width="11.6640625" style="331" hidden="1" customWidth="1"/>
    <col min="7" max="7" width="14" style="395" customWidth="1"/>
    <col min="8" max="8" width="17.4140625" style="395" customWidth="1"/>
    <col min="9" max="16384" width="9.08203125" style="331"/>
  </cols>
  <sheetData>
    <row r="1" spans="1:9" ht="21" customHeight="1">
      <c r="A1" s="1831" t="s">
        <v>2795</v>
      </c>
      <c r="B1" s="1831"/>
      <c r="C1" s="1831"/>
      <c r="D1" s="1831"/>
      <c r="E1" s="1831"/>
      <c r="F1" s="1831"/>
      <c r="G1" s="1831"/>
      <c r="H1" s="1831"/>
    </row>
    <row r="2" spans="1:9" s="1114" customFormat="1" ht="18" hidden="1" customHeight="1">
      <c r="A2" s="1874" t="s">
        <v>2066</v>
      </c>
      <c r="B2" s="1874"/>
      <c r="C2" s="1116"/>
      <c r="D2" s="1116"/>
      <c r="E2" s="1116"/>
      <c r="F2" s="1116"/>
      <c r="G2" s="1875" t="s">
        <v>2117</v>
      </c>
      <c r="H2" s="1875"/>
    </row>
    <row r="3" spans="1:9" ht="18" customHeight="1">
      <c r="A3" s="1831" t="s">
        <v>1729</v>
      </c>
      <c r="B3" s="1831"/>
      <c r="C3" s="1831"/>
      <c r="D3" s="1831"/>
      <c r="E3" s="1831"/>
      <c r="F3" s="1831"/>
      <c r="G3" s="1831"/>
      <c r="H3" s="1831"/>
    </row>
    <row r="4" spans="1:9" ht="30" customHeight="1">
      <c r="A4" s="1714" t="s">
        <v>2118</v>
      </c>
      <c r="B4" s="1714"/>
      <c r="C4" s="1714"/>
      <c r="D4" s="1714"/>
      <c r="E4" s="1714"/>
      <c r="F4" s="1714"/>
      <c r="G4" s="1714"/>
      <c r="H4" s="1714"/>
      <c r="I4" s="396"/>
    </row>
    <row r="5" spans="1:9" s="333" customFormat="1" ht="30" customHeight="1">
      <c r="A5" s="1716" t="e">
        <f>#REF!</f>
        <v>#REF!</v>
      </c>
      <c r="B5" s="1716"/>
      <c r="C5" s="1716"/>
      <c r="D5" s="1716"/>
      <c r="E5" s="1716"/>
      <c r="F5" s="1716"/>
      <c r="G5" s="1716"/>
      <c r="H5" s="1716"/>
      <c r="I5" s="1117"/>
    </row>
    <row r="6" spans="1:9" ht="18" customHeight="1">
      <c r="A6" s="1911" t="s">
        <v>3</v>
      </c>
      <c r="B6" s="1911"/>
      <c r="C6" s="1911"/>
      <c r="D6" s="1911"/>
      <c r="E6" s="1911"/>
      <c r="F6" s="1911"/>
      <c r="G6" s="1911"/>
      <c r="H6" s="1911"/>
      <c r="I6" s="397"/>
    </row>
    <row r="7" spans="1:9" ht="18" customHeight="1">
      <c r="A7" s="1832" t="s">
        <v>4</v>
      </c>
      <c r="B7" s="1832" t="s">
        <v>5</v>
      </c>
      <c r="C7" s="1832" t="s">
        <v>1140</v>
      </c>
      <c r="D7" s="1832" t="s">
        <v>897</v>
      </c>
      <c r="E7" s="1832" t="s">
        <v>739</v>
      </c>
      <c r="F7" s="1832" t="s">
        <v>2538</v>
      </c>
      <c r="G7" s="1825" t="s">
        <v>2537</v>
      </c>
      <c r="H7" s="1832" t="s">
        <v>33</v>
      </c>
    </row>
    <row r="8" spans="1:9" ht="30" customHeight="1">
      <c r="A8" s="1832"/>
      <c r="B8" s="1832"/>
      <c r="C8" s="1832"/>
      <c r="D8" s="1832"/>
      <c r="E8" s="1832"/>
      <c r="F8" s="1832"/>
      <c r="G8" s="1826"/>
      <c r="H8" s="1832"/>
    </row>
    <row r="9" spans="1:9" s="333" customFormat="1" ht="18" hidden="1" customHeight="1">
      <c r="A9" s="462">
        <v>1</v>
      </c>
      <c r="B9" s="462">
        <v>2</v>
      </c>
      <c r="C9" s="462">
        <v>3</v>
      </c>
      <c r="D9" s="462">
        <v>4</v>
      </c>
      <c r="E9" s="462">
        <v>5</v>
      </c>
      <c r="F9" s="462">
        <v>6</v>
      </c>
      <c r="G9" s="462">
        <v>7</v>
      </c>
      <c r="H9" s="462">
        <v>8</v>
      </c>
    </row>
    <row r="10" spans="1:9" ht="39" customHeight="1">
      <c r="A10" s="40"/>
      <c r="B10" s="40" t="s">
        <v>7</v>
      </c>
      <c r="C10" s="40"/>
      <c r="D10" s="40"/>
      <c r="E10" s="919"/>
      <c r="F10" s="940">
        <f t="shared" ref="F10:G12" si="0">+F11</f>
        <v>27614</v>
      </c>
      <c r="G10" s="940">
        <f t="shared" si="0"/>
        <v>27614</v>
      </c>
      <c r="H10" s="40"/>
    </row>
    <row r="11" spans="1:9" ht="38.25" customHeight="1">
      <c r="A11" s="40"/>
      <c r="B11" s="54" t="s">
        <v>1719</v>
      </c>
      <c r="C11" s="40"/>
      <c r="D11" s="721"/>
      <c r="E11" s="23"/>
      <c r="F11" s="940">
        <f t="shared" si="0"/>
        <v>27614</v>
      </c>
      <c r="G11" s="940">
        <f t="shared" si="0"/>
        <v>27614</v>
      </c>
      <c r="H11" s="721"/>
    </row>
    <row r="12" spans="1:9" s="334" customFormat="1" ht="65.25" customHeight="1">
      <c r="A12" s="26"/>
      <c r="B12" s="54" t="s">
        <v>1311</v>
      </c>
      <c r="C12" s="40"/>
      <c r="D12" s="94"/>
      <c r="E12" s="23"/>
      <c r="F12" s="25">
        <f t="shared" si="0"/>
        <v>27614</v>
      </c>
      <c r="G12" s="25">
        <f t="shared" si="0"/>
        <v>27614</v>
      </c>
      <c r="H12" s="95"/>
    </row>
    <row r="13" spans="1:9" s="334" customFormat="1" ht="60" customHeight="1">
      <c r="A13" s="41" t="s">
        <v>742</v>
      </c>
      <c r="B13" s="705" t="s">
        <v>1703</v>
      </c>
      <c r="C13" s="41"/>
      <c r="D13" s="939"/>
      <c r="E13" s="706"/>
      <c r="F13" s="1123">
        <f t="shared" ref="F13" si="1">F14+F20</f>
        <v>27614</v>
      </c>
      <c r="G13" s="47">
        <f>G14+G20</f>
        <v>27614</v>
      </c>
      <c r="H13" s="1124"/>
    </row>
    <row r="14" spans="1:9" s="333" customFormat="1" ht="18" hidden="1" customHeight="1">
      <c r="A14" s="1106"/>
      <c r="B14" s="1118" t="s">
        <v>1704</v>
      </c>
      <c r="C14" s="1106"/>
      <c r="D14" s="1119"/>
      <c r="E14" s="1120"/>
      <c r="F14" s="1121">
        <f>SUM(F15:F19)</f>
        <v>6592</v>
      </c>
      <c r="G14" s="1121">
        <f>SUM(G15:G19)</f>
        <v>6592</v>
      </c>
      <c r="H14" s="1122"/>
    </row>
    <row r="15" spans="1:9" ht="18" hidden="1" customHeight="1">
      <c r="A15" s="13"/>
      <c r="B15" s="12" t="s">
        <v>1705</v>
      </c>
      <c r="C15" s="13" t="s">
        <v>876</v>
      </c>
      <c r="D15" s="174">
        <v>108</v>
      </c>
      <c r="E15" s="20">
        <v>15</v>
      </c>
      <c r="F15" s="25">
        <f t="shared" ref="F15:F18" si="2">+G15</f>
        <v>1296</v>
      </c>
      <c r="G15" s="25">
        <v>1296</v>
      </c>
      <c r="H15" s="95"/>
    </row>
    <row r="16" spans="1:9" ht="18" hidden="1" customHeight="1">
      <c r="A16" s="13"/>
      <c r="B16" s="12" t="s">
        <v>1706</v>
      </c>
      <c r="C16" s="13" t="s">
        <v>876</v>
      </c>
      <c r="D16" s="174">
        <v>54</v>
      </c>
      <c r="E16" s="20">
        <v>10</v>
      </c>
      <c r="F16" s="25">
        <f t="shared" si="2"/>
        <v>432</v>
      </c>
      <c r="G16" s="25">
        <v>432</v>
      </c>
      <c r="H16" s="95"/>
      <c r="I16" s="398"/>
    </row>
    <row r="17" spans="1:9" ht="18" hidden="1" customHeight="1">
      <c r="A17" s="13"/>
      <c r="B17" s="669" t="s">
        <v>1707</v>
      </c>
      <c r="C17" s="13" t="s">
        <v>876</v>
      </c>
      <c r="D17" s="174">
        <v>54</v>
      </c>
      <c r="E17" s="20">
        <v>60</v>
      </c>
      <c r="F17" s="25">
        <f t="shared" si="2"/>
        <v>3240</v>
      </c>
      <c r="G17" s="25">
        <f>-666+3906</f>
        <v>3240</v>
      </c>
      <c r="H17" s="95"/>
      <c r="I17" s="398"/>
    </row>
    <row r="18" spans="1:9" ht="18" hidden="1" customHeight="1">
      <c r="A18" s="13"/>
      <c r="B18" s="572" t="s">
        <v>1708</v>
      </c>
      <c r="C18" s="13" t="s">
        <v>876</v>
      </c>
      <c r="D18" s="174">
        <v>270</v>
      </c>
      <c r="E18" s="20">
        <v>5</v>
      </c>
      <c r="F18" s="25">
        <f t="shared" si="2"/>
        <v>1188</v>
      </c>
      <c r="G18" s="25">
        <f>540+648</f>
        <v>1188</v>
      </c>
      <c r="H18" s="32"/>
      <c r="I18" s="398"/>
    </row>
    <row r="19" spans="1:9" ht="18" hidden="1" customHeight="1">
      <c r="A19" s="13"/>
      <c r="B19" s="572" t="s">
        <v>1709</v>
      </c>
      <c r="C19" s="13" t="s">
        <v>876</v>
      </c>
      <c r="D19" s="174">
        <v>54</v>
      </c>
      <c r="E19" s="20">
        <v>10.3</v>
      </c>
      <c r="F19" s="25">
        <f>+G19</f>
        <v>436</v>
      </c>
      <c r="G19" s="25">
        <v>436</v>
      </c>
      <c r="H19" s="1923"/>
      <c r="I19" s="399"/>
    </row>
    <row r="20" spans="1:9" s="333" customFormat="1" ht="18" hidden="1" customHeight="1">
      <c r="A20" s="125"/>
      <c r="B20" s="942" t="s">
        <v>1710</v>
      </c>
      <c r="C20" s="125"/>
      <c r="D20" s="393"/>
      <c r="E20" s="391"/>
      <c r="F20" s="897">
        <f>SUM(F21:F25)</f>
        <v>21022</v>
      </c>
      <c r="G20" s="897">
        <f>SUM(G21:G25)</f>
        <v>21022</v>
      </c>
      <c r="H20" s="1923"/>
      <c r="I20" s="400"/>
    </row>
    <row r="21" spans="1:9" ht="18" hidden="1" customHeight="1">
      <c r="A21" s="13"/>
      <c r="B21" s="572" t="s">
        <v>1711</v>
      </c>
      <c r="C21" s="13" t="s">
        <v>876</v>
      </c>
      <c r="D21" s="174">
        <v>810</v>
      </c>
      <c r="E21" s="20">
        <v>15</v>
      </c>
      <c r="F21" s="25">
        <f t="shared" ref="F21:F24" si="3">+G21</f>
        <v>9720</v>
      </c>
      <c r="G21" s="25">
        <v>9720</v>
      </c>
      <c r="H21" s="1923"/>
      <c r="I21" s="398"/>
    </row>
    <row r="22" spans="1:9" ht="18" hidden="1" customHeight="1">
      <c r="A22" s="13"/>
      <c r="B22" s="572" t="s">
        <v>1712</v>
      </c>
      <c r="C22" s="13" t="s">
        <v>876</v>
      </c>
      <c r="D22" s="174">
        <v>74</v>
      </c>
      <c r="E22" s="20">
        <v>10</v>
      </c>
      <c r="F22" s="25">
        <f t="shared" si="3"/>
        <v>592</v>
      </c>
      <c r="G22" s="25">
        <v>592</v>
      </c>
      <c r="H22" s="95"/>
      <c r="I22" s="398"/>
    </row>
    <row r="23" spans="1:9" ht="18" hidden="1" customHeight="1">
      <c r="A23" s="13"/>
      <c r="B23" s="572" t="s">
        <v>1713</v>
      </c>
      <c r="C23" s="13" t="s">
        <v>876</v>
      </c>
      <c r="D23" s="174">
        <v>54</v>
      </c>
      <c r="E23" s="20">
        <v>5</v>
      </c>
      <c r="F23" s="25">
        <f t="shared" si="3"/>
        <v>216</v>
      </c>
      <c r="G23" s="25">
        <v>216</v>
      </c>
      <c r="H23" s="815"/>
      <c r="I23" s="398"/>
    </row>
    <row r="24" spans="1:9" hidden="1">
      <c r="A24" s="13"/>
      <c r="B24" s="572" t="s">
        <v>1714</v>
      </c>
      <c r="C24" s="13" t="s">
        <v>876</v>
      </c>
      <c r="D24" s="174">
        <v>270</v>
      </c>
      <c r="E24" s="20">
        <v>5</v>
      </c>
      <c r="F24" s="25">
        <f t="shared" si="3"/>
        <v>774</v>
      </c>
      <c r="G24" s="25">
        <f>126+648</f>
        <v>774</v>
      </c>
      <c r="H24" s="95"/>
      <c r="I24" s="398"/>
    </row>
    <row r="25" spans="1:9" ht="18" hidden="1" customHeight="1">
      <c r="A25" s="41"/>
      <c r="B25" s="943" t="s">
        <v>1715</v>
      </c>
      <c r="C25" s="41" t="s">
        <v>876</v>
      </c>
      <c r="D25" s="757">
        <v>810</v>
      </c>
      <c r="E25" s="706">
        <v>16.100000000000001</v>
      </c>
      <c r="F25" s="47">
        <f>+G25</f>
        <v>9720</v>
      </c>
      <c r="G25" s="47">
        <v>9720</v>
      </c>
      <c r="H25" s="944"/>
      <c r="I25" s="398"/>
    </row>
    <row r="26" spans="1:9" ht="18" customHeight="1">
      <c r="A26" s="799"/>
      <c r="B26" s="105"/>
      <c r="C26" s="105"/>
      <c r="D26" s="105"/>
      <c r="E26" s="105"/>
      <c r="F26" s="105"/>
      <c r="G26" s="864"/>
      <c r="H26" s="864"/>
    </row>
    <row r="27" spans="1:9" ht="18" customHeight="1">
      <c r="A27" s="1801" t="s">
        <v>2523</v>
      </c>
      <c r="B27" s="1801"/>
      <c r="C27" s="1801"/>
      <c r="D27" s="1801"/>
      <c r="E27" s="1801"/>
      <c r="F27" s="1801"/>
      <c r="G27" s="1801"/>
      <c r="H27" s="1801"/>
    </row>
    <row r="28" spans="1:9" ht="18" customHeight="1">
      <c r="B28" s="401"/>
      <c r="C28" s="402"/>
      <c r="D28" s="402"/>
      <c r="E28" s="402"/>
      <c r="F28" s="402"/>
      <c r="G28" s="402"/>
      <c r="H28" s="403"/>
    </row>
    <row r="29" spans="1:9" ht="18" customHeight="1">
      <c r="B29" s="402"/>
      <c r="C29" s="402"/>
      <c r="D29" s="402"/>
      <c r="E29" s="402"/>
      <c r="F29" s="402"/>
      <c r="G29" s="402"/>
      <c r="H29" s="403"/>
    </row>
    <row r="30" spans="1:9" ht="18" customHeight="1">
      <c r="B30" s="402"/>
      <c r="C30" s="402"/>
      <c r="D30" s="402"/>
      <c r="E30" s="402"/>
      <c r="F30" s="402"/>
      <c r="G30" s="402"/>
      <c r="H30" s="403"/>
    </row>
    <row r="31" spans="1:9" ht="18" customHeight="1">
      <c r="B31" s="402"/>
      <c r="C31" s="402"/>
      <c r="D31" s="402"/>
      <c r="E31" s="402"/>
      <c r="F31" s="402"/>
      <c r="G31" s="402"/>
      <c r="H31" s="403"/>
    </row>
    <row r="32" spans="1:9" ht="18" customHeight="1">
      <c r="B32" s="402"/>
      <c r="C32" s="402"/>
      <c r="D32" s="402"/>
      <c r="E32" s="402"/>
      <c r="F32" s="402"/>
      <c r="G32" s="402"/>
      <c r="H32" s="403"/>
    </row>
    <row r="33" spans="2:8" ht="18" customHeight="1">
      <c r="B33" s="402"/>
      <c r="C33" s="402"/>
      <c r="D33" s="402"/>
      <c r="E33" s="402"/>
      <c r="F33" s="402"/>
      <c r="G33" s="402"/>
      <c r="H33" s="403"/>
    </row>
    <row r="34" spans="2:8">
      <c r="B34" s="402"/>
      <c r="C34" s="402"/>
      <c r="D34" s="402"/>
      <c r="E34" s="402"/>
      <c r="F34" s="402"/>
      <c r="G34" s="402"/>
      <c r="H34" s="403"/>
    </row>
    <row r="35" spans="2:8">
      <c r="B35" s="402"/>
      <c r="C35" s="402"/>
      <c r="D35" s="402"/>
      <c r="E35" s="402"/>
      <c r="F35" s="402"/>
      <c r="G35" s="402"/>
      <c r="H35" s="403"/>
    </row>
    <row r="36" spans="2:8">
      <c r="B36" s="402"/>
      <c r="C36" s="402"/>
      <c r="D36" s="402"/>
      <c r="E36" s="402"/>
      <c r="F36" s="402"/>
      <c r="G36" s="402"/>
      <c r="H36" s="403"/>
    </row>
    <row r="37" spans="2:8">
      <c r="B37" s="402"/>
      <c r="C37" s="402"/>
      <c r="D37" s="402"/>
      <c r="E37" s="402"/>
      <c r="F37" s="402"/>
      <c r="G37" s="402"/>
      <c r="H37" s="403"/>
    </row>
    <row r="38" spans="2:8">
      <c r="B38" s="402"/>
      <c r="C38" s="402"/>
      <c r="D38" s="402"/>
      <c r="E38" s="402"/>
      <c r="F38" s="402"/>
      <c r="G38" s="402"/>
      <c r="H38" s="403"/>
    </row>
    <row r="39" spans="2:8">
      <c r="B39" s="402"/>
      <c r="C39" s="402"/>
      <c r="D39" s="402"/>
      <c r="E39" s="402"/>
      <c r="F39" s="402"/>
      <c r="G39" s="402"/>
      <c r="H39" s="403"/>
    </row>
    <row r="40" spans="2:8">
      <c r="B40" s="402"/>
      <c r="C40" s="402"/>
      <c r="D40" s="402"/>
      <c r="E40" s="402"/>
      <c r="F40" s="402"/>
      <c r="G40" s="402"/>
      <c r="H40" s="403"/>
    </row>
    <row r="41" spans="2:8" ht="12.75" hidden="1" customHeight="1">
      <c r="B41" s="402"/>
      <c r="C41" s="402"/>
      <c r="D41" s="402"/>
      <c r="E41" s="402"/>
      <c r="F41" s="402"/>
      <c r="G41" s="402"/>
      <c r="H41" s="403"/>
    </row>
  </sheetData>
  <mergeCells count="17">
    <mergeCell ref="A1:H1"/>
    <mergeCell ref="A5:H5"/>
    <mergeCell ref="A2:B2"/>
    <mergeCell ref="A3:H3"/>
    <mergeCell ref="A4:H4"/>
    <mergeCell ref="A6:H6"/>
    <mergeCell ref="G2:H2"/>
    <mergeCell ref="G7:G8"/>
    <mergeCell ref="F7:F8"/>
    <mergeCell ref="H7:H8"/>
    <mergeCell ref="H19:H21"/>
    <mergeCell ref="A27:H27"/>
    <mergeCell ref="A7:A8"/>
    <mergeCell ref="B7:B8"/>
    <mergeCell ref="C7:C8"/>
    <mergeCell ref="D7:D8"/>
    <mergeCell ref="E7:E8"/>
  </mergeCells>
  <pageMargins left="0.67" right="0.64" top="0.5" bottom="0.5" header="0.47" footer="0.3"/>
  <pageSetup paperSize="9" scale="90" orientation="portrait" r:id="rId1"/>
  <headerFooter>
    <oddFoote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4"/>
  <sheetViews>
    <sheetView topLeftCell="A10" workbookViewId="0">
      <selection activeCell="C20" sqref="C20"/>
    </sheetView>
  </sheetViews>
  <sheetFormatPr defaultColWidth="9.08203125" defaultRowHeight="13"/>
  <cols>
    <col min="1" max="1" width="8.4140625" style="1262" customWidth="1"/>
    <col min="2" max="2" width="44.9140625" style="1262" customWidth="1"/>
    <col min="3" max="3" width="17.4140625" style="1262" customWidth="1"/>
    <col min="4" max="4" width="13" style="1262" hidden="1" customWidth="1"/>
    <col min="5" max="5" width="14.4140625" style="1263" hidden="1" customWidth="1"/>
    <col min="6" max="6" width="13.33203125" style="1263" hidden="1" customWidth="1"/>
    <col min="7" max="7" width="15.4140625" style="1263" hidden="1" customWidth="1"/>
    <col min="8" max="9" width="13.33203125" style="1263" hidden="1" customWidth="1"/>
    <col min="10" max="10" width="13.33203125" style="1262" hidden="1" customWidth="1"/>
    <col min="11" max="11" width="20.4140625" style="1262" customWidth="1"/>
    <col min="12" max="16384" width="9.08203125" style="1262"/>
  </cols>
  <sheetData>
    <row r="1" spans="1:11" ht="28.5" customHeight="1">
      <c r="A1" s="1693" t="s">
        <v>2908</v>
      </c>
      <c r="B1" s="1693"/>
      <c r="C1" s="1693"/>
      <c r="D1" s="1693"/>
      <c r="E1" s="1693"/>
      <c r="F1" s="1693"/>
      <c r="G1" s="1693"/>
      <c r="H1" s="1693"/>
      <c r="I1" s="1693"/>
      <c r="J1" s="1693"/>
      <c r="K1" s="1693"/>
    </row>
    <row r="2" spans="1:11" ht="38.25" customHeight="1">
      <c r="A2" s="1691" t="s">
        <v>2869</v>
      </c>
      <c r="B2" s="1691"/>
      <c r="C2" s="1691"/>
      <c r="D2" s="1691"/>
      <c r="E2" s="1691"/>
      <c r="F2" s="1691"/>
      <c r="G2" s="1691"/>
      <c r="H2" s="1691"/>
      <c r="I2" s="1691"/>
      <c r="J2" s="1691"/>
      <c r="K2" s="1691"/>
    </row>
    <row r="3" spans="1:11" ht="19.5" customHeight="1">
      <c r="A3" s="1692" t="e">
        <f>#REF!</f>
        <v>#REF!</v>
      </c>
      <c r="B3" s="1692"/>
      <c r="C3" s="1692"/>
      <c r="D3" s="1692"/>
      <c r="E3" s="1692"/>
      <c r="F3" s="1692"/>
      <c r="G3" s="1692"/>
      <c r="H3" s="1692"/>
      <c r="I3" s="1692"/>
      <c r="J3" s="1692"/>
      <c r="K3" s="1692"/>
    </row>
    <row r="4" spans="1:11" ht="22.5" customHeight="1">
      <c r="K4" s="1264" t="s">
        <v>2540</v>
      </c>
    </row>
    <row r="5" spans="1:11" s="50" customFormat="1" ht="12.75" customHeight="1">
      <c r="A5" s="1688" t="s">
        <v>4</v>
      </c>
      <c r="B5" s="1688" t="s">
        <v>2825</v>
      </c>
      <c r="C5" s="1688" t="s">
        <v>2872</v>
      </c>
      <c r="D5" s="1694" t="s">
        <v>2826</v>
      </c>
      <c r="E5" s="1697" t="s">
        <v>2827</v>
      </c>
      <c r="F5" s="1697"/>
      <c r="G5" s="1697"/>
      <c r="H5" s="1697"/>
      <c r="I5" s="1698" t="s">
        <v>2828</v>
      </c>
      <c r="J5" s="1699"/>
      <c r="K5" s="1688" t="s">
        <v>33</v>
      </c>
    </row>
    <row r="6" spans="1:11" s="50" customFormat="1" ht="12.75" customHeight="1">
      <c r="A6" s="1689"/>
      <c r="B6" s="1689"/>
      <c r="C6" s="1689"/>
      <c r="D6" s="1695"/>
      <c r="E6" s="1696" t="s">
        <v>2829</v>
      </c>
      <c r="F6" s="1701"/>
      <c r="G6" s="1696" t="s">
        <v>1884</v>
      </c>
      <c r="H6" s="1701"/>
      <c r="I6" s="1700"/>
      <c r="J6" s="1701"/>
      <c r="K6" s="1689"/>
    </row>
    <row r="7" spans="1:11" s="50" customFormat="1" ht="7.5" customHeight="1">
      <c r="A7" s="1690"/>
      <c r="B7" s="1690"/>
      <c r="C7" s="1690"/>
      <c r="D7" s="1696"/>
      <c r="E7" s="1265" t="s">
        <v>2830</v>
      </c>
      <c r="F7" s="1265" t="s">
        <v>2831</v>
      </c>
      <c r="G7" s="1265" t="s">
        <v>2830</v>
      </c>
      <c r="H7" s="1265" t="s">
        <v>2831</v>
      </c>
      <c r="I7" s="1265" t="s">
        <v>2830</v>
      </c>
      <c r="J7" s="1265" t="s">
        <v>2831</v>
      </c>
      <c r="K7" s="1690"/>
    </row>
    <row r="8" spans="1:11" s="50" customFormat="1" ht="21.75" customHeight="1">
      <c r="A8" s="1266"/>
      <c r="B8" s="1266" t="s">
        <v>2832</v>
      </c>
      <c r="C8" s="1500">
        <f>C9+C112</f>
        <v>323320</v>
      </c>
      <c r="D8" s="1267">
        <f>F8+H8</f>
        <v>141540</v>
      </c>
      <c r="E8" s="1268">
        <f t="shared" ref="E8:J8" si="0">E10+E13+E26+E36+E48+E65+E87+E98+E112</f>
        <v>256.3</v>
      </c>
      <c r="F8" s="1269">
        <f t="shared" si="0"/>
        <v>111240</v>
      </c>
      <c r="G8" s="1268">
        <f t="shared" si="0"/>
        <v>82</v>
      </c>
      <c r="H8" s="1269">
        <f t="shared" si="0"/>
        <v>30300</v>
      </c>
      <c r="I8" s="1268">
        <f t="shared" si="0"/>
        <v>82</v>
      </c>
      <c r="J8" s="1269">
        <f t="shared" si="0"/>
        <v>181780</v>
      </c>
      <c r="K8" s="1269"/>
    </row>
    <row r="9" spans="1:11" s="50" customFormat="1" ht="16.5" customHeight="1">
      <c r="A9" s="1270" t="s">
        <v>37</v>
      </c>
      <c r="B9" s="1271" t="s">
        <v>2874</v>
      </c>
      <c r="C9" s="1501">
        <f>C10+C13+C26+C36+C48+C65+C87+C98</f>
        <v>219852</v>
      </c>
      <c r="D9" s="1272"/>
      <c r="E9" s="1273"/>
      <c r="F9" s="1274"/>
      <c r="G9" s="1273"/>
      <c r="H9" s="1274"/>
      <c r="I9" s="1273"/>
      <c r="J9" s="1274"/>
      <c r="K9" s="1274"/>
    </row>
    <row r="10" spans="1:11" s="50" customFormat="1" ht="16.5" customHeight="1">
      <c r="A10" s="1270" t="s">
        <v>8</v>
      </c>
      <c r="B10" s="1271" t="s">
        <v>25</v>
      </c>
      <c r="C10" s="1501">
        <f t="shared" ref="C10:C74" si="1">F10+H10+J10</f>
        <v>11348</v>
      </c>
      <c r="D10" s="1272">
        <f t="shared" ref="D10:D73" si="2">F10+H10</f>
        <v>2484</v>
      </c>
      <c r="E10" s="1270">
        <f t="shared" ref="E10:J10" si="3">SUM(E11:E12)</f>
        <v>2.2999999999999998</v>
      </c>
      <c r="F10" s="1274">
        <f t="shared" si="3"/>
        <v>1004</v>
      </c>
      <c r="G10" s="1270">
        <f t="shared" si="3"/>
        <v>4</v>
      </c>
      <c r="H10" s="1274">
        <f t="shared" si="3"/>
        <v>1480</v>
      </c>
      <c r="I10" s="1270">
        <f t="shared" si="3"/>
        <v>4</v>
      </c>
      <c r="J10" s="1274">
        <f t="shared" si="3"/>
        <v>8864</v>
      </c>
      <c r="K10" s="1274"/>
    </row>
    <row r="11" spans="1:11" s="50" customFormat="1" ht="16.5" customHeight="1">
      <c r="A11" s="1179">
        <v>1</v>
      </c>
      <c r="B11" s="1174" t="s">
        <v>601</v>
      </c>
      <c r="C11" s="1136">
        <f t="shared" si="1"/>
        <v>8328</v>
      </c>
      <c r="D11" s="1275">
        <f t="shared" si="2"/>
        <v>1680</v>
      </c>
      <c r="E11" s="1179">
        <v>1.3</v>
      </c>
      <c r="F11" s="1276">
        <f>564+6</f>
        <v>570</v>
      </c>
      <c r="G11" s="1179">
        <v>3</v>
      </c>
      <c r="H11" s="1277">
        <f>370*G11</f>
        <v>1110</v>
      </c>
      <c r="I11" s="1179">
        <v>3</v>
      </c>
      <c r="J11" s="1278">
        <f>2216*I11</f>
        <v>6648</v>
      </c>
      <c r="K11" s="1278"/>
    </row>
    <row r="12" spans="1:11" s="50" customFormat="1" ht="16.5" customHeight="1">
      <c r="A12" s="1179">
        <v>2</v>
      </c>
      <c r="B12" s="1174" t="s">
        <v>603</v>
      </c>
      <c r="C12" s="1136">
        <f t="shared" si="1"/>
        <v>3020</v>
      </c>
      <c r="D12" s="1275">
        <f t="shared" si="2"/>
        <v>804</v>
      </c>
      <c r="E12" s="1179">
        <v>1</v>
      </c>
      <c r="F12" s="1279">
        <v>434</v>
      </c>
      <c r="G12" s="1179">
        <v>1</v>
      </c>
      <c r="H12" s="1278">
        <v>370</v>
      </c>
      <c r="I12" s="1179">
        <v>1</v>
      </c>
      <c r="J12" s="1278">
        <v>2216</v>
      </c>
      <c r="K12" s="1278"/>
    </row>
    <row r="13" spans="1:11" s="50" customFormat="1" ht="16.5" customHeight="1">
      <c r="A13" s="1270" t="s">
        <v>26</v>
      </c>
      <c r="B13" s="1271" t="s">
        <v>19</v>
      </c>
      <c r="C13" s="1501">
        <f t="shared" si="1"/>
        <v>31104</v>
      </c>
      <c r="D13" s="1272">
        <f t="shared" si="2"/>
        <v>13376</v>
      </c>
      <c r="E13" s="1273">
        <f t="shared" ref="E13:J13" si="4">SUM(E14:E25)</f>
        <v>24</v>
      </c>
      <c r="F13" s="1274">
        <f t="shared" si="4"/>
        <v>10416</v>
      </c>
      <c r="G13" s="1273">
        <f t="shared" si="4"/>
        <v>8</v>
      </c>
      <c r="H13" s="1274">
        <f t="shared" si="4"/>
        <v>2960</v>
      </c>
      <c r="I13" s="1273">
        <f t="shared" si="4"/>
        <v>8</v>
      </c>
      <c r="J13" s="1274">
        <f t="shared" si="4"/>
        <v>17728</v>
      </c>
      <c r="K13" s="1274"/>
    </row>
    <row r="14" spans="1:11" s="1280" customFormat="1" ht="16.5" customHeight="1">
      <c r="A14" s="1179">
        <v>1</v>
      </c>
      <c r="B14" s="1174" t="s">
        <v>598</v>
      </c>
      <c r="C14" s="1136">
        <f t="shared" si="1"/>
        <v>3020</v>
      </c>
      <c r="D14" s="1275">
        <f t="shared" si="2"/>
        <v>804</v>
      </c>
      <c r="E14" s="1179">
        <v>1</v>
      </c>
      <c r="F14" s="1279">
        <f>434*E14</f>
        <v>434</v>
      </c>
      <c r="G14" s="1179">
        <v>1</v>
      </c>
      <c r="H14" s="1277">
        <f>370*G14</f>
        <v>370</v>
      </c>
      <c r="I14" s="1179">
        <v>1</v>
      </c>
      <c r="J14" s="1278">
        <f>2216*I14</f>
        <v>2216</v>
      </c>
      <c r="K14" s="1278"/>
    </row>
    <row r="15" spans="1:11" s="1280" customFormat="1" ht="16.5" customHeight="1">
      <c r="A15" s="1179">
        <v>2</v>
      </c>
      <c r="B15" s="1174" t="s">
        <v>589</v>
      </c>
      <c r="C15" s="1136">
        <f t="shared" si="1"/>
        <v>3020</v>
      </c>
      <c r="D15" s="1275">
        <f t="shared" si="2"/>
        <v>804</v>
      </c>
      <c r="E15" s="1179">
        <v>1</v>
      </c>
      <c r="F15" s="1279">
        <f t="shared" ref="F15:F25" si="5">434*E15</f>
        <v>434</v>
      </c>
      <c r="G15" s="1179">
        <v>1</v>
      </c>
      <c r="H15" s="1277">
        <f t="shared" ref="H15:H21" si="6">370*G15</f>
        <v>370</v>
      </c>
      <c r="I15" s="1179">
        <v>1</v>
      </c>
      <c r="J15" s="1278">
        <f t="shared" ref="J15:J21" si="7">2216*I15</f>
        <v>2216</v>
      </c>
      <c r="K15" s="1278"/>
    </row>
    <row r="16" spans="1:11" s="1280" customFormat="1" ht="16.5" customHeight="1">
      <c r="A16" s="1179">
        <v>3</v>
      </c>
      <c r="B16" s="1174" t="s">
        <v>590</v>
      </c>
      <c r="C16" s="1136">
        <f t="shared" si="1"/>
        <v>3020</v>
      </c>
      <c r="D16" s="1275">
        <f t="shared" si="2"/>
        <v>804</v>
      </c>
      <c r="E16" s="1179">
        <v>1</v>
      </c>
      <c r="F16" s="1279">
        <f t="shared" si="5"/>
        <v>434</v>
      </c>
      <c r="G16" s="1179">
        <v>1</v>
      </c>
      <c r="H16" s="1277">
        <f t="shared" si="6"/>
        <v>370</v>
      </c>
      <c r="I16" s="1179">
        <v>1</v>
      </c>
      <c r="J16" s="1278">
        <f t="shared" si="7"/>
        <v>2216</v>
      </c>
      <c r="K16" s="1278"/>
    </row>
    <row r="17" spans="1:11" s="1280" customFormat="1" ht="16.5" customHeight="1">
      <c r="A17" s="1179">
        <v>4</v>
      </c>
      <c r="B17" s="1174" t="s">
        <v>2833</v>
      </c>
      <c r="C17" s="1136">
        <f t="shared" si="1"/>
        <v>3020</v>
      </c>
      <c r="D17" s="1275">
        <f t="shared" si="2"/>
        <v>804</v>
      </c>
      <c r="E17" s="1179">
        <v>1</v>
      </c>
      <c r="F17" s="1279">
        <f t="shared" si="5"/>
        <v>434</v>
      </c>
      <c r="G17" s="1179">
        <v>1</v>
      </c>
      <c r="H17" s="1277">
        <f t="shared" si="6"/>
        <v>370</v>
      </c>
      <c r="I17" s="1179">
        <v>1</v>
      </c>
      <c r="J17" s="1278">
        <f t="shared" si="7"/>
        <v>2216</v>
      </c>
      <c r="K17" s="1278"/>
    </row>
    <row r="18" spans="1:11" s="1280" customFormat="1" ht="16.5" customHeight="1">
      <c r="A18" s="1179">
        <v>5</v>
      </c>
      <c r="B18" s="1174" t="s">
        <v>600</v>
      </c>
      <c r="C18" s="1136">
        <f t="shared" si="1"/>
        <v>3020</v>
      </c>
      <c r="D18" s="1275">
        <f t="shared" si="2"/>
        <v>804</v>
      </c>
      <c r="E18" s="1179">
        <v>1</v>
      </c>
      <c r="F18" s="1279">
        <f t="shared" si="5"/>
        <v>434</v>
      </c>
      <c r="G18" s="1179">
        <v>1</v>
      </c>
      <c r="H18" s="1277">
        <f t="shared" si="6"/>
        <v>370</v>
      </c>
      <c r="I18" s="1179">
        <v>1</v>
      </c>
      <c r="J18" s="1278">
        <f t="shared" si="7"/>
        <v>2216</v>
      </c>
      <c r="K18" s="1278"/>
    </row>
    <row r="19" spans="1:11" s="1280" customFormat="1" ht="16.5" customHeight="1">
      <c r="A19" s="1179">
        <v>6</v>
      </c>
      <c r="B19" s="1174" t="s">
        <v>599</v>
      </c>
      <c r="C19" s="1136">
        <f t="shared" si="1"/>
        <v>3020</v>
      </c>
      <c r="D19" s="1275">
        <f t="shared" si="2"/>
        <v>804</v>
      </c>
      <c r="E19" s="1179">
        <v>1</v>
      </c>
      <c r="F19" s="1279">
        <f t="shared" si="5"/>
        <v>434</v>
      </c>
      <c r="G19" s="1179">
        <v>1</v>
      </c>
      <c r="H19" s="1277">
        <f t="shared" si="6"/>
        <v>370</v>
      </c>
      <c r="I19" s="1179">
        <v>1</v>
      </c>
      <c r="J19" s="1278">
        <f t="shared" si="7"/>
        <v>2216</v>
      </c>
      <c r="K19" s="1278"/>
    </row>
    <row r="20" spans="1:11" s="50" customFormat="1" ht="16.5" customHeight="1">
      <c r="A20" s="1179">
        <v>7</v>
      </c>
      <c r="B20" s="1174" t="s">
        <v>596</v>
      </c>
      <c r="C20" s="1136">
        <f t="shared" si="1"/>
        <v>3020</v>
      </c>
      <c r="D20" s="1275">
        <f t="shared" si="2"/>
        <v>804</v>
      </c>
      <c r="E20" s="1179">
        <v>1</v>
      </c>
      <c r="F20" s="1279">
        <f t="shared" si="5"/>
        <v>434</v>
      </c>
      <c r="G20" s="1179">
        <v>1</v>
      </c>
      <c r="H20" s="1277">
        <f t="shared" si="6"/>
        <v>370</v>
      </c>
      <c r="I20" s="1179">
        <v>1</v>
      </c>
      <c r="J20" s="1278">
        <f t="shared" si="7"/>
        <v>2216</v>
      </c>
      <c r="K20" s="1278"/>
    </row>
    <row r="21" spans="1:11" s="50" customFormat="1" ht="16.5" customHeight="1">
      <c r="A21" s="1179">
        <v>8</v>
      </c>
      <c r="B21" s="1174" t="s">
        <v>597</v>
      </c>
      <c r="C21" s="1136">
        <f t="shared" si="1"/>
        <v>3020</v>
      </c>
      <c r="D21" s="1275">
        <f t="shared" si="2"/>
        <v>804</v>
      </c>
      <c r="E21" s="1179">
        <v>1</v>
      </c>
      <c r="F21" s="1279">
        <f t="shared" si="5"/>
        <v>434</v>
      </c>
      <c r="G21" s="1179">
        <v>1</v>
      </c>
      <c r="H21" s="1277">
        <f t="shared" si="6"/>
        <v>370</v>
      </c>
      <c r="I21" s="1179">
        <v>1</v>
      </c>
      <c r="J21" s="1278">
        <f t="shared" si="7"/>
        <v>2216</v>
      </c>
      <c r="K21" s="1278"/>
    </row>
    <row r="22" spans="1:11" s="50" customFormat="1" ht="16.5" customHeight="1">
      <c r="A22" s="1179">
        <v>9</v>
      </c>
      <c r="B22" s="1174" t="s">
        <v>594</v>
      </c>
      <c r="C22" s="1136">
        <f t="shared" si="1"/>
        <v>1736</v>
      </c>
      <c r="D22" s="1275">
        <f t="shared" si="2"/>
        <v>1736</v>
      </c>
      <c r="E22" s="1179">
        <v>4</v>
      </c>
      <c r="F22" s="1279">
        <f t="shared" si="5"/>
        <v>1736</v>
      </c>
      <c r="G22" s="1179"/>
      <c r="H22" s="1277"/>
      <c r="I22" s="1179"/>
      <c r="J22" s="1278"/>
      <c r="K22" s="1278"/>
    </row>
    <row r="23" spans="1:11" s="50" customFormat="1" ht="16.5" customHeight="1">
      <c r="A23" s="1179">
        <v>10</v>
      </c>
      <c r="B23" s="1174" t="s">
        <v>2834</v>
      </c>
      <c r="C23" s="1136">
        <f t="shared" si="1"/>
        <v>1736</v>
      </c>
      <c r="D23" s="1275">
        <f t="shared" si="2"/>
        <v>1736</v>
      </c>
      <c r="E23" s="1179">
        <v>4</v>
      </c>
      <c r="F23" s="1279">
        <f t="shared" si="5"/>
        <v>1736</v>
      </c>
      <c r="G23" s="1179"/>
      <c r="H23" s="1277"/>
      <c r="I23" s="1179"/>
      <c r="J23" s="1278"/>
      <c r="K23" s="1278"/>
    </row>
    <row r="24" spans="1:11" s="50" customFormat="1" ht="16.5" customHeight="1">
      <c r="A24" s="1179">
        <v>11</v>
      </c>
      <c r="B24" s="1174" t="s">
        <v>593</v>
      </c>
      <c r="C24" s="1136">
        <f t="shared" si="1"/>
        <v>1736</v>
      </c>
      <c r="D24" s="1275">
        <f t="shared" si="2"/>
        <v>1736</v>
      </c>
      <c r="E24" s="1179">
        <v>4</v>
      </c>
      <c r="F24" s="1279">
        <f t="shared" si="5"/>
        <v>1736</v>
      </c>
      <c r="G24" s="1179"/>
      <c r="H24" s="1278"/>
      <c r="I24" s="1179"/>
      <c r="J24" s="1278"/>
      <c r="K24" s="1278"/>
    </row>
    <row r="25" spans="1:11" s="50" customFormat="1" ht="16.5" customHeight="1">
      <c r="A25" s="1179">
        <v>12</v>
      </c>
      <c r="B25" s="1174" t="s">
        <v>595</v>
      </c>
      <c r="C25" s="1136">
        <f t="shared" si="1"/>
        <v>1736</v>
      </c>
      <c r="D25" s="1275">
        <f t="shared" si="2"/>
        <v>1736</v>
      </c>
      <c r="E25" s="1179">
        <v>4</v>
      </c>
      <c r="F25" s="1279">
        <f t="shared" si="5"/>
        <v>1736</v>
      </c>
      <c r="G25" s="1179"/>
      <c r="H25" s="1278"/>
      <c r="I25" s="1179"/>
      <c r="J25" s="1278"/>
      <c r="K25" s="1278"/>
    </row>
    <row r="26" spans="1:11" s="50" customFormat="1" ht="16.5" customHeight="1">
      <c r="A26" s="1270" t="s">
        <v>28</v>
      </c>
      <c r="B26" s="1271" t="s">
        <v>21</v>
      </c>
      <c r="C26" s="1501">
        <f t="shared" si="1"/>
        <v>27180</v>
      </c>
      <c r="D26" s="1272">
        <f t="shared" si="2"/>
        <v>7236</v>
      </c>
      <c r="E26" s="1273">
        <f t="shared" ref="E26:J26" si="8">SUM(E27:E35)</f>
        <v>9</v>
      </c>
      <c r="F26" s="1274">
        <f t="shared" si="8"/>
        <v>3906</v>
      </c>
      <c r="G26" s="1273">
        <f t="shared" si="8"/>
        <v>9</v>
      </c>
      <c r="H26" s="1281">
        <f t="shared" si="8"/>
        <v>3330</v>
      </c>
      <c r="I26" s="1273">
        <f t="shared" si="8"/>
        <v>9</v>
      </c>
      <c r="J26" s="1274">
        <f t="shared" si="8"/>
        <v>19944</v>
      </c>
      <c r="K26" s="1274"/>
    </row>
    <row r="27" spans="1:11" s="50" customFormat="1" ht="16.5" customHeight="1">
      <c r="A27" s="1179">
        <v>1</v>
      </c>
      <c r="B27" s="1282" t="s">
        <v>2835</v>
      </c>
      <c r="C27" s="1136">
        <f t="shared" si="1"/>
        <v>3020</v>
      </c>
      <c r="D27" s="1275">
        <f t="shared" si="2"/>
        <v>804</v>
      </c>
      <c r="E27" s="1283">
        <v>1</v>
      </c>
      <c r="F27" s="1279">
        <f>434*E27</f>
        <v>434</v>
      </c>
      <c r="G27" s="1283">
        <v>1</v>
      </c>
      <c r="H27" s="1277">
        <f>G27*370</f>
        <v>370</v>
      </c>
      <c r="I27" s="1283">
        <v>1</v>
      </c>
      <c r="J27" s="1278">
        <f>2216*I27</f>
        <v>2216</v>
      </c>
      <c r="K27" s="1278"/>
    </row>
    <row r="28" spans="1:11" s="50" customFormat="1" ht="16.5" customHeight="1">
      <c r="A28" s="1179">
        <v>2</v>
      </c>
      <c r="B28" s="1282" t="s">
        <v>2836</v>
      </c>
      <c r="C28" s="1136">
        <f t="shared" si="1"/>
        <v>3020</v>
      </c>
      <c r="D28" s="1275">
        <f t="shared" si="2"/>
        <v>804</v>
      </c>
      <c r="E28" s="1283">
        <v>1</v>
      </c>
      <c r="F28" s="1279">
        <f t="shared" ref="F28:F35" si="9">434*E28</f>
        <v>434</v>
      </c>
      <c r="G28" s="1283">
        <v>1</v>
      </c>
      <c r="H28" s="1277">
        <f t="shared" ref="H28:H35" si="10">G28*370</f>
        <v>370</v>
      </c>
      <c r="I28" s="1283">
        <v>1</v>
      </c>
      <c r="J28" s="1278">
        <f t="shared" ref="J28:J35" si="11">2216*I28</f>
        <v>2216</v>
      </c>
      <c r="K28" s="1278"/>
    </row>
    <row r="29" spans="1:11" s="50" customFormat="1" ht="16.5" customHeight="1">
      <c r="A29" s="1179">
        <v>3</v>
      </c>
      <c r="B29" s="1282" t="s">
        <v>2837</v>
      </c>
      <c r="C29" s="1136">
        <f t="shared" si="1"/>
        <v>3020</v>
      </c>
      <c r="D29" s="1275">
        <f t="shared" si="2"/>
        <v>804</v>
      </c>
      <c r="E29" s="1283">
        <v>1</v>
      </c>
      <c r="F29" s="1279">
        <f t="shared" si="9"/>
        <v>434</v>
      </c>
      <c r="G29" s="1283">
        <v>1</v>
      </c>
      <c r="H29" s="1277">
        <f t="shared" si="10"/>
        <v>370</v>
      </c>
      <c r="I29" s="1283">
        <v>1</v>
      </c>
      <c r="J29" s="1278">
        <f t="shared" si="11"/>
        <v>2216</v>
      </c>
      <c r="K29" s="1278"/>
    </row>
    <row r="30" spans="1:11" s="50" customFormat="1" ht="16.5" customHeight="1">
      <c r="A30" s="1179">
        <v>4</v>
      </c>
      <c r="B30" s="1282" t="s">
        <v>186</v>
      </c>
      <c r="C30" s="1136">
        <f t="shared" si="1"/>
        <v>3020</v>
      </c>
      <c r="D30" s="1275">
        <f t="shared" si="2"/>
        <v>804</v>
      </c>
      <c r="E30" s="1283">
        <v>1</v>
      </c>
      <c r="F30" s="1279">
        <f t="shared" si="9"/>
        <v>434</v>
      </c>
      <c r="G30" s="1283">
        <v>1</v>
      </c>
      <c r="H30" s="1277">
        <f t="shared" si="10"/>
        <v>370</v>
      </c>
      <c r="I30" s="1283">
        <v>1</v>
      </c>
      <c r="J30" s="1278">
        <f t="shared" si="11"/>
        <v>2216</v>
      </c>
      <c r="K30" s="1278"/>
    </row>
    <row r="31" spans="1:11" s="50" customFormat="1" ht="16.5" customHeight="1">
      <c r="A31" s="1179">
        <v>5</v>
      </c>
      <c r="B31" s="1282" t="s">
        <v>207</v>
      </c>
      <c r="C31" s="1136">
        <f t="shared" si="1"/>
        <v>3020</v>
      </c>
      <c r="D31" s="1275">
        <f t="shared" si="2"/>
        <v>804</v>
      </c>
      <c r="E31" s="1283">
        <v>1</v>
      </c>
      <c r="F31" s="1279">
        <f t="shared" si="9"/>
        <v>434</v>
      </c>
      <c r="G31" s="1283">
        <v>1</v>
      </c>
      <c r="H31" s="1277">
        <f t="shared" si="10"/>
        <v>370</v>
      </c>
      <c r="I31" s="1283">
        <v>1</v>
      </c>
      <c r="J31" s="1278">
        <f t="shared" si="11"/>
        <v>2216</v>
      </c>
      <c r="K31" s="1278"/>
    </row>
    <row r="32" spans="1:11" s="50" customFormat="1" ht="16.5" customHeight="1">
      <c r="A32" s="1179">
        <v>6</v>
      </c>
      <c r="B32" s="1282" t="s">
        <v>175</v>
      </c>
      <c r="C32" s="1136">
        <f t="shared" si="1"/>
        <v>3020</v>
      </c>
      <c r="D32" s="1275">
        <f t="shared" si="2"/>
        <v>804</v>
      </c>
      <c r="E32" s="1283">
        <v>1</v>
      </c>
      <c r="F32" s="1279">
        <f t="shared" si="9"/>
        <v>434</v>
      </c>
      <c r="G32" s="1283">
        <v>1</v>
      </c>
      <c r="H32" s="1277">
        <f t="shared" si="10"/>
        <v>370</v>
      </c>
      <c r="I32" s="1283">
        <v>1</v>
      </c>
      <c r="J32" s="1278">
        <f t="shared" si="11"/>
        <v>2216</v>
      </c>
      <c r="K32" s="1278"/>
    </row>
    <row r="33" spans="1:13" s="50" customFormat="1" ht="16.5" customHeight="1">
      <c r="A33" s="1179">
        <v>7</v>
      </c>
      <c r="B33" s="1282" t="s">
        <v>177</v>
      </c>
      <c r="C33" s="1136">
        <f t="shared" si="1"/>
        <v>3020</v>
      </c>
      <c r="D33" s="1275">
        <f t="shared" si="2"/>
        <v>804</v>
      </c>
      <c r="E33" s="1283">
        <v>1</v>
      </c>
      <c r="F33" s="1279">
        <f t="shared" si="9"/>
        <v>434</v>
      </c>
      <c r="G33" s="1283">
        <v>1</v>
      </c>
      <c r="H33" s="1277">
        <f t="shared" si="10"/>
        <v>370</v>
      </c>
      <c r="I33" s="1283">
        <v>1</v>
      </c>
      <c r="J33" s="1278">
        <f t="shared" si="11"/>
        <v>2216</v>
      </c>
      <c r="K33" s="1278"/>
    </row>
    <row r="34" spans="1:13" s="50" customFormat="1" ht="16.5" customHeight="1">
      <c r="A34" s="1179">
        <v>8</v>
      </c>
      <c r="B34" s="1282" t="s">
        <v>183</v>
      </c>
      <c r="C34" s="1136">
        <f t="shared" si="1"/>
        <v>3020</v>
      </c>
      <c r="D34" s="1275">
        <f t="shared" si="2"/>
        <v>804</v>
      </c>
      <c r="E34" s="1283">
        <v>1</v>
      </c>
      <c r="F34" s="1279">
        <f t="shared" si="9"/>
        <v>434</v>
      </c>
      <c r="G34" s="1283">
        <v>1</v>
      </c>
      <c r="H34" s="1277">
        <f t="shared" si="10"/>
        <v>370</v>
      </c>
      <c r="I34" s="1283">
        <v>1</v>
      </c>
      <c r="J34" s="1278">
        <f t="shared" si="11"/>
        <v>2216</v>
      </c>
      <c r="K34" s="1278"/>
    </row>
    <row r="35" spans="1:13" s="50" customFormat="1" ht="16.5" customHeight="1">
      <c r="A35" s="1179">
        <v>9</v>
      </c>
      <c r="B35" s="1282" t="s">
        <v>176</v>
      </c>
      <c r="C35" s="1136">
        <f t="shared" si="1"/>
        <v>3020</v>
      </c>
      <c r="D35" s="1275">
        <f t="shared" si="2"/>
        <v>804</v>
      </c>
      <c r="E35" s="1283">
        <v>1</v>
      </c>
      <c r="F35" s="1279">
        <f t="shared" si="9"/>
        <v>434</v>
      </c>
      <c r="G35" s="1283">
        <v>1</v>
      </c>
      <c r="H35" s="1277">
        <f t="shared" si="10"/>
        <v>370</v>
      </c>
      <c r="I35" s="1283">
        <v>1</v>
      </c>
      <c r="J35" s="1278">
        <f t="shared" si="11"/>
        <v>2216</v>
      </c>
      <c r="K35" s="1278"/>
    </row>
    <row r="36" spans="1:13" s="50" customFormat="1" ht="16.5" customHeight="1">
      <c r="A36" s="1270" t="s">
        <v>29</v>
      </c>
      <c r="B36" s="1271" t="s">
        <v>23</v>
      </c>
      <c r="C36" s="1501">
        <f t="shared" si="1"/>
        <v>28084</v>
      </c>
      <c r="D36" s="1272">
        <f t="shared" si="2"/>
        <v>12572</v>
      </c>
      <c r="E36" s="1273">
        <f t="shared" ref="E36:J36" si="12">SUM(E37:E47)</f>
        <v>23</v>
      </c>
      <c r="F36" s="1274">
        <f t="shared" si="12"/>
        <v>9982</v>
      </c>
      <c r="G36" s="1273">
        <f t="shared" si="12"/>
        <v>7</v>
      </c>
      <c r="H36" s="1274">
        <f t="shared" si="12"/>
        <v>2590</v>
      </c>
      <c r="I36" s="1273">
        <f t="shared" si="12"/>
        <v>7</v>
      </c>
      <c r="J36" s="1274">
        <f t="shared" si="12"/>
        <v>15512</v>
      </c>
      <c r="K36" s="1274"/>
      <c r="L36" s="1284"/>
      <c r="M36" s="1284"/>
    </row>
    <row r="37" spans="1:13" s="50" customFormat="1" ht="16.5" customHeight="1">
      <c r="A37" s="1285">
        <v>1</v>
      </c>
      <c r="B37" s="1286" t="s">
        <v>361</v>
      </c>
      <c r="C37" s="1136">
        <f t="shared" si="1"/>
        <v>3020</v>
      </c>
      <c r="D37" s="1275">
        <f t="shared" si="2"/>
        <v>804</v>
      </c>
      <c r="E37" s="1287">
        <v>1</v>
      </c>
      <c r="F37" s="1279">
        <f>434*E37</f>
        <v>434</v>
      </c>
      <c r="G37" s="1287">
        <v>1</v>
      </c>
      <c r="H37" s="1277">
        <f>370*G37</f>
        <v>370</v>
      </c>
      <c r="I37" s="1287">
        <v>1</v>
      </c>
      <c r="J37" s="1278">
        <f>2216*I37</f>
        <v>2216</v>
      </c>
      <c r="K37" s="1278"/>
    </row>
    <row r="38" spans="1:13" s="50" customFormat="1" ht="16.5" customHeight="1">
      <c r="A38" s="1285">
        <v>2</v>
      </c>
      <c r="B38" s="1286" t="s">
        <v>329</v>
      </c>
      <c r="C38" s="1136">
        <f t="shared" si="1"/>
        <v>3020</v>
      </c>
      <c r="D38" s="1275">
        <f t="shared" si="2"/>
        <v>804</v>
      </c>
      <c r="E38" s="1287">
        <v>1</v>
      </c>
      <c r="F38" s="1279">
        <f t="shared" ref="F38:F47" si="13">434*E38</f>
        <v>434</v>
      </c>
      <c r="G38" s="1287">
        <v>1</v>
      </c>
      <c r="H38" s="1277">
        <f t="shared" ref="H38:H43" si="14">370*G38</f>
        <v>370</v>
      </c>
      <c r="I38" s="1287">
        <v>1</v>
      </c>
      <c r="J38" s="1278">
        <f t="shared" ref="J38:J43" si="15">2216*I38</f>
        <v>2216</v>
      </c>
      <c r="K38" s="1278"/>
    </row>
    <row r="39" spans="1:13" s="50" customFormat="1" ht="16.5" customHeight="1">
      <c r="A39" s="1285">
        <v>3</v>
      </c>
      <c r="B39" s="1286" t="s">
        <v>364</v>
      </c>
      <c r="C39" s="1136">
        <f t="shared" si="1"/>
        <v>3020</v>
      </c>
      <c r="D39" s="1275">
        <f t="shared" si="2"/>
        <v>804</v>
      </c>
      <c r="E39" s="1287">
        <v>1</v>
      </c>
      <c r="F39" s="1279">
        <f t="shared" si="13"/>
        <v>434</v>
      </c>
      <c r="G39" s="1287">
        <v>1</v>
      </c>
      <c r="H39" s="1277">
        <f t="shared" si="14"/>
        <v>370</v>
      </c>
      <c r="I39" s="1287">
        <v>1</v>
      </c>
      <c r="J39" s="1278">
        <f t="shared" si="15"/>
        <v>2216</v>
      </c>
      <c r="K39" s="1278"/>
    </row>
    <row r="40" spans="1:13" s="50" customFormat="1" ht="16.5" customHeight="1">
      <c r="A40" s="1285">
        <v>4</v>
      </c>
      <c r="B40" s="1286" t="s">
        <v>613</v>
      </c>
      <c r="C40" s="1136">
        <f t="shared" si="1"/>
        <v>3020</v>
      </c>
      <c r="D40" s="1275">
        <f t="shared" si="2"/>
        <v>804</v>
      </c>
      <c r="E40" s="1287">
        <v>1</v>
      </c>
      <c r="F40" s="1279">
        <f t="shared" si="13"/>
        <v>434</v>
      </c>
      <c r="G40" s="1287">
        <v>1</v>
      </c>
      <c r="H40" s="1277">
        <f t="shared" si="14"/>
        <v>370</v>
      </c>
      <c r="I40" s="1287">
        <v>1</v>
      </c>
      <c r="J40" s="1278">
        <f t="shared" si="15"/>
        <v>2216</v>
      </c>
      <c r="K40" s="1278"/>
    </row>
    <row r="41" spans="1:13" s="50" customFormat="1" ht="16.5" customHeight="1">
      <c r="A41" s="1285">
        <v>5</v>
      </c>
      <c r="B41" s="1286" t="s">
        <v>375</v>
      </c>
      <c r="C41" s="1136">
        <f t="shared" si="1"/>
        <v>3020</v>
      </c>
      <c r="D41" s="1275">
        <f t="shared" si="2"/>
        <v>804</v>
      </c>
      <c r="E41" s="1287">
        <v>1</v>
      </c>
      <c r="F41" s="1279">
        <f t="shared" si="13"/>
        <v>434</v>
      </c>
      <c r="G41" s="1287">
        <v>1</v>
      </c>
      <c r="H41" s="1277">
        <f t="shared" si="14"/>
        <v>370</v>
      </c>
      <c r="I41" s="1287">
        <v>1</v>
      </c>
      <c r="J41" s="1278">
        <f t="shared" si="15"/>
        <v>2216</v>
      </c>
      <c r="K41" s="1278"/>
    </row>
    <row r="42" spans="1:13" s="50" customFormat="1" ht="16.5" customHeight="1">
      <c r="A42" s="1285">
        <v>6</v>
      </c>
      <c r="B42" s="1286" t="s">
        <v>340</v>
      </c>
      <c r="C42" s="1136">
        <f t="shared" si="1"/>
        <v>3020</v>
      </c>
      <c r="D42" s="1275">
        <f t="shared" si="2"/>
        <v>804</v>
      </c>
      <c r="E42" s="1287">
        <v>1</v>
      </c>
      <c r="F42" s="1279">
        <f t="shared" si="13"/>
        <v>434</v>
      </c>
      <c r="G42" s="1287">
        <v>1</v>
      </c>
      <c r="H42" s="1277">
        <f t="shared" si="14"/>
        <v>370</v>
      </c>
      <c r="I42" s="1287">
        <v>1</v>
      </c>
      <c r="J42" s="1278">
        <f t="shared" si="15"/>
        <v>2216</v>
      </c>
      <c r="K42" s="1278"/>
    </row>
    <row r="43" spans="1:13" s="50" customFormat="1" ht="16.5" customHeight="1">
      <c r="A43" s="1285">
        <v>7</v>
      </c>
      <c r="B43" s="1286" t="s">
        <v>355</v>
      </c>
      <c r="C43" s="1136">
        <f t="shared" si="1"/>
        <v>3020</v>
      </c>
      <c r="D43" s="1275">
        <f t="shared" si="2"/>
        <v>804</v>
      </c>
      <c r="E43" s="1287">
        <v>1</v>
      </c>
      <c r="F43" s="1279">
        <f t="shared" si="13"/>
        <v>434</v>
      </c>
      <c r="G43" s="1287">
        <v>1</v>
      </c>
      <c r="H43" s="1277">
        <f t="shared" si="14"/>
        <v>370</v>
      </c>
      <c r="I43" s="1287">
        <v>1</v>
      </c>
      <c r="J43" s="1278">
        <f t="shared" si="15"/>
        <v>2216</v>
      </c>
      <c r="K43" s="1278"/>
    </row>
    <row r="44" spans="1:13" s="50" customFormat="1" ht="16.5" customHeight="1">
      <c r="A44" s="1285">
        <v>8</v>
      </c>
      <c r="B44" s="1286" t="s">
        <v>334</v>
      </c>
      <c r="C44" s="1136">
        <f t="shared" si="1"/>
        <v>1736</v>
      </c>
      <c r="D44" s="1275">
        <f t="shared" si="2"/>
        <v>1736</v>
      </c>
      <c r="E44" s="1287">
        <v>4</v>
      </c>
      <c r="F44" s="1279">
        <f>434*E44</f>
        <v>1736</v>
      </c>
      <c r="G44" s="1287"/>
      <c r="H44" s="1278"/>
      <c r="I44" s="1287"/>
      <c r="J44" s="1278"/>
      <c r="K44" s="1278"/>
    </row>
    <row r="45" spans="1:13" s="50" customFormat="1" ht="16.5" customHeight="1">
      <c r="A45" s="1285">
        <v>9</v>
      </c>
      <c r="B45" s="1286" t="s">
        <v>368</v>
      </c>
      <c r="C45" s="1136">
        <f t="shared" si="1"/>
        <v>1736</v>
      </c>
      <c r="D45" s="1275">
        <f t="shared" si="2"/>
        <v>1736</v>
      </c>
      <c r="E45" s="1287">
        <v>4</v>
      </c>
      <c r="F45" s="1279">
        <f t="shared" si="13"/>
        <v>1736</v>
      </c>
      <c r="G45" s="1287"/>
      <c r="H45" s="1278"/>
      <c r="I45" s="1287"/>
      <c r="J45" s="1278"/>
      <c r="K45" s="1278"/>
    </row>
    <row r="46" spans="1:13" s="50" customFormat="1" ht="16.5" customHeight="1">
      <c r="A46" s="1285">
        <v>10</v>
      </c>
      <c r="B46" s="1286" t="s">
        <v>345</v>
      </c>
      <c r="C46" s="1136">
        <f t="shared" si="1"/>
        <v>1736</v>
      </c>
      <c r="D46" s="1275">
        <f t="shared" si="2"/>
        <v>1736</v>
      </c>
      <c r="E46" s="1287">
        <v>4</v>
      </c>
      <c r="F46" s="1279">
        <f t="shared" si="13"/>
        <v>1736</v>
      </c>
      <c r="G46" s="1287"/>
      <c r="H46" s="1278"/>
      <c r="I46" s="1287"/>
      <c r="J46" s="1278"/>
      <c r="K46" s="1278"/>
    </row>
    <row r="47" spans="1:13" s="50" customFormat="1" ht="16.5" customHeight="1">
      <c r="A47" s="1285">
        <v>11</v>
      </c>
      <c r="B47" s="1286" t="s">
        <v>356</v>
      </c>
      <c r="C47" s="1136">
        <f t="shared" si="1"/>
        <v>1736</v>
      </c>
      <c r="D47" s="1275">
        <f t="shared" si="2"/>
        <v>1736</v>
      </c>
      <c r="E47" s="1287">
        <v>4</v>
      </c>
      <c r="F47" s="1279">
        <f t="shared" si="13"/>
        <v>1736</v>
      </c>
      <c r="G47" s="1287"/>
      <c r="H47" s="1278"/>
      <c r="I47" s="1287"/>
      <c r="J47" s="1278"/>
      <c r="K47" s="1278"/>
    </row>
    <row r="48" spans="1:13" s="50" customFormat="1" ht="16.5" customHeight="1">
      <c r="A48" s="1270" t="s">
        <v>30</v>
      </c>
      <c r="B48" s="1271" t="s">
        <v>17</v>
      </c>
      <c r="C48" s="1501">
        <f t="shared" si="1"/>
        <v>32912</v>
      </c>
      <c r="D48" s="1272">
        <f t="shared" si="2"/>
        <v>24048</v>
      </c>
      <c r="E48" s="1273">
        <f t="shared" ref="E48:J48" si="16">SUM(E49:E64)</f>
        <v>52</v>
      </c>
      <c r="F48" s="1274">
        <f t="shared" si="16"/>
        <v>22568</v>
      </c>
      <c r="G48" s="1273">
        <f t="shared" si="16"/>
        <v>4</v>
      </c>
      <c r="H48" s="1274">
        <f t="shared" si="16"/>
        <v>1480</v>
      </c>
      <c r="I48" s="1273">
        <f t="shared" si="16"/>
        <v>4</v>
      </c>
      <c r="J48" s="1274">
        <f t="shared" si="16"/>
        <v>8864</v>
      </c>
      <c r="K48" s="1274"/>
    </row>
    <row r="49" spans="1:11" s="50" customFormat="1" ht="16.5" customHeight="1">
      <c r="A49" s="1285">
        <v>1</v>
      </c>
      <c r="B49" s="1286" t="s">
        <v>2838</v>
      </c>
      <c r="C49" s="1136">
        <f t="shared" si="1"/>
        <v>3020</v>
      </c>
      <c r="D49" s="1275">
        <f t="shared" si="2"/>
        <v>804</v>
      </c>
      <c r="E49" s="1285">
        <v>1</v>
      </c>
      <c r="F49" s="1279">
        <f>434*E49</f>
        <v>434</v>
      </c>
      <c r="G49" s="1285">
        <v>1</v>
      </c>
      <c r="H49" s="1277">
        <f>370*G49</f>
        <v>370</v>
      </c>
      <c r="I49" s="1285">
        <v>1</v>
      </c>
      <c r="J49" s="1278">
        <f>2216*I49</f>
        <v>2216</v>
      </c>
      <c r="K49" s="1278"/>
    </row>
    <row r="50" spans="1:11" s="50" customFormat="1" ht="16.5" customHeight="1">
      <c r="A50" s="1285">
        <v>2</v>
      </c>
      <c r="B50" s="1286" t="s">
        <v>2839</v>
      </c>
      <c r="C50" s="1136">
        <f t="shared" si="1"/>
        <v>3020</v>
      </c>
      <c r="D50" s="1275">
        <f t="shared" si="2"/>
        <v>804</v>
      </c>
      <c r="E50" s="1285">
        <v>1</v>
      </c>
      <c r="F50" s="1279">
        <f t="shared" ref="F50:F64" si="17">434*E50</f>
        <v>434</v>
      </c>
      <c r="G50" s="1285">
        <v>1</v>
      </c>
      <c r="H50" s="1277">
        <f t="shared" ref="H50:H52" si="18">370*G50</f>
        <v>370</v>
      </c>
      <c r="I50" s="1285">
        <v>1</v>
      </c>
      <c r="J50" s="1278">
        <f t="shared" ref="J50:J52" si="19">2216*I50</f>
        <v>2216</v>
      </c>
      <c r="K50" s="1278"/>
    </row>
    <row r="51" spans="1:11" s="50" customFormat="1" ht="16.5" customHeight="1">
      <c r="A51" s="1285">
        <v>3</v>
      </c>
      <c r="B51" s="1286" t="s">
        <v>2840</v>
      </c>
      <c r="C51" s="1136">
        <f t="shared" si="1"/>
        <v>3020</v>
      </c>
      <c r="D51" s="1275">
        <f t="shared" si="2"/>
        <v>804</v>
      </c>
      <c r="E51" s="1285">
        <v>1</v>
      </c>
      <c r="F51" s="1279">
        <f t="shared" si="17"/>
        <v>434</v>
      </c>
      <c r="G51" s="1285">
        <v>1</v>
      </c>
      <c r="H51" s="1277">
        <f t="shared" si="18"/>
        <v>370</v>
      </c>
      <c r="I51" s="1285">
        <v>1</v>
      </c>
      <c r="J51" s="1278">
        <f t="shared" si="19"/>
        <v>2216</v>
      </c>
      <c r="K51" s="1278"/>
    </row>
    <row r="52" spans="1:11" s="50" customFormat="1" ht="16.5" customHeight="1">
      <c r="A52" s="1285">
        <v>4</v>
      </c>
      <c r="B52" s="1286" t="s">
        <v>2841</v>
      </c>
      <c r="C52" s="1136">
        <f t="shared" si="1"/>
        <v>3020</v>
      </c>
      <c r="D52" s="1275">
        <f t="shared" si="2"/>
        <v>804</v>
      </c>
      <c r="E52" s="1285">
        <v>1</v>
      </c>
      <c r="F52" s="1279">
        <f t="shared" si="17"/>
        <v>434</v>
      </c>
      <c r="G52" s="1285">
        <v>1</v>
      </c>
      <c r="H52" s="1277">
        <f t="shared" si="18"/>
        <v>370</v>
      </c>
      <c r="I52" s="1285">
        <v>1</v>
      </c>
      <c r="J52" s="1278">
        <f t="shared" si="19"/>
        <v>2216</v>
      </c>
      <c r="K52" s="1278"/>
    </row>
    <row r="53" spans="1:11" s="50" customFormat="1" ht="16.5" customHeight="1">
      <c r="A53" s="1285">
        <v>5</v>
      </c>
      <c r="B53" s="1288" t="s">
        <v>1652</v>
      </c>
      <c r="C53" s="1136">
        <f t="shared" si="1"/>
        <v>1736</v>
      </c>
      <c r="D53" s="1275">
        <f t="shared" si="2"/>
        <v>1736</v>
      </c>
      <c r="E53" s="1285">
        <v>4</v>
      </c>
      <c r="F53" s="1279">
        <f t="shared" si="17"/>
        <v>1736</v>
      </c>
      <c r="G53" s="1285"/>
      <c r="H53" s="1278"/>
      <c r="I53" s="1285"/>
      <c r="J53" s="1278"/>
      <c r="K53" s="1278"/>
    </row>
    <row r="54" spans="1:11" s="50" customFormat="1" ht="16.5" customHeight="1">
      <c r="A54" s="1285">
        <v>6</v>
      </c>
      <c r="B54" s="1289" t="s">
        <v>2842</v>
      </c>
      <c r="C54" s="1136">
        <f t="shared" si="1"/>
        <v>1736</v>
      </c>
      <c r="D54" s="1275">
        <f t="shared" si="2"/>
        <v>1736</v>
      </c>
      <c r="E54" s="1285">
        <v>4</v>
      </c>
      <c r="F54" s="1279">
        <f t="shared" si="17"/>
        <v>1736</v>
      </c>
      <c r="G54" s="1285"/>
      <c r="H54" s="1278"/>
      <c r="I54" s="1285"/>
      <c r="J54" s="1278"/>
      <c r="K54" s="1278"/>
    </row>
    <row r="55" spans="1:11" s="50" customFormat="1" ht="16.5" customHeight="1">
      <c r="A55" s="1285">
        <v>7</v>
      </c>
      <c r="B55" s="1289" t="s">
        <v>1655</v>
      </c>
      <c r="C55" s="1136">
        <f t="shared" si="1"/>
        <v>1736</v>
      </c>
      <c r="D55" s="1275">
        <f t="shared" si="2"/>
        <v>1736</v>
      </c>
      <c r="E55" s="1285">
        <v>4</v>
      </c>
      <c r="F55" s="1279">
        <f t="shared" si="17"/>
        <v>1736</v>
      </c>
      <c r="G55" s="1285"/>
      <c r="H55" s="1278"/>
      <c r="I55" s="1285"/>
      <c r="J55" s="1278"/>
      <c r="K55" s="1278"/>
    </row>
    <row r="56" spans="1:11" s="50" customFormat="1" ht="16.5" customHeight="1">
      <c r="A56" s="1285">
        <v>8</v>
      </c>
      <c r="B56" s="1289" t="s">
        <v>2843</v>
      </c>
      <c r="C56" s="1136">
        <f t="shared" si="1"/>
        <v>1736</v>
      </c>
      <c r="D56" s="1275">
        <f t="shared" si="2"/>
        <v>1736</v>
      </c>
      <c r="E56" s="1285">
        <v>4</v>
      </c>
      <c r="F56" s="1279">
        <f t="shared" si="17"/>
        <v>1736</v>
      </c>
      <c r="G56" s="1285"/>
      <c r="H56" s="1278"/>
      <c r="I56" s="1285"/>
      <c r="J56" s="1278"/>
      <c r="K56" s="1278"/>
    </row>
    <row r="57" spans="1:11" s="50" customFormat="1" ht="16.5" customHeight="1">
      <c r="A57" s="1285">
        <v>9</v>
      </c>
      <c r="B57" s="1289" t="s">
        <v>1651</v>
      </c>
      <c r="C57" s="1136">
        <f t="shared" si="1"/>
        <v>1736</v>
      </c>
      <c r="D57" s="1275">
        <f t="shared" si="2"/>
        <v>1736</v>
      </c>
      <c r="E57" s="1285">
        <v>4</v>
      </c>
      <c r="F57" s="1279">
        <f t="shared" si="17"/>
        <v>1736</v>
      </c>
      <c r="G57" s="1285"/>
      <c r="H57" s="1278"/>
      <c r="I57" s="1285"/>
      <c r="J57" s="1278"/>
      <c r="K57" s="1278"/>
    </row>
    <row r="58" spans="1:11" s="50" customFormat="1" ht="16.5" customHeight="1">
      <c r="A58" s="1285">
        <v>10</v>
      </c>
      <c r="B58" s="1289" t="s">
        <v>2844</v>
      </c>
      <c r="C58" s="1136">
        <f t="shared" si="1"/>
        <v>1736</v>
      </c>
      <c r="D58" s="1275">
        <f t="shared" si="2"/>
        <v>1736</v>
      </c>
      <c r="E58" s="1285">
        <v>4</v>
      </c>
      <c r="F58" s="1279">
        <f t="shared" si="17"/>
        <v>1736</v>
      </c>
      <c r="G58" s="1285"/>
      <c r="H58" s="1278"/>
      <c r="I58" s="1285"/>
      <c r="J58" s="1278"/>
      <c r="K58" s="1278"/>
    </row>
    <row r="59" spans="1:11" s="50" customFormat="1" ht="16.5" customHeight="1">
      <c r="A59" s="1285">
        <v>11</v>
      </c>
      <c r="B59" s="1289" t="s">
        <v>1659</v>
      </c>
      <c r="C59" s="1136">
        <f t="shared" si="1"/>
        <v>1736</v>
      </c>
      <c r="D59" s="1275">
        <f t="shared" si="2"/>
        <v>1736</v>
      </c>
      <c r="E59" s="1285">
        <v>4</v>
      </c>
      <c r="F59" s="1279">
        <f t="shared" si="17"/>
        <v>1736</v>
      </c>
      <c r="G59" s="1285"/>
      <c r="H59" s="1278"/>
      <c r="I59" s="1285"/>
      <c r="J59" s="1278"/>
      <c r="K59" s="1278"/>
    </row>
    <row r="60" spans="1:11" s="50" customFormat="1" ht="16.5" customHeight="1">
      <c r="A60" s="1285">
        <v>12</v>
      </c>
      <c r="B60" s="1289" t="s">
        <v>1653</v>
      </c>
      <c r="C60" s="1136">
        <f t="shared" si="1"/>
        <v>1736</v>
      </c>
      <c r="D60" s="1275">
        <f t="shared" si="2"/>
        <v>1736</v>
      </c>
      <c r="E60" s="1285">
        <v>4</v>
      </c>
      <c r="F60" s="1279">
        <f t="shared" si="17"/>
        <v>1736</v>
      </c>
      <c r="G60" s="1285"/>
      <c r="H60" s="1278"/>
      <c r="I60" s="1285"/>
      <c r="J60" s="1278"/>
      <c r="K60" s="1278"/>
    </row>
    <row r="61" spans="1:11" s="50" customFormat="1" ht="16.5" customHeight="1">
      <c r="A61" s="1285">
        <v>13</v>
      </c>
      <c r="B61" s="1289" t="s">
        <v>1656</v>
      </c>
      <c r="C61" s="1136">
        <f t="shared" si="1"/>
        <v>1736</v>
      </c>
      <c r="D61" s="1275">
        <f t="shared" si="2"/>
        <v>1736</v>
      </c>
      <c r="E61" s="1285">
        <v>4</v>
      </c>
      <c r="F61" s="1279">
        <f t="shared" si="17"/>
        <v>1736</v>
      </c>
      <c r="G61" s="1285"/>
      <c r="H61" s="1278"/>
      <c r="I61" s="1285"/>
      <c r="J61" s="1278"/>
      <c r="K61" s="1278"/>
    </row>
    <row r="62" spans="1:11" s="50" customFormat="1" ht="16.5" customHeight="1">
      <c r="A62" s="1285">
        <v>14</v>
      </c>
      <c r="B62" s="1289" t="s">
        <v>1658</v>
      </c>
      <c r="C62" s="1136">
        <f t="shared" si="1"/>
        <v>1736</v>
      </c>
      <c r="D62" s="1275">
        <f t="shared" si="2"/>
        <v>1736</v>
      </c>
      <c r="E62" s="1285">
        <v>4</v>
      </c>
      <c r="F62" s="1279">
        <f t="shared" si="17"/>
        <v>1736</v>
      </c>
      <c r="G62" s="1285"/>
      <c r="H62" s="1278"/>
      <c r="I62" s="1285"/>
      <c r="J62" s="1278"/>
      <c r="K62" s="1278"/>
    </row>
    <row r="63" spans="1:11" s="50" customFormat="1" ht="16.5" customHeight="1">
      <c r="A63" s="1285">
        <v>15</v>
      </c>
      <c r="B63" s="1289" t="s">
        <v>2845</v>
      </c>
      <c r="C63" s="1136">
        <f t="shared" si="1"/>
        <v>1736</v>
      </c>
      <c r="D63" s="1275">
        <f t="shared" si="2"/>
        <v>1736</v>
      </c>
      <c r="E63" s="1285">
        <v>4</v>
      </c>
      <c r="F63" s="1279">
        <f t="shared" si="17"/>
        <v>1736</v>
      </c>
      <c r="G63" s="1285"/>
      <c r="H63" s="1278"/>
      <c r="I63" s="1285"/>
      <c r="J63" s="1278"/>
      <c r="K63" s="1278"/>
    </row>
    <row r="64" spans="1:11" s="50" customFormat="1" ht="16.5" customHeight="1">
      <c r="A64" s="1285">
        <v>16</v>
      </c>
      <c r="B64" s="1289" t="s">
        <v>1654</v>
      </c>
      <c r="C64" s="1136">
        <f t="shared" si="1"/>
        <v>1736</v>
      </c>
      <c r="D64" s="1275">
        <f t="shared" si="2"/>
        <v>1736</v>
      </c>
      <c r="E64" s="1285">
        <v>4</v>
      </c>
      <c r="F64" s="1279">
        <f t="shared" si="17"/>
        <v>1736</v>
      </c>
      <c r="G64" s="1285"/>
      <c r="H64" s="1278"/>
      <c r="I64" s="1285"/>
      <c r="J64" s="1278"/>
      <c r="K64" s="1278"/>
    </row>
    <row r="65" spans="1:11" s="50" customFormat="1" ht="16.5" customHeight="1">
      <c r="A65" s="1270" t="s">
        <v>31</v>
      </c>
      <c r="B65" s="1271" t="s">
        <v>15</v>
      </c>
      <c r="C65" s="1501">
        <f t="shared" si="1"/>
        <v>41592</v>
      </c>
      <c r="D65" s="1272">
        <f t="shared" si="2"/>
        <v>32728</v>
      </c>
      <c r="E65" s="1273">
        <f t="shared" ref="E65:J65" si="20">SUM(E66:E86)</f>
        <v>72</v>
      </c>
      <c r="F65" s="1274">
        <f t="shared" si="20"/>
        <v>31248</v>
      </c>
      <c r="G65" s="1273">
        <f t="shared" si="20"/>
        <v>4</v>
      </c>
      <c r="H65" s="1274">
        <f t="shared" si="20"/>
        <v>1480</v>
      </c>
      <c r="I65" s="1273">
        <f t="shared" si="20"/>
        <v>4</v>
      </c>
      <c r="J65" s="1274">
        <f t="shared" si="20"/>
        <v>8864</v>
      </c>
      <c r="K65" s="1274"/>
    </row>
    <row r="66" spans="1:11" s="50" customFormat="1" ht="16.5" customHeight="1">
      <c r="A66" s="1290">
        <v>1</v>
      </c>
      <c r="B66" s="1174" t="s">
        <v>2846</v>
      </c>
      <c r="C66" s="1136">
        <f t="shared" si="1"/>
        <v>3020</v>
      </c>
      <c r="D66" s="1275">
        <f t="shared" si="2"/>
        <v>804</v>
      </c>
      <c r="E66" s="1291">
        <v>1</v>
      </c>
      <c r="F66" s="1279">
        <f>434*E66</f>
        <v>434</v>
      </c>
      <c r="G66" s="1291">
        <v>1</v>
      </c>
      <c r="H66" s="1277">
        <f>370*G66</f>
        <v>370</v>
      </c>
      <c r="I66" s="1291">
        <v>1</v>
      </c>
      <c r="J66" s="1278">
        <f>2216*I66</f>
        <v>2216</v>
      </c>
      <c r="K66" s="1278"/>
    </row>
    <row r="67" spans="1:11" s="50" customFormat="1" ht="16.5" customHeight="1">
      <c r="A67" s="1290">
        <v>2</v>
      </c>
      <c r="B67" s="1174" t="s">
        <v>2847</v>
      </c>
      <c r="C67" s="1136">
        <f t="shared" si="1"/>
        <v>3020</v>
      </c>
      <c r="D67" s="1275">
        <f t="shared" si="2"/>
        <v>804</v>
      </c>
      <c r="E67" s="1291">
        <v>1</v>
      </c>
      <c r="F67" s="1279">
        <f t="shared" ref="F67:F86" si="21">434*E67</f>
        <v>434</v>
      </c>
      <c r="G67" s="1291">
        <v>1</v>
      </c>
      <c r="H67" s="1277">
        <f t="shared" ref="H67:H69" si="22">370*G67</f>
        <v>370</v>
      </c>
      <c r="I67" s="1291">
        <v>1</v>
      </c>
      <c r="J67" s="1278">
        <f t="shared" ref="J67:J69" si="23">2216*I67</f>
        <v>2216</v>
      </c>
      <c r="K67" s="1278"/>
    </row>
    <row r="68" spans="1:11" s="50" customFormat="1" ht="16.5" customHeight="1">
      <c r="A68" s="1290">
        <v>3</v>
      </c>
      <c r="B68" s="1174" t="s">
        <v>2848</v>
      </c>
      <c r="C68" s="1136">
        <f t="shared" si="1"/>
        <v>3020</v>
      </c>
      <c r="D68" s="1275">
        <f t="shared" si="2"/>
        <v>804</v>
      </c>
      <c r="E68" s="1291">
        <v>1</v>
      </c>
      <c r="F68" s="1279">
        <f t="shared" si="21"/>
        <v>434</v>
      </c>
      <c r="G68" s="1291">
        <v>1</v>
      </c>
      <c r="H68" s="1277">
        <f t="shared" si="22"/>
        <v>370</v>
      </c>
      <c r="I68" s="1291">
        <v>1</v>
      </c>
      <c r="J68" s="1278">
        <f t="shared" si="23"/>
        <v>2216</v>
      </c>
      <c r="K68" s="1278"/>
    </row>
    <row r="69" spans="1:11" s="50" customFormat="1" ht="16.5" customHeight="1">
      <c r="A69" s="1290">
        <v>4</v>
      </c>
      <c r="B69" s="1174" t="s">
        <v>2849</v>
      </c>
      <c r="C69" s="1136">
        <f t="shared" si="1"/>
        <v>3020</v>
      </c>
      <c r="D69" s="1275">
        <f t="shared" si="2"/>
        <v>804</v>
      </c>
      <c r="E69" s="1291">
        <v>1</v>
      </c>
      <c r="F69" s="1279">
        <f t="shared" si="21"/>
        <v>434</v>
      </c>
      <c r="G69" s="1291">
        <v>1</v>
      </c>
      <c r="H69" s="1277">
        <f t="shared" si="22"/>
        <v>370</v>
      </c>
      <c r="I69" s="1291">
        <v>1</v>
      </c>
      <c r="J69" s="1278">
        <f t="shared" si="23"/>
        <v>2216</v>
      </c>
      <c r="K69" s="1278"/>
    </row>
    <row r="70" spans="1:11" s="50" customFormat="1" ht="16.5" customHeight="1">
      <c r="A70" s="1290">
        <v>5</v>
      </c>
      <c r="B70" s="1174" t="s">
        <v>1666</v>
      </c>
      <c r="C70" s="1136">
        <f t="shared" si="1"/>
        <v>1736</v>
      </c>
      <c r="D70" s="1275">
        <f t="shared" si="2"/>
        <v>1736</v>
      </c>
      <c r="E70" s="1291">
        <v>4</v>
      </c>
      <c r="F70" s="1279">
        <f t="shared" si="21"/>
        <v>1736</v>
      </c>
      <c r="G70" s="1291"/>
      <c r="H70" s="1278"/>
      <c r="I70" s="1291"/>
      <c r="J70" s="1278"/>
      <c r="K70" s="1278"/>
    </row>
    <row r="71" spans="1:11" s="50" customFormat="1" ht="16.5" customHeight="1">
      <c r="A71" s="1290">
        <v>6</v>
      </c>
      <c r="B71" s="1174" t="s">
        <v>1664</v>
      </c>
      <c r="C71" s="1136">
        <f t="shared" si="1"/>
        <v>1736</v>
      </c>
      <c r="D71" s="1275">
        <f t="shared" si="2"/>
        <v>1736</v>
      </c>
      <c r="E71" s="1291">
        <v>4</v>
      </c>
      <c r="F71" s="1279">
        <f t="shared" si="21"/>
        <v>1736</v>
      </c>
      <c r="G71" s="1291"/>
      <c r="H71" s="1278"/>
      <c r="I71" s="1291"/>
      <c r="J71" s="1278"/>
      <c r="K71" s="1278"/>
    </row>
    <row r="72" spans="1:11" s="50" customFormat="1" ht="16.5" customHeight="1">
      <c r="A72" s="1290">
        <v>7</v>
      </c>
      <c r="B72" s="1174" t="s">
        <v>1662</v>
      </c>
      <c r="C72" s="1136">
        <f t="shared" si="1"/>
        <v>1736</v>
      </c>
      <c r="D72" s="1275">
        <f t="shared" si="2"/>
        <v>1736</v>
      </c>
      <c r="E72" s="1291">
        <v>4</v>
      </c>
      <c r="F72" s="1279">
        <f t="shared" si="21"/>
        <v>1736</v>
      </c>
      <c r="G72" s="1291"/>
      <c r="H72" s="1278"/>
      <c r="I72" s="1291"/>
      <c r="J72" s="1278"/>
      <c r="K72" s="1278"/>
    </row>
    <row r="73" spans="1:11" s="50" customFormat="1" ht="16.5" customHeight="1">
      <c r="A73" s="1290">
        <v>8</v>
      </c>
      <c r="B73" s="1174" t="s">
        <v>2850</v>
      </c>
      <c r="C73" s="1136">
        <f t="shared" si="1"/>
        <v>1736</v>
      </c>
      <c r="D73" s="1275">
        <f t="shared" si="2"/>
        <v>1736</v>
      </c>
      <c r="E73" s="1291">
        <v>4</v>
      </c>
      <c r="F73" s="1279">
        <f t="shared" si="21"/>
        <v>1736</v>
      </c>
      <c r="G73" s="1291"/>
      <c r="H73" s="1278"/>
      <c r="I73" s="1291"/>
      <c r="J73" s="1278"/>
      <c r="K73" s="1278"/>
    </row>
    <row r="74" spans="1:11" s="50" customFormat="1" ht="16.5" customHeight="1">
      <c r="A74" s="1290">
        <v>9</v>
      </c>
      <c r="B74" s="1174" t="s">
        <v>2851</v>
      </c>
      <c r="C74" s="1136">
        <f t="shared" si="1"/>
        <v>1736</v>
      </c>
      <c r="D74" s="1275">
        <f t="shared" ref="D74:D114" si="24">F74+H74</f>
        <v>1736</v>
      </c>
      <c r="E74" s="1291">
        <v>4</v>
      </c>
      <c r="F74" s="1279">
        <f t="shared" si="21"/>
        <v>1736</v>
      </c>
      <c r="G74" s="1291"/>
      <c r="H74" s="1278"/>
      <c r="I74" s="1291"/>
      <c r="J74" s="1278"/>
      <c r="K74" s="1278"/>
    </row>
    <row r="75" spans="1:11" s="50" customFormat="1" ht="16.5" customHeight="1">
      <c r="A75" s="1290">
        <v>10</v>
      </c>
      <c r="B75" s="1174" t="s">
        <v>1663</v>
      </c>
      <c r="C75" s="1136">
        <f t="shared" ref="C75:C114" si="25">F75+H75+J75</f>
        <v>1736</v>
      </c>
      <c r="D75" s="1275">
        <f t="shared" si="24"/>
        <v>1736</v>
      </c>
      <c r="E75" s="1291">
        <v>4</v>
      </c>
      <c r="F75" s="1279">
        <f t="shared" si="21"/>
        <v>1736</v>
      </c>
      <c r="G75" s="1291"/>
      <c r="H75" s="1278"/>
      <c r="I75" s="1291"/>
      <c r="J75" s="1278"/>
      <c r="K75" s="1278"/>
    </row>
    <row r="76" spans="1:11" s="50" customFormat="1" ht="16.5" customHeight="1">
      <c r="A76" s="1290">
        <v>11</v>
      </c>
      <c r="B76" s="1174" t="s">
        <v>2852</v>
      </c>
      <c r="C76" s="1136">
        <f t="shared" si="25"/>
        <v>1736</v>
      </c>
      <c r="D76" s="1275">
        <f t="shared" si="24"/>
        <v>1736</v>
      </c>
      <c r="E76" s="1291">
        <v>4</v>
      </c>
      <c r="F76" s="1279">
        <f t="shared" si="21"/>
        <v>1736</v>
      </c>
      <c r="G76" s="1291"/>
      <c r="H76" s="1278"/>
      <c r="I76" s="1291"/>
      <c r="J76" s="1278"/>
      <c r="K76" s="1278"/>
    </row>
    <row r="77" spans="1:11" s="50" customFormat="1" ht="16.5" customHeight="1">
      <c r="A77" s="1290">
        <v>12</v>
      </c>
      <c r="B77" s="1174" t="s">
        <v>1660</v>
      </c>
      <c r="C77" s="1136">
        <f t="shared" si="25"/>
        <v>1736</v>
      </c>
      <c r="D77" s="1275">
        <f t="shared" si="24"/>
        <v>1736</v>
      </c>
      <c r="E77" s="1291">
        <v>4</v>
      </c>
      <c r="F77" s="1279">
        <f t="shared" si="21"/>
        <v>1736</v>
      </c>
      <c r="G77" s="1291"/>
      <c r="H77" s="1278"/>
      <c r="I77" s="1291"/>
      <c r="J77" s="1278"/>
      <c r="K77" s="1278"/>
    </row>
    <row r="78" spans="1:11" s="50" customFormat="1" ht="16.5" customHeight="1">
      <c r="A78" s="1290">
        <v>13</v>
      </c>
      <c r="B78" s="1174" t="s">
        <v>1667</v>
      </c>
      <c r="C78" s="1136">
        <f t="shared" si="25"/>
        <v>1736</v>
      </c>
      <c r="D78" s="1275">
        <f t="shared" si="24"/>
        <v>1736</v>
      </c>
      <c r="E78" s="1291">
        <v>4</v>
      </c>
      <c r="F78" s="1279">
        <f t="shared" si="21"/>
        <v>1736</v>
      </c>
      <c r="G78" s="1291"/>
      <c r="H78" s="1278"/>
      <c r="I78" s="1291"/>
      <c r="J78" s="1278"/>
      <c r="K78" s="1278"/>
    </row>
    <row r="79" spans="1:11" s="50" customFormat="1" ht="16.5" customHeight="1">
      <c r="A79" s="1290">
        <v>14</v>
      </c>
      <c r="B79" s="1174" t="s">
        <v>2853</v>
      </c>
      <c r="C79" s="1136">
        <f t="shared" si="25"/>
        <v>1736</v>
      </c>
      <c r="D79" s="1275">
        <f t="shared" si="24"/>
        <v>1736</v>
      </c>
      <c r="E79" s="1291">
        <v>4</v>
      </c>
      <c r="F79" s="1279">
        <f t="shared" si="21"/>
        <v>1736</v>
      </c>
      <c r="G79" s="1291"/>
      <c r="H79" s="1278"/>
      <c r="I79" s="1291"/>
      <c r="J79" s="1278"/>
      <c r="K79" s="1278"/>
    </row>
    <row r="80" spans="1:11" s="50" customFormat="1" ht="16.5" customHeight="1">
      <c r="A80" s="1290">
        <v>15</v>
      </c>
      <c r="B80" s="1174" t="s">
        <v>2854</v>
      </c>
      <c r="C80" s="1136">
        <f t="shared" si="25"/>
        <v>1736</v>
      </c>
      <c r="D80" s="1275">
        <f t="shared" si="24"/>
        <v>1736</v>
      </c>
      <c r="E80" s="1291">
        <v>4</v>
      </c>
      <c r="F80" s="1279">
        <f t="shared" si="21"/>
        <v>1736</v>
      </c>
      <c r="G80" s="1291"/>
      <c r="H80" s="1278"/>
      <c r="I80" s="1291"/>
      <c r="J80" s="1278"/>
      <c r="K80" s="1278"/>
    </row>
    <row r="81" spans="1:11" s="50" customFormat="1" ht="16.5" customHeight="1">
      <c r="A81" s="1290">
        <v>16</v>
      </c>
      <c r="B81" s="1174" t="s">
        <v>2855</v>
      </c>
      <c r="C81" s="1136">
        <f t="shared" si="25"/>
        <v>1736</v>
      </c>
      <c r="D81" s="1275">
        <f t="shared" si="24"/>
        <v>1736</v>
      </c>
      <c r="E81" s="1291">
        <v>4</v>
      </c>
      <c r="F81" s="1279">
        <f t="shared" si="21"/>
        <v>1736</v>
      </c>
      <c r="G81" s="1291"/>
      <c r="H81" s="1278"/>
      <c r="I81" s="1291"/>
      <c r="J81" s="1278"/>
      <c r="K81" s="1278"/>
    </row>
    <row r="82" spans="1:11" s="50" customFormat="1" ht="16.5" customHeight="1">
      <c r="A82" s="1290">
        <v>17</v>
      </c>
      <c r="B82" s="1174" t="s">
        <v>1661</v>
      </c>
      <c r="C82" s="1136">
        <f t="shared" si="25"/>
        <v>1736</v>
      </c>
      <c r="D82" s="1275">
        <f t="shared" si="24"/>
        <v>1736</v>
      </c>
      <c r="E82" s="1291">
        <v>4</v>
      </c>
      <c r="F82" s="1279">
        <f t="shared" si="21"/>
        <v>1736</v>
      </c>
      <c r="G82" s="1291"/>
      <c r="H82" s="1278"/>
      <c r="I82" s="1291"/>
      <c r="J82" s="1278"/>
      <c r="K82" s="1278"/>
    </row>
    <row r="83" spans="1:11" s="50" customFormat="1" ht="16.5" customHeight="1">
      <c r="A83" s="1290">
        <v>18</v>
      </c>
      <c r="B83" s="1174" t="s">
        <v>1665</v>
      </c>
      <c r="C83" s="1136">
        <f t="shared" si="25"/>
        <v>1736</v>
      </c>
      <c r="D83" s="1275">
        <f t="shared" si="24"/>
        <v>1736</v>
      </c>
      <c r="E83" s="1291">
        <v>4</v>
      </c>
      <c r="F83" s="1279">
        <f t="shared" si="21"/>
        <v>1736</v>
      </c>
      <c r="G83" s="1291"/>
      <c r="H83" s="1278"/>
      <c r="I83" s="1291"/>
      <c r="J83" s="1278"/>
      <c r="K83" s="1278"/>
    </row>
    <row r="84" spans="1:11" s="50" customFormat="1" ht="16.5" customHeight="1">
      <c r="A84" s="1290">
        <v>19</v>
      </c>
      <c r="B84" s="1174" t="s">
        <v>2856</v>
      </c>
      <c r="C84" s="1136">
        <f t="shared" si="25"/>
        <v>1736</v>
      </c>
      <c r="D84" s="1275">
        <f t="shared" si="24"/>
        <v>1736</v>
      </c>
      <c r="E84" s="1291">
        <v>4</v>
      </c>
      <c r="F84" s="1279">
        <f t="shared" si="21"/>
        <v>1736</v>
      </c>
      <c r="G84" s="1291"/>
      <c r="H84" s="1278"/>
      <c r="I84" s="1291"/>
      <c r="J84" s="1278"/>
      <c r="K84" s="1278"/>
    </row>
    <row r="85" spans="1:11" s="50" customFormat="1" ht="16.5" customHeight="1">
      <c r="A85" s="1290">
        <v>20</v>
      </c>
      <c r="B85" s="1174" t="s">
        <v>2857</v>
      </c>
      <c r="C85" s="1136">
        <f t="shared" si="25"/>
        <v>1736</v>
      </c>
      <c r="D85" s="1275">
        <f t="shared" si="24"/>
        <v>1736</v>
      </c>
      <c r="E85" s="1291">
        <v>4</v>
      </c>
      <c r="F85" s="1279">
        <f t="shared" si="21"/>
        <v>1736</v>
      </c>
      <c r="G85" s="1291"/>
      <c r="H85" s="1278"/>
      <c r="I85" s="1291"/>
      <c r="J85" s="1278"/>
      <c r="K85" s="1278"/>
    </row>
    <row r="86" spans="1:11" s="50" customFormat="1" ht="16.5" customHeight="1">
      <c r="A86" s="1290">
        <v>21</v>
      </c>
      <c r="B86" s="1174" t="s">
        <v>2858</v>
      </c>
      <c r="C86" s="1136">
        <f t="shared" si="25"/>
        <v>1736</v>
      </c>
      <c r="D86" s="1275">
        <f t="shared" si="24"/>
        <v>1736</v>
      </c>
      <c r="E86" s="1291">
        <v>4</v>
      </c>
      <c r="F86" s="1279">
        <f t="shared" si="21"/>
        <v>1736</v>
      </c>
      <c r="G86" s="1291"/>
      <c r="H86" s="1278"/>
      <c r="I86" s="1291"/>
      <c r="J86" s="1278"/>
      <c r="K86" s="1278"/>
    </row>
    <row r="87" spans="1:11" s="50" customFormat="1" ht="16.5" customHeight="1">
      <c r="A87" s="1270" t="s">
        <v>80</v>
      </c>
      <c r="B87" s="1271" t="s">
        <v>13</v>
      </c>
      <c r="C87" s="1501">
        <f t="shared" si="25"/>
        <v>21212</v>
      </c>
      <c r="D87" s="1272">
        <f t="shared" si="24"/>
        <v>14564</v>
      </c>
      <c r="E87" s="1270">
        <f>SUM(E88:E97)</f>
        <v>31</v>
      </c>
      <c r="F87" s="1274">
        <f>SUM(F88:F97)</f>
        <v>13454</v>
      </c>
      <c r="G87" s="1270">
        <f>SUM(G88:G97)</f>
        <v>3</v>
      </c>
      <c r="H87" s="1292">
        <f t="shared" ref="H87:J87" si="26">SUM(H88:H97)</f>
        <v>1110</v>
      </c>
      <c r="I87" s="1270">
        <f t="shared" si="26"/>
        <v>3</v>
      </c>
      <c r="J87" s="1292">
        <f t="shared" si="26"/>
        <v>6648</v>
      </c>
      <c r="K87" s="1292"/>
    </row>
    <row r="88" spans="1:11" s="50" customFormat="1" ht="16.5" customHeight="1">
      <c r="A88" s="1293">
        <v>1</v>
      </c>
      <c r="B88" s="1294" t="s">
        <v>2799</v>
      </c>
      <c r="C88" s="1136">
        <f t="shared" si="25"/>
        <v>3020</v>
      </c>
      <c r="D88" s="1275">
        <f t="shared" si="24"/>
        <v>804</v>
      </c>
      <c r="E88" s="1295">
        <v>1</v>
      </c>
      <c r="F88" s="1279">
        <f>434*E88</f>
        <v>434</v>
      </c>
      <c r="G88" s="1295">
        <v>1</v>
      </c>
      <c r="H88" s="1277">
        <f>370*G88</f>
        <v>370</v>
      </c>
      <c r="I88" s="1295">
        <v>1</v>
      </c>
      <c r="J88" s="1278">
        <f>2216*I88</f>
        <v>2216</v>
      </c>
      <c r="K88" s="1278"/>
    </row>
    <row r="89" spans="1:11" s="50" customFormat="1" ht="16.5" customHeight="1">
      <c r="A89" s="1290">
        <v>2</v>
      </c>
      <c r="B89" s="1294" t="s">
        <v>2797</v>
      </c>
      <c r="C89" s="1136">
        <f t="shared" si="25"/>
        <v>3020</v>
      </c>
      <c r="D89" s="1275">
        <f t="shared" si="24"/>
        <v>804</v>
      </c>
      <c r="E89" s="1295">
        <v>1</v>
      </c>
      <c r="F89" s="1279">
        <f t="shared" ref="F89:F97" si="27">434*E89</f>
        <v>434</v>
      </c>
      <c r="G89" s="1295">
        <v>1</v>
      </c>
      <c r="H89" s="1277">
        <f t="shared" ref="H89:H90" si="28">370*G89</f>
        <v>370</v>
      </c>
      <c r="I89" s="1295">
        <v>1</v>
      </c>
      <c r="J89" s="1278">
        <f t="shared" ref="J89:J90" si="29">2216*I89</f>
        <v>2216</v>
      </c>
      <c r="K89" s="1278"/>
    </row>
    <row r="90" spans="1:11" s="50" customFormat="1" ht="16.5" customHeight="1">
      <c r="A90" s="1293">
        <v>3</v>
      </c>
      <c r="B90" s="1294" t="s">
        <v>2798</v>
      </c>
      <c r="C90" s="1136">
        <f t="shared" si="25"/>
        <v>3020</v>
      </c>
      <c r="D90" s="1275">
        <f t="shared" si="24"/>
        <v>804</v>
      </c>
      <c r="E90" s="1295">
        <v>1</v>
      </c>
      <c r="F90" s="1279">
        <f t="shared" si="27"/>
        <v>434</v>
      </c>
      <c r="G90" s="1295">
        <v>1</v>
      </c>
      <c r="H90" s="1277">
        <f t="shared" si="28"/>
        <v>370</v>
      </c>
      <c r="I90" s="1295">
        <v>1</v>
      </c>
      <c r="J90" s="1278">
        <f t="shared" si="29"/>
        <v>2216</v>
      </c>
      <c r="K90" s="1278"/>
    </row>
    <row r="91" spans="1:11" s="50" customFormat="1" ht="16.5" customHeight="1">
      <c r="A91" s="1290">
        <v>4</v>
      </c>
      <c r="B91" s="1294" t="s">
        <v>2801</v>
      </c>
      <c r="C91" s="1136">
        <f t="shared" si="25"/>
        <v>1736</v>
      </c>
      <c r="D91" s="1275">
        <f t="shared" si="24"/>
        <v>1736</v>
      </c>
      <c r="E91" s="1295">
        <v>4</v>
      </c>
      <c r="F91" s="1279">
        <f t="shared" si="27"/>
        <v>1736</v>
      </c>
      <c r="G91" s="1295"/>
      <c r="H91" s="1278"/>
      <c r="I91" s="1295"/>
      <c r="J91" s="1278"/>
      <c r="K91" s="1278"/>
    </row>
    <row r="92" spans="1:11" s="50" customFormat="1" ht="16.5" customHeight="1">
      <c r="A92" s="1293">
        <v>5</v>
      </c>
      <c r="B92" s="1294" t="s">
        <v>117</v>
      </c>
      <c r="C92" s="1136">
        <f t="shared" si="25"/>
        <v>1736</v>
      </c>
      <c r="D92" s="1275">
        <f t="shared" si="24"/>
        <v>1736</v>
      </c>
      <c r="E92" s="1295">
        <v>4</v>
      </c>
      <c r="F92" s="1279">
        <f t="shared" si="27"/>
        <v>1736</v>
      </c>
      <c r="G92" s="1295"/>
      <c r="H92" s="1278"/>
      <c r="I92" s="1295"/>
      <c r="J92" s="1278"/>
      <c r="K92" s="1278"/>
    </row>
    <row r="93" spans="1:11" s="50" customFormat="1" ht="16.5" customHeight="1">
      <c r="A93" s="1290">
        <v>6</v>
      </c>
      <c r="B93" s="1294" t="s">
        <v>2859</v>
      </c>
      <c r="C93" s="1136">
        <f t="shared" si="25"/>
        <v>1736</v>
      </c>
      <c r="D93" s="1275">
        <f t="shared" si="24"/>
        <v>1736</v>
      </c>
      <c r="E93" s="1295">
        <v>4</v>
      </c>
      <c r="F93" s="1279">
        <f t="shared" si="27"/>
        <v>1736</v>
      </c>
      <c r="G93" s="1295"/>
      <c r="H93" s="1278"/>
      <c r="I93" s="1295"/>
      <c r="J93" s="1278"/>
      <c r="K93" s="1278"/>
    </row>
    <row r="94" spans="1:11" s="50" customFormat="1" ht="16.5" customHeight="1">
      <c r="A94" s="1293">
        <v>7</v>
      </c>
      <c r="B94" s="1294" t="s">
        <v>113</v>
      </c>
      <c r="C94" s="1136">
        <f t="shared" si="25"/>
        <v>1736</v>
      </c>
      <c r="D94" s="1275">
        <f t="shared" si="24"/>
        <v>1736</v>
      </c>
      <c r="E94" s="1295">
        <v>4</v>
      </c>
      <c r="F94" s="1279">
        <f t="shared" si="27"/>
        <v>1736</v>
      </c>
      <c r="G94" s="1295"/>
      <c r="H94" s="1278"/>
      <c r="I94" s="1295"/>
      <c r="J94" s="1278"/>
      <c r="K94" s="1278"/>
    </row>
    <row r="95" spans="1:11" s="50" customFormat="1" ht="16.5" customHeight="1">
      <c r="A95" s="1290">
        <v>8</v>
      </c>
      <c r="B95" s="1294" t="s">
        <v>122</v>
      </c>
      <c r="C95" s="1136">
        <f t="shared" si="25"/>
        <v>1736</v>
      </c>
      <c r="D95" s="1275">
        <f t="shared" si="24"/>
        <v>1736</v>
      </c>
      <c r="E95" s="1295">
        <v>4</v>
      </c>
      <c r="F95" s="1279">
        <f t="shared" si="27"/>
        <v>1736</v>
      </c>
      <c r="G95" s="1295"/>
      <c r="H95" s="1278"/>
      <c r="I95" s="1295"/>
      <c r="J95" s="1278"/>
      <c r="K95" s="1278"/>
    </row>
    <row r="96" spans="1:11" s="50" customFormat="1" ht="16.5" customHeight="1">
      <c r="A96" s="1293">
        <v>9</v>
      </c>
      <c r="B96" s="1294" t="s">
        <v>121</v>
      </c>
      <c r="C96" s="1136">
        <f t="shared" si="25"/>
        <v>1736</v>
      </c>
      <c r="D96" s="1275">
        <f t="shared" si="24"/>
        <v>1736</v>
      </c>
      <c r="E96" s="1295">
        <v>4</v>
      </c>
      <c r="F96" s="1279">
        <f t="shared" si="27"/>
        <v>1736</v>
      </c>
      <c r="G96" s="1295"/>
      <c r="H96" s="1278"/>
      <c r="I96" s="1295"/>
      <c r="J96" s="1278"/>
      <c r="K96" s="1278"/>
    </row>
    <row r="97" spans="1:11" s="50" customFormat="1" ht="16.5" customHeight="1">
      <c r="A97" s="1290">
        <v>10</v>
      </c>
      <c r="B97" s="1294" t="s">
        <v>120</v>
      </c>
      <c r="C97" s="1136">
        <f t="shared" si="25"/>
        <v>1736</v>
      </c>
      <c r="D97" s="1275">
        <f t="shared" si="24"/>
        <v>1736</v>
      </c>
      <c r="E97" s="1295">
        <v>4</v>
      </c>
      <c r="F97" s="1279">
        <f t="shared" si="27"/>
        <v>1736</v>
      </c>
      <c r="G97" s="1295"/>
      <c r="H97" s="1278"/>
      <c r="I97" s="1295"/>
      <c r="J97" s="1278"/>
      <c r="K97" s="1278"/>
    </row>
    <row r="98" spans="1:11" s="50" customFormat="1" ht="16.5" customHeight="1">
      <c r="A98" s="1270" t="s">
        <v>81</v>
      </c>
      <c r="B98" s="1271" t="s">
        <v>11</v>
      </c>
      <c r="C98" s="1501">
        <f t="shared" si="25"/>
        <v>26420</v>
      </c>
      <c r="D98" s="1272">
        <f t="shared" si="24"/>
        <v>19772</v>
      </c>
      <c r="E98" s="1273">
        <f t="shared" ref="E98:J98" si="30">SUM(E99:E111)</f>
        <v>43</v>
      </c>
      <c r="F98" s="1274">
        <f t="shared" si="30"/>
        <v>18662</v>
      </c>
      <c r="G98" s="1273">
        <f t="shared" si="30"/>
        <v>3</v>
      </c>
      <c r="H98" s="1274">
        <f t="shared" si="30"/>
        <v>1110</v>
      </c>
      <c r="I98" s="1273">
        <f t="shared" si="30"/>
        <v>3</v>
      </c>
      <c r="J98" s="1274">
        <f t="shared" si="30"/>
        <v>6648</v>
      </c>
      <c r="K98" s="1274"/>
    </row>
    <row r="99" spans="1:11" s="50" customFormat="1" ht="16.5" customHeight="1">
      <c r="A99" s="1290">
        <v>1</v>
      </c>
      <c r="B99" s="1296" t="s">
        <v>2860</v>
      </c>
      <c r="C99" s="1136">
        <f t="shared" si="25"/>
        <v>3020</v>
      </c>
      <c r="D99" s="1275">
        <f t="shared" si="24"/>
        <v>804</v>
      </c>
      <c r="E99" s="1283">
        <v>1</v>
      </c>
      <c r="F99" s="1279">
        <f>434*E99</f>
        <v>434</v>
      </c>
      <c r="G99" s="1283">
        <v>1</v>
      </c>
      <c r="H99" s="1277">
        <f>370*G99</f>
        <v>370</v>
      </c>
      <c r="I99" s="1283">
        <v>1</v>
      </c>
      <c r="J99" s="1278">
        <f>2216*I99</f>
        <v>2216</v>
      </c>
      <c r="K99" s="1278"/>
    </row>
    <row r="100" spans="1:11" s="50" customFormat="1" ht="16.5" customHeight="1">
      <c r="A100" s="1290">
        <v>2</v>
      </c>
      <c r="B100" s="1297" t="s">
        <v>2861</v>
      </c>
      <c r="C100" s="1136">
        <f t="shared" si="25"/>
        <v>3020</v>
      </c>
      <c r="D100" s="1275">
        <f t="shared" si="24"/>
        <v>804</v>
      </c>
      <c r="E100" s="1283">
        <v>1</v>
      </c>
      <c r="F100" s="1279">
        <f t="shared" ref="F100:F111" si="31">434*E100</f>
        <v>434</v>
      </c>
      <c r="G100" s="1283">
        <v>1</v>
      </c>
      <c r="H100" s="1277">
        <f t="shared" ref="H100:H101" si="32">370*G100</f>
        <v>370</v>
      </c>
      <c r="I100" s="1283">
        <v>1</v>
      </c>
      <c r="J100" s="1278">
        <f t="shared" ref="J100:J101" si="33">2216*I100</f>
        <v>2216</v>
      </c>
      <c r="K100" s="1278"/>
    </row>
    <row r="101" spans="1:11" s="50" customFormat="1" ht="16.5" customHeight="1">
      <c r="A101" s="1290">
        <v>3</v>
      </c>
      <c r="B101" s="1297" t="s">
        <v>571</v>
      </c>
      <c r="C101" s="1136">
        <f t="shared" si="25"/>
        <v>3020</v>
      </c>
      <c r="D101" s="1275">
        <f t="shared" si="24"/>
        <v>804</v>
      </c>
      <c r="E101" s="1283">
        <v>1</v>
      </c>
      <c r="F101" s="1279">
        <f t="shared" si="31"/>
        <v>434</v>
      </c>
      <c r="G101" s="1283">
        <v>1</v>
      </c>
      <c r="H101" s="1277">
        <f t="shared" si="32"/>
        <v>370</v>
      </c>
      <c r="I101" s="1283">
        <v>1</v>
      </c>
      <c r="J101" s="1278">
        <f t="shared" si="33"/>
        <v>2216</v>
      </c>
      <c r="K101" s="1278"/>
    </row>
    <row r="102" spans="1:11" s="50" customFormat="1" ht="16.5" customHeight="1">
      <c r="A102" s="1290">
        <v>4</v>
      </c>
      <c r="B102" s="1297" t="s">
        <v>2862</v>
      </c>
      <c r="C102" s="1136">
        <f t="shared" si="25"/>
        <v>1736</v>
      </c>
      <c r="D102" s="1275">
        <f t="shared" si="24"/>
        <v>1736</v>
      </c>
      <c r="E102" s="1283">
        <v>4</v>
      </c>
      <c r="F102" s="1279">
        <f t="shared" si="31"/>
        <v>1736</v>
      </c>
      <c r="G102" s="1283"/>
      <c r="H102" s="1278"/>
      <c r="I102" s="1283"/>
      <c r="J102" s="1278"/>
      <c r="K102" s="1278"/>
    </row>
    <row r="103" spans="1:11" s="50" customFormat="1" ht="16.5" customHeight="1">
      <c r="A103" s="1290">
        <v>5</v>
      </c>
      <c r="B103" s="1297" t="s">
        <v>2863</v>
      </c>
      <c r="C103" s="1136">
        <f t="shared" si="25"/>
        <v>1736</v>
      </c>
      <c r="D103" s="1275">
        <f t="shared" si="24"/>
        <v>1736</v>
      </c>
      <c r="E103" s="1283">
        <v>4</v>
      </c>
      <c r="F103" s="1279">
        <f t="shared" si="31"/>
        <v>1736</v>
      </c>
      <c r="G103" s="1283"/>
      <c r="H103" s="1278"/>
      <c r="I103" s="1283"/>
      <c r="J103" s="1278"/>
      <c r="K103" s="1278"/>
    </row>
    <row r="104" spans="1:11" s="50" customFormat="1" ht="16.5" customHeight="1">
      <c r="A104" s="1290">
        <v>6</v>
      </c>
      <c r="B104" s="1297" t="s">
        <v>473</v>
      </c>
      <c r="C104" s="1136">
        <f t="shared" si="25"/>
        <v>1736</v>
      </c>
      <c r="D104" s="1275">
        <f t="shared" si="24"/>
        <v>1736</v>
      </c>
      <c r="E104" s="1283">
        <v>4</v>
      </c>
      <c r="F104" s="1279">
        <f t="shared" si="31"/>
        <v>1736</v>
      </c>
      <c r="G104" s="1283"/>
      <c r="H104" s="1278"/>
      <c r="I104" s="1283"/>
      <c r="J104" s="1278"/>
      <c r="K104" s="1278"/>
    </row>
    <row r="105" spans="1:11" s="50" customFormat="1" ht="16.5" customHeight="1">
      <c r="A105" s="1290">
        <v>7</v>
      </c>
      <c r="B105" s="1297" t="s">
        <v>469</v>
      </c>
      <c r="C105" s="1136">
        <f t="shared" si="25"/>
        <v>1736</v>
      </c>
      <c r="D105" s="1275">
        <f t="shared" si="24"/>
        <v>1736</v>
      </c>
      <c r="E105" s="1283">
        <v>4</v>
      </c>
      <c r="F105" s="1279">
        <f t="shared" si="31"/>
        <v>1736</v>
      </c>
      <c r="G105" s="1283"/>
      <c r="H105" s="1278"/>
      <c r="I105" s="1283"/>
      <c r="J105" s="1278"/>
      <c r="K105" s="1278"/>
    </row>
    <row r="106" spans="1:11" s="50" customFormat="1" ht="16.5" customHeight="1">
      <c r="A106" s="1290">
        <v>8</v>
      </c>
      <c r="B106" s="1297" t="s">
        <v>2864</v>
      </c>
      <c r="C106" s="1136">
        <f t="shared" si="25"/>
        <v>1736</v>
      </c>
      <c r="D106" s="1275">
        <f t="shared" si="24"/>
        <v>1736</v>
      </c>
      <c r="E106" s="1283">
        <v>4</v>
      </c>
      <c r="F106" s="1279">
        <f t="shared" si="31"/>
        <v>1736</v>
      </c>
      <c r="G106" s="1283"/>
      <c r="H106" s="1278"/>
      <c r="I106" s="1283"/>
      <c r="J106" s="1278"/>
      <c r="K106" s="1278"/>
    </row>
    <row r="107" spans="1:11" s="50" customFormat="1" ht="16.5" customHeight="1">
      <c r="A107" s="1290">
        <v>9</v>
      </c>
      <c r="B107" s="1297" t="s">
        <v>2865</v>
      </c>
      <c r="C107" s="1136">
        <f t="shared" si="25"/>
        <v>1736</v>
      </c>
      <c r="D107" s="1275">
        <f t="shared" si="24"/>
        <v>1736</v>
      </c>
      <c r="E107" s="1283">
        <v>4</v>
      </c>
      <c r="F107" s="1279">
        <f t="shared" si="31"/>
        <v>1736</v>
      </c>
      <c r="G107" s="1283"/>
      <c r="H107" s="1278"/>
      <c r="I107" s="1283"/>
      <c r="J107" s="1278"/>
      <c r="K107" s="1278"/>
    </row>
    <row r="108" spans="1:11" s="50" customFormat="1" ht="16.5" customHeight="1">
      <c r="A108" s="1290">
        <v>10</v>
      </c>
      <c r="B108" s="1174" t="s">
        <v>2866</v>
      </c>
      <c r="C108" s="1136">
        <f t="shared" si="25"/>
        <v>1736</v>
      </c>
      <c r="D108" s="1275">
        <f t="shared" si="24"/>
        <v>1736</v>
      </c>
      <c r="E108" s="1283">
        <v>4</v>
      </c>
      <c r="F108" s="1279">
        <f t="shared" si="31"/>
        <v>1736</v>
      </c>
      <c r="G108" s="1283"/>
      <c r="H108" s="1278"/>
      <c r="I108" s="1283"/>
      <c r="J108" s="1278"/>
      <c r="K108" s="1278"/>
    </row>
    <row r="109" spans="1:11" s="50" customFormat="1" ht="16.5" customHeight="1">
      <c r="A109" s="1290">
        <v>11</v>
      </c>
      <c r="B109" s="1297" t="s">
        <v>2867</v>
      </c>
      <c r="C109" s="1136">
        <f t="shared" si="25"/>
        <v>1736</v>
      </c>
      <c r="D109" s="1275">
        <f t="shared" si="24"/>
        <v>1736</v>
      </c>
      <c r="E109" s="1283">
        <v>4</v>
      </c>
      <c r="F109" s="1279">
        <f t="shared" si="31"/>
        <v>1736</v>
      </c>
      <c r="G109" s="1283"/>
      <c r="H109" s="1278"/>
      <c r="I109" s="1283"/>
      <c r="J109" s="1278"/>
      <c r="K109" s="1278"/>
    </row>
    <row r="110" spans="1:11" s="50" customFormat="1" ht="16.5" customHeight="1">
      <c r="A110" s="1290">
        <v>12</v>
      </c>
      <c r="B110" s="1297" t="s">
        <v>502</v>
      </c>
      <c r="C110" s="1136">
        <f t="shared" si="25"/>
        <v>1736</v>
      </c>
      <c r="D110" s="1275">
        <f t="shared" si="24"/>
        <v>1736</v>
      </c>
      <c r="E110" s="1283">
        <v>4</v>
      </c>
      <c r="F110" s="1279">
        <f t="shared" si="31"/>
        <v>1736</v>
      </c>
      <c r="G110" s="1283"/>
      <c r="H110" s="1278"/>
      <c r="I110" s="1283"/>
      <c r="J110" s="1278"/>
      <c r="K110" s="1278"/>
    </row>
    <row r="111" spans="1:11" s="50" customFormat="1" ht="16.5" customHeight="1">
      <c r="A111" s="1290">
        <v>13</v>
      </c>
      <c r="B111" s="1174" t="s">
        <v>2868</v>
      </c>
      <c r="C111" s="1136">
        <f t="shared" si="25"/>
        <v>1736</v>
      </c>
      <c r="D111" s="1275">
        <f t="shared" si="24"/>
        <v>1736</v>
      </c>
      <c r="E111" s="1283">
        <v>4</v>
      </c>
      <c r="F111" s="1279">
        <f t="shared" si="31"/>
        <v>1736</v>
      </c>
      <c r="G111" s="1283"/>
      <c r="H111" s="1278"/>
      <c r="I111" s="1283"/>
      <c r="J111" s="1278"/>
      <c r="K111" s="1278"/>
    </row>
    <row r="112" spans="1:11" ht="16.5" customHeight="1">
      <c r="A112" s="1298" t="s">
        <v>38</v>
      </c>
      <c r="B112" s="1271" t="s">
        <v>2873</v>
      </c>
      <c r="C112" s="1501">
        <f>F112+H112+J112</f>
        <v>103468</v>
      </c>
      <c r="D112" s="1272">
        <f t="shared" si="24"/>
        <v>14760</v>
      </c>
      <c r="E112" s="1273"/>
      <c r="F112" s="1274"/>
      <c r="G112" s="1273">
        <f t="shared" ref="G112:J112" si="34">G113+G114</f>
        <v>40</v>
      </c>
      <c r="H112" s="1274">
        <f t="shared" si="34"/>
        <v>14760</v>
      </c>
      <c r="I112" s="1273">
        <f t="shared" si="34"/>
        <v>40</v>
      </c>
      <c r="J112" s="1274">
        <f t="shared" si="34"/>
        <v>88708</v>
      </c>
      <c r="K112" s="1274"/>
    </row>
    <row r="113" spans="1:11" ht="16.5" customHeight="1">
      <c r="A113" s="1290">
        <v>1</v>
      </c>
      <c r="B113" s="1174" t="s">
        <v>19</v>
      </c>
      <c r="C113" s="1136">
        <f t="shared" si="25"/>
        <v>51734</v>
      </c>
      <c r="D113" s="1275">
        <f t="shared" si="24"/>
        <v>7380</v>
      </c>
      <c r="E113" s="1283"/>
      <c r="F113" s="1276"/>
      <c r="G113" s="1283">
        <v>20</v>
      </c>
      <c r="H113" s="1276">
        <f>370*G113-20</f>
        <v>7380</v>
      </c>
      <c r="I113" s="1283">
        <v>20</v>
      </c>
      <c r="J113" s="1276">
        <f>2216*I113+34</f>
        <v>44354</v>
      </c>
      <c r="K113" s="1276"/>
    </row>
    <row r="114" spans="1:11" ht="16.5" customHeight="1">
      <c r="A114" s="1299">
        <v>2</v>
      </c>
      <c r="B114" s="67" t="s">
        <v>23</v>
      </c>
      <c r="C114" s="706">
        <f t="shared" si="25"/>
        <v>51734</v>
      </c>
      <c r="D114" s="1300">
        <f t="shared" si="24"/>
        <v>7380</v>
      </c>
      <c r="E114" s="1301"/>
      <c r="F114" s="1302"/>
      <c r="G114" s="1301">
        <v>20</v>
      </c>
      <c r="H114" s="1302">
        <f>370*G114-20</f>
        <v>7380</v>
      </c>
      <c r="I114" s="1301">
        <v>20</v>
      </c>
      <c r="J114" s="1302">
        <f>2216*I114+34</f>
        <v>44354</v>
      </c>
      <c r="K114" s="1302"/>
    </row>
  </sheetData>
  <mergeCells count="12">
    <mergeCell ref="K5:K7"/>
    <mergeCell ref="A2:K2"/>
    <mergeCell ref="A3:K3"/>
    <mergeCell ref="A1:K1"/>
    <mergeCell ref="A5:A7"/>
    <mergeCell ref="B5:B7"/>
    <mergeCell ref="C5:C7"/>
    <mergeCell ref="D5:D7"/>
    <mergeCell ref="E5:H5"/>
    <mergeCell ref="I5:J6"/>
    <mergeCell ref="E6:F6"/>
    <mergeCell ref="G6:H6"/>
  </mergeCells>
  <pageMargins left="0.89" right="0.5" top="0.5" bottom="0.5" header="0.47" footer="0.3"/>
  <pageSetup paperSize="9" scale="95" orientation="portrait" r:id="rId1"/>
  <headerFooter>
    <oddFooter>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H87"/>
  <sheetViews>
    <sheetView topLeftCell="A70" zoomScale="85" zoomScaleNormal="85" workbookViewId="0">
      <selection activeCell="F6" sqref="F6:F10"/>
    </sheetView>
  </sheetViews>
  <sheetFormatPr defaultColWidth="9.08203125" defaultRowHeight="15.5"/>
  <cols>
    <col min="1" max="1" width="5.33203125" style="1351" customWidth="1"/>
    <col min="2" max="2" width="47.33203125" style="1351" customWidth="1"/>
    <col min="3" max="3" width="16.33203125" style="1351" customWidth="1"/>
    <col min="4" max="4" width="11.4140625" style="1351" customWidth="1"/>
    <col min="5" max="5" width="16.33203125" style="1351" customWidth="1"/>
    <col min="6" max="16384" width="9.08203125" style="1351"/>
  </cols>
  <sheetData>
    <row r="2" spans="1:5" s="1388" customFormat="1" ht="36" customHeight="1">
      <c r="A2" s="1924" t="s">
        <v>2980</v>
      </c>
      <c r="B2" s="1925"/>
      <c r="C2" s="1925"/>
      <c r="D2" s="1925"/>
      <c r="E2" s="1925"/>
    </row>
    <row r="4" spans="1:5" ht="58.5" customHeight="1">
      <c r="A4" s="1353" t="s">
        <v>4</v>
      </c>
      <c r="B4" s="1353" t="s">
        <v>2927</v>
      </c>
      <c r="C4" s="1354" t="s">
        <v>34</v>
      </c>
      <c r="D4" s="1354" t="s">
        <v>36</v>
      </c>
      <c r="E4" s="1354" t="s">
        <v>2872</v>
      </c>
    </row>
    <row r="5" spans="1:5" ht="30.75" customHeight="1">
      <c r="A5" s="1355"/>
      <c r="B5" s="1355" t="s">
        <v>7</v>
      </c>
      <c r="C5" s="1389">
        <f>C6+C60</f>
        <v>74</v>
      </c>
      <c r="D5" s="1357">
        <f>D6+D60</f>
        <v>1504346.4639175257</v>
      </c>
      <c r="E5" s="1357">
        <f>E6+E60</f>
        <v>1461118</v>
      </c>
    </row>
    <row r="6" spans="1:5" s="1388" customFormat="1" ht="30">
      <c r="A6" s="1358" t="s">
        <v>8</v>
      </c>
      <c r="B6" s="1359" t="s">
        <v>2928</v>
      </c>
      <c r="C6" s="1360">
        <f>A59</f>
        <v>53</v>
      </c>
      <c r="D6" s="1361">
        <f>SUM(D7:D59)</f>
        <v>1077152</v>
      </c>
      <c r="E6" s="1361">
        <f>SUM(E7:E59)</f>
        <v>1043221</v>
      </c>
    </row>
    <row r="7" spans="1:5" ht="31">
      <c r="A7" s="1362">
        <v>1</v>
      </c>
      <c r="B7" s="1363" t="s">
        <v>2302</v>
      </c>
      <c r="C7" s="1364" t="s">
        <v>176</v>
      </c>
      <c r="D7" s="1365">
        <v>14500</v>
      </c>
      <c r="E7" s="1365">
        <v>11136</v>
      </c>
    </row>
    <row r="8" spans="1:5" ht="31">
      <c r="A8" s="1362">
        <v>2</v>
      </c>
      <c r="B8" s="1363" t="s">
        <v>2924</v>
      </c>
      <c r="C8" s="1364" t="s">
        <v>594</v>
      </c>
      <c r="D8" s="1365">
        <v>21000</v>
      </c>
      <c r="E8" s="1365">
        <v>20665</v>
      </c>
    </row>
    <row r="9" spans="1:5" ht="31">
      <c r="A9" s="1362">
        <v>3</v>
      </c>
      <c r="B9" s="1363" t="s">
        <v>2294</v>
      </c>
      <c r="C9" s="1364" t="s">
        <v>284</v>
      </c>
      <c r="D9" s="1365">
        <v>26500</v>
      </c>
      <c r="E9" s="1365">
        <v>20395</v>
      </c>
    </row>
    <row r="10" spans="1:5" ht="31">
      <c r="A10" s="1362">
        <v>4</v>
      </c>
      <c r="B10" s="1363" t="s">
        <v>2299</v>
      </c>
      <c r="C10" s="1364" t="s">
        <v>286</v>
      </c>
      <c r="D10" s="1365">
        <v>29780</v>
      </c>
      <c r="E10" s="1365">
        <v>22863</v>
      </c>
    </row>
    <row r="11" spans="1:5" ht="31">
      <c r="A11" s="1362">
        <v>5</v>
      </c>
      <c r="B11" s="1363" t="s">
        <v>2298</v>
      </c>
      <c r="C11" s="1364" t="s">
        <v>216</v>
      </c>
      <c r="D11" s="1365">
        <v>14900</v>
      </c>
      <c r="E11" s="1365">
        <v>11481</v>
      </c>
    </row>
    <row r="12" spans="1:5">
      <c r="A12" s="1362">
        <v>6</v>
      </c>
      <c r="B12" s="1363" t="s">
        <v>2297</v>
      </c>
      <c r="C12" s="1364" t="s">
        <v>113</v>
      </c>
      <c r="D12" s="1365">
        <v>20000</v>
      </c>
      <c r="E12" s="1365">
        <v>15385</v>
      </c>
    </row>
    <row r="13" spans="1:5">
      <c r="A13" s="1362">
        <v>7</v>
      </c>
      <c r="B13" s="1363" t="s">
        <v>2351</v>
      </c>
      <c r="C13" s="1364" t="s">
        <v>114</v>
      </c>
      <c r="D13" s="1365">
        <v>18500</v>
      </c>
      <c r="E13" s="1365">
        <v>14235</v>
      </c>
    </row>
    <row r="14" spans="1:5" ht="31">
      <c r="A14" s="1362">
        <v>8</v>
      </c>
      <c r="B14" s="1363" t="s">
        <v>2296</v>
      </c>
      <c r="C14" s="1364" t="s">
        <v>627</v>
      </c>
      <c r="D14" s="1365">
        <v>19500</v>
      </c>
      <c r="E14" s="1365">
        <v>14794</v>
      </c>
    </row>
    <row r="15" spans="1:5" ht="93">
      <c r="A15" s="1362">
        <v>9</v>
      </c>
      <c r="B15" s="1366" t="s">
        <v>1493</v>
      </c>
      <c r="C15" s="1372" t="s">
        <v>589</v>
      </c>
      <c r="D15" s="1368">
        <f>+E15</f>
        <v>11423</v>
      </c>
      <c r="E15" s="1368">
        <f>10090+1010+323</f>
        <v>11423</v>
      </c>
    </row>
    <row r="16" spans="1:5" ht="31">
      <c r="A16" s="1362">
        <v>10</v>
      </c>
      <c r="B16" s="1366" t="s">
        <v>2478</v>
      </c>
      <c r="C16" s="1372" t="s">
        <v>594</v>
      </c>
      <c r="D16" s="1368">
        <v>10400</v>
      </c>
      <c r="E16" s="1368">
        <v>10400</v>
      </c>
    </row>
    <row r="17" spans="1:5" ht="62">
      <c r="A17" s="1362">
        <v>11</v>
      </c>
      <c r="B17" s="1390" t="s">
        <v>1475</v>
      </c>
      <c r="C17" s="1367" t="s">
        <v>284</v>
      </c>
      <c r="D17" s="1368">
        <f>+E17</f>
        <v>11000</v>
      </c>
      <c r="E17" s="1368">
        <f>11000</f>
        <v>11000</v>
      </c>
    </row>
    <row r="18" spans="1:5" ht="46.5">
      <c r="A18" s="1362">
        <v>12</v>
      </c>
      <c r="B18" s="1366" t="s">
        <v>1524</v>
      </c>
      <c r="C18" s="1367" t="s">
        <v>285</v>
      </c>
      <c r="D18" s="1368">
        <f>+E18</f>
        <v>14283</v>
      </c>
      <c r="E18" s="1368">
        <f>14000+283</f>
        <v>14283</v>
      </c>
    </row>
    <row r="19" spans="1:5">
      <c r="A19" s="1362">
        <v>13</v>
      </c>
      <c r="B19" s="1366" t="s">
        <v>1477</v>
      </c>
      <c r="C19" s="1367" t="s">
        <v>285</v>
      </c>
      <c r="D19" s="1368">
        <v>11000</v>
      </c>
      <c r="E19" s="1368">
        <v>11000</v>
      </c>
    </row>
    <row r="20" spans="1:5" ht="46.5">
      <c r="A20" s="1362">
        <v>14</v>
      </c>
      <c r="B20" s="1366" t="s">
        <v>310</v>
      </c>
      <c r="C20" s="1367" t="s">
        <v>296</v>
      </c>
      <c r="D20" s="1368">
        <v>38137</v>
      </c>
      <c r="E20" s="1368">
        <v>38137</v>
      </c>
    </row>
    <row r="21" spans="1:5" ht="31">
      <c r="A21" s="1362">
        <v>15</v>
      </c>
      <c r="B21" s="1366" t="s">
        <v>311</v>
      </c>
      <c r="C21" s="1367" t="s">
        <v>296</v>
      </c>
      <c r="D21" s="1368">
        <v>14400</v>
      </c>
      <c r="E21" s="1368">
        <v>14400</v>
      </c>
    </row>
    <row r="22" spans="1:5" ht="31">
      <c r="A22" s="1362">
        <v>16</v>
      </c>
      <c r="B22" s="1366" t="s">
        <v>312</v>
      </c>
      <c r="C22" s="1367" t="s">
        <v>296</v>
      </c>
      <c r="D22" s="1368">
        <v>11200</v>
      </c>
      <c r="E22" s="1368">
        <v>11200</v>
      </c>
    </row>
    <row r="23" spans="1:5">
      <c r="A23" s="1362">
        <v>17</v>
      </c>
      <c r="B23" s="1369" t="s">
        <v>226</v>
      </c>
      <c r="C23" s="1370" t="s">
        <v>225</v>
      </c>
      <c r="D23" s="1368">
        <f t="shared" ref="D23:D28" si="0">+E23</f>
        <v>19126</v>
      </c>
      <c r="E23" s="1368">
        <f>16170+3830-874</f>
        <v>19126</v>
      </c>
    </row>
    <row r="24" spans="1:5">
      <c r="A24" s="1362">
        <v>18</v>
      </c>
      <c r="B24" s="1391" t="s">
        <v>231</v>
      </c>
      <c r="C24" s="1392" t="s">
        <v>230</v>
      </c>
      <c r="D24" s="1368">
        <f t="shared" si="0"/>
        <v>10707</v>
      </c>
      <c r="E24" s="1368">
        <f>10000+707</f>
        <v>10707</v>
      </c>
    </row>
    <row r="25" spans="1:5">
      <c r="A25" s="1362">
        <v>19</v>
      </c>
      <c r="B25" s="1363" t="s">
        <v>586</v>
      </c>
      <c r="C25" s="1371" t="s">
        <v>210</v>
      </c>
      <c r="D25" s="1368">
        <f t="shared" si="0"/>
        <v>14000</v>
      </c>
      <c r="E25" s="1368">
        <v>14000</v>
      </c>
    </row>
    <row r="26" spans="1:5">
      <c r="A26" s="1362">
        <v>20</v>
      </c>
      <c r="B26" s="1363" t="s">
        <v>234</v>
      </c>
      <c r="C26" s="1371" t="s">
        <v>216</v>
      </c>
      <c r="D26" s="1368">
        <f t="shared" si="0"/>
        <v>18000</v>
      </c>
      <c r="E26" s="1368">
        <v>18000</v>
      </c>
    </row>
    <row r="27" spans="1:5" ht="31">
      <c r="A27" s="1362">
        <v>21</v>
      </c>
      <c r="B27" s="1363" t="s">
        <v>618</v>
      </c>
      <c r="C27" s="1371" t="s">
        <v>2498</v>
      </c>
      <c r="D27" s="1368">
        <f t="shared" si="0"/>
        <v>22400</v>
      </c>
      <c r="E27" s="1368">
        <f>22400</f>
        <v>22400</v>
      </c>
    </row>
    <row r="28" spans="1:5" ht="31">
      <c r="A28" s="1362">
        <v>22</v>
      </c>
      <c r="B28" s="1363" t="s">
        <v>2535</v>
      </c>
      <c r="C28" s="1371" t="s">
        <v>2536</v>
      </c>
      <c r="D28" s="1368">
        <f t="shared" si="0"/>
        <v>11200</v>
      </c>
      <c r="E28" s="1368">
        <v>11200</v>
      </c>
    </row>
    <row r="29" spans="1:5" ht="31">
      <c r="A29" s="1362">
        <v>23</v>
      </c>
      <c r="B29" s="1363" t="s">
        <v>127</v>
      </c>
      <c r="C29" s="1372" t="s">
        <v>111</v>
      </c>
      <c r="D29" s="1368">
        <v>12000</v>
      </c>
      <c r="E29" s="1368">
        <v>12000</v>
      </c>
    </row>
    <row r="30" spans="1:5" ht="31">
      <c r="A30" s="1362">
        <v>24</v>
      </c>
      <c r="B30" s="1363" t="s">
        <v>128</v>
      </c>
      <c r="C30" s="1372" t="s">
        <v>107</v>
      </c>
      <c r="D30" s="1368">
        <v>18000</v>
      </c>
      <c r="E30" s="1368">
        <v>18000</v>
      </c>
    </row>
    <row r="31" spans="1:5" ht="31">
      <c r="A31" s="1362">
        <v>25</v>
      </c>
      <c r="B31" s="1363" t="s">
        <v>413</v>
      </c>
      <c r="C31" s="1372" t="s">
        <v>114</v>
      </c>
      <c r="D31" s="1368">
        <v>18719</v>
      </c>
      <c r="E31" s="1368">
        <f>18719-205</f>
        <v>18514</v>
      </c>
    </row>
    <row r="32" spans="1:5" ht="31">
      <c r="A32" s="1362">
        <v>26</v>
      </c>
      <c r="B32" s="1363" t="s">
        <v>142</v>
      </c>
      <c r="C32" s="1372" t="s">
        <v>110</v>
      </c>
      <c r="D32" s="1368">
        <f>+E32</f>
        <v>14400</v>
      </c>
      <c r="E32" s="1368">
        <v>14400</v>
      </c>
    </row>
    <row r="33" spans="1:5" ht="31">
      <c r="A33" s="1362">
        <v>27</v>
      </c>
      <c r="B33" s="1363" t="s">
        <v>143</v>
      </c>
      <c r="C33" s="1372" t="s">
        <v>110</v>
      </c>
      <c r="D33" s="1368">
        <f>+E33</f>
        <v>50371</v>
      </c>
      <c r="E33" s="1368">
        <f>52800-2429</f>
        <v>50371</v>
      </c>
    </row>
    <row r="34" spans="1:5" ht="31">
      <c r="A34" s="1362">
        <v>28</v>
      </c>
      <c r="B34" s="1373" t="s">
        <v>2930</v>
      </c>
      <c r="C34" s="1372" t="s">
        <v>587</v>
      </c>
      <c r="D34" s="1368">
        <v>26330</v>
      </c>
      <c r="E34" s="1368">
        <v>26330</v>
      </c>
    </row>
    <row r="35" spans="1:5" ht="31">
      <c r="A35" s="1362">
        <v>29</v>
      </c>
      <c r="B35" s="1373" t="s">
        <v>2931</v>
      </c>
      <c r="C35" s="1372" t="s">
        <v>693</v>
      </c>
      <c r="D35" s="1368">
        <v>14000</v>
      </c>
      <c r="E35" s="1368">
        <v>14000</v>
      </c>
    </row>
    <row r="36" spans="1:5" ht="31">
      <c r="A36" s="1362">
        <v>30</v>
      </c>
      <c r="B36" s="1373" t="s">
        <v>2932</v>
      </c>
      <c r="C36" s="1372" t="s">
        <v>691</v>
      </c>
      <c r="D36" s="1368">
        <v>20860</v>
      </c>
      <c r="E36" s="1368">
        <v>20860</v>
      </c>
    </row>
    <row r="37" spans="1:5" ht="31">
      <c r="A37" s="1362">
        <v>31</v>
      </c>
      <c r="B37" s="1363" t="s">
        <v>2933</v>
      </c>
      <c r="C37" s="1372" t="s">
        <v>689</v>
      </c>
      <c r="D37" s="1368">
        <v>28310</v>
      </c>
      <c r="E37" s="1368">
        <v>28310</v>
      </c>
    </row>
    <row r="38" spans="1:5" ht="62">
      <c r="A38" s="1362">
        <v>32</v>
      </c>
      <c r="B38" s="1374" t="s">
        <v>2455</v>
      </c>
      <c r="C38" s="1375" t="s">
        <v>2377</v>
      </c>
      <c r="D38" s="1368">
        <v>28488</v>
      </c>
      <c r="E38" s="1368">
        <v>28488</v>
      </c>
    </row>
    <row r="39" spans="1:5">
      <c r="A39" s="1362">
        <v>33</v>
      </c>
      <c r="B39" s="1374" t="s">
        <v>2984</v>
      </c>
      <c r="C39" s="1375" t="s">
        <v>19</v>
      </c>
      <c r="D39" s="1368">
        <v>35512</v>
      </c>
      <c r="E39" s="1368">
        <v>35512</v>
      </c>
    </row>
    <row r="40" spans="1:5">
      <c r="A40" s="1362">
        <v>34</v>
      </c>
      <c r="B40" s="1374" t="s">
        <v>2994</v>
      </c>
      <c r="C40" s="1375" t="s">
        <v>23</v>
      </c>
      <c r="D40" s="1368">
        <v>20650</v>
      </c>
      <c r="E40" s="1368">
        <v>20650</v>
      </c>
    </row>
    <row r="41" spans="1:5" ht="62">
      <c r="A41" s="1362">
        <v>35</v>
      </c>
      <c r="B41" s="1374" t="s">
        <v>2380</v>
      </c>
      <c r="C41" s="1375" t="s">
        <v>19</v>
      </c>
      <c r="D41" s="1368">
        <v>24308</v>
      </c>
      <c r="E41" s="1368">
        <v>24308</v>
      </c>
    </row>
    <row r="42" spans="1:5" ht="31">
      <c r="A42" s="1362">
        <v>36</v>
      </c>
      <c r="B42" s="1374" t="s">
        <v>2991</v>
      </c>
      <c r="C42" s="1375" t="s">
        <v>15</v>
      </c>
      <c r="D42" s="1368">
        <v>30182</v>
      </c>
      <c r="E42" s="1368">
        <v>30182</v>
      </c>
    </row>
    <row r="43" spans="1:5" ht="31">
      <c r="A43" s="1362">
        <v>37</v>
      </c>
      <c r="B43" s="1374" t="s">
        <v>2382</v>
      </c>
      <c r="C43" s="1375" t="s">
        <v>15</v>
      </c>
      <c r="D43" s="1368">
        <v>17204</v>
      </c>
      <c r="E43" s="1368">
        <v>17204</v>
      </c>
    </row>
    <row r="44" spans="1:5" ht="46.5">
      <c r="A44" s="1362">
        <v>38</v>
      </c>
      <c r="B44" s="1374" t="s">
        <v>2995</v>
      </c>
      <c r="C44" s="1375" t="s">
        <v>17</v>
      </c>
      <c r="D44" s="1368">
        <v>27998</v>
      </c>
      <c r="E44" s="1368">
        <v>27998</v>
      </c>
    </row>
    <row r="45" spans="1:5" ht="46.5">
      <c r="A45" s="1362">
        <v>39</v>
      </c>
      <c r="B45" s="1374" t="s">
        <v>2458</v>
      </c>
      <c r="C45" s="1375" t="s">
        <v>17</v>
      </c>
      <c r="D45" s="1368">
        <v>21105</v>
      </c>
      <c r="E45" s="1368">
        <v>21105</v>
      </c>
    </row>
    <row r="46" spans="1:5" ht="31">
      <c r="A46" s="1362">
        <v>40</v>
      </c>
      <c r="B46" s="1374" t="s">
        <v>2384</v>
      </c>
      <c r="C46" s="1375" t="s">
        <v>17</v>
      </c>
      <c r="D46" s="1368">
        <v>10080</v>
      </c>
      <c r="E46" s="1368">
        <v>10080</v>
      </c>
    </row>
    <row r="47" spans="1:5" ht="46.5">
      <c r="A47" s="1362">
        <v>41</v>
      </c>
      <c r="B47" s="1374" t="s">
        <v>2996</v>
      </c>
      <c r="C47" s="1375" t="s">
        <v>13</v>
      </c>
      <c r="D47" s="1368">
        <v>25630</v>
      </c>
      <c r="E47" s="1368">
        <v>25630</v>
      </c>
    </row>
    <row r="48" spans="1:5" ht="46.5">
      <c r="A48" s="1362">
        <v>42</v>
      </c>
      <c r="B48" s="1374" t="s">
        <v>2386</v>
      </c>
      <c r="C48" s="1375" t="s">
        <v>13</v>
      </c>
      <c r="D48" s="1368">
        <v>26116</v>
      </c>
      <c r="E48" s="1368">
        <v>26116</v>
      </c>
    </row>
    <row r="49" spans="1:5" ht="46.5">
      <c r="A49" s="1362">
        <v>43</v>
      </c>
      <c r="B49" s="1374" t="s">
        <v>2387</v>
      </c>
      <c r="C49" s="1375" t="s">
        <v>11</v>
      </c>
      <c r="D49" s="1368">
        <v>17836</v>
      </c>
      <c r="E49" s="1368">
        <v>17836</v>
      </c>
    </row>
    <row r="50" spans="1:5" ht="31">
      <c r="A50" s="1362">
        <v>44</v>
      </c>
      <c r="B50" s="1374" t="s">
        <v>2987</v>
      </c>
      <c r="C50" s="1375" t="s">
        <v>11</v>
      </c>
      <c r="D50" s="1368">
        <v>31564</v>
      </c>
      <c r="E50" s="1368">
        <v>31564</v>
      </c>
    </row>
    <row r="51" spans="1:5" ht="31">
      <c r="A51" s="1362">
        <v>45</v>
      </c>
      <c r="B51" s="1376" t="s">
        <v>2389</v>
      </c>
      <c r="C51" s="1364" t="s">
        <v>11</v>
      </c>
      <c r="D51" s="1368">
        <v>15392</v>
      </c>
      <c r="E51" s="1368">
        <v>15392</v>
      </c>
    </row>
    <row r="52" spans="1:5">
      <c r="A52" s="1362">
        <v>46</v>
      </c>
      <c r="B52" s="1374" t="s">
        <v>2986</v>
      </c>
      <c r="C52" s="1364" t="s">
        <v>11</v>
      </c>
      <c r="D52" s="1368">
        <v>29985</v>
      </c>
      <c r="E52" s="1368">
        <v>29985</v>
      </c>
    </row>
    <row r="53" spans="1:5" ht="31">
      <c r="A53" s="1362">
        <v>47</v>
      </c>
      <c r="B53" s="1376" t="s">
        <v>146</v>
      </c>
      <c r="C53" s="1367" t="s">
        <v>117</v>
      </c>
      <c r="D53" s="1368">
        <v>17000</v>
      </c>
      <c r="E53" s="1368">
        <v>17000</v>
      </c>
    </row>
    <row r="54" spans="1:5">
      <c r="A54" s="1362">
        <v>48</v>
      </c>
      <c r="B54" s="1376" t="s">
        <v>1420</v>
      </c>
      <c r="C54" s="1367" t="s">
        <v>117</v>
      </c>
      <c r="D54" s="1368">
        <v>10000</v>
      </c>
      <c r="E54" s="1368">
        <v>10000</v>
      </c>
    </row>
    <row r="55" spans="1:5">
      <c r="A55" s="1362">
        <v>49</v>
      </c>
      <c r="B55" s="1366" t="s">
        <v>147</v>
      </c>
      <c r="C55" s="1367" t="s">
        <v>113</v>
      </c>
      <c r="D55" s="1368">
        <v>14000</v>
      </c>
      <c r="E55" s="1368">
        <v>14000</v>
      </c>
    </row>
    <row r="56" spans="1:5" ht="31">
      <c r="A56" s="1362">
        <v>50</v>
      </c>
      <c r="B56" s="1366" t="s">
        <v>661</v>
      </c>
      <c r="C56" s="1367" t="s">
        <v>123</v>
      </c>
      <c r="D56" s="1368">
        <v>28500</v>
      </c>
      <c r="E56" s="1368">
        <v>28500</v>
      </c>
    </row>
    <row r="57" spans="1:5" ht="21.75" customHeight="1">
      <c r="A57" s="1362">
        <v>51</v>
      </c>
      <c r="B57" s="1366" t="s">
        <v>581</v>
      </c>
      <c r="C57" s="1372" t="s">
        <v>2484</v>
      </c>
      <c r="D57" s="1368">
        <v>13500</v>
      </c>
      <c r="E57" s="1368">
        <v>13500</v>
      </c>
    </row>
    <row r="58" spans="1:5" ht="31">
      <c r="A58" s="1362">
        <v>52</v>
      </c>
      <c r="B58" s="1366" t="s">
        <v>2485</v>
      </c>
      <c r="C58" s="1372" t="s">
        <v>570</v>
      </c>
      <c r="D58" s="1368">
        <f>+E58</f>
        <v>19542</v>
      </c>
      <c r="E58" s="1368">
        <v>19542</v>
      </c>
    </row>
    <row r="59" spans="1:5" ht="46.5">
      <c r="A59" s="1362">
        <v>53</v>
      </c>
      <c r="B59" s="1366" t="s">
        <v>2976</v>
      </c>
      <c r="C59" s="1362" t="s">
        <v>2978</v>
      </c>
      <c r="D59" s="1368">
        <v>27614</v>
      </c>
      <c r="E59" s="1368">
        <v>27614</v>
      </c>
    </row>
    <row r="60" spans="1:5" ht="33.75" customHeight="1">
      <c r="A60" s="1358" t="s">
        <v>26</v>
      </c>
      <c r="B60" s="1359" t="s">
        <v>2929</v>
      </c>
      <c r="C60" s="1360">
        <f>A81</f>
        <v>21</v>
      </c>
      <c r="D60" s="1361">
        <f>SUM(D61:D81)</f>
        <v>427194.46391752578</v>
      </c>
      <c r="E60" s="1361">
        <f>SUM(E61:E81)</f>
        <v>417897</v>
      </c>
    </row>
    <row r="61" spans="1:5" ht="31">
      <c r="A61" s="1362">
        <v>1</v>
      </c>
      <c r="B61" s="1376" t="s">
        <v>2557</v>
      </c>
      <c r="C61" s="1364" t="s">
        <v>2797</v>
      </c>
      <c r="D61" s="1377">
        <v>22000</v>
      </c>
      <c r="E61" s="1377">
        <v>22000</v>
      </c>
    </row>
    <row r="62" spans="1:5" ht="46.5">
      <c r="A62" s="1362">
        <v>2</v>
      </c>
      <c r="B62" s="1376" t="s">
        <v>2559</v>
      </c>
      <c r="C62" s="1364" t="s">
        <v>2797</v>
      </c>
      <c r="D62" s="1377">
        <v>20000</v>
      </c>
      <c r="E62" s="1377">
        <v>20000</v>
      </c>
    </row>
    <row r="63" spans="1:5" ht="31">
      <c r="A63" s="1362">
        <v>3</v>
      </c>
      <c r="B63" s="1376" t="s">
        <v>2574</v>
      </c>
      <c r="C63" s="1364" t="s">
        <v>2799</v>
      </c>
      <c r="D63" s="1377">
        <v>10000</v>
      </c>
      <c r="E63" s="1377">
        <v>10000</v>
      </c>
    </row>
    <row r="64" spans="1:5" ht="31">
      <c r="A64" s="1362">
        <v>4</v>
      </c>
      <c r="B64" s="1376" t="s">
        <v>2800</v>
      </c>
      <c r="C64" s="1364" t="s">
        <v>2801</v>
      </c>
      <c r="D64" s="1377">
        <v>15000</v>
      </c>
      <c r="E64" s="1377">
        <v>15000</v>
      </c>
    </row>
    <row r="65" spans="1:8" ht="31">
      <c r="A65" s="1362">
        <v>5</v>
      </c>
      <c r="B65" s="1376" t="s">
        <v>413</v>
      </c>
      <c r="C65" s="1364" t="s">
        <v>120</v>
      </c>
      <c r="D65" s="1377">
        <v>29900</v>
      </c>
      <c r="E65" s="1377">
        <v>29900</v>
      </c>
    </row>
    <row r="66" spans="1:8" s="1413" customFormat="1" ht="36" customHeight="1">
      <c r="A66" s="1409">
        <v>6</v>
      </c>
      <c r="B66" s="1410" t="s">
        <v>2989</v>
      </c>
      <c r="C66" s="1411" t="s">
        <v>572</v>
      </c>
      <c r="D66" s="1421">
        <v>20000</v>
      </c>
      <c r="E66" s="1421">
        <v>20000</v>
      </c>
      <c r="G66" s="1421">
        <v>20000</v>
      </c>
      <c r="H66" s="1421">
        <v>20000</v>
      </c>
    </row>
    <row r="67" spans="1:8" s="1425" customFormat="1" ht="39" customHeight="1">
      <c r="A67" s="1422">
        <v>7</v>
      </c>
      <c r="B67" s="1423" t="s">
        <v>2988</v>
      </c>
      <c r="C67" s="1424" t="s">
        <v>572</v>
      </c>
      <c r="D67" s="1412">
        <v>35000</v>
      </c>
      <c r="E67" s="1412">
        <v>35000</v>
      </c>
    </row>
    <row r="68" spans="1:8" ht="46.5">
      <c r="A68" s="1362">
        <v>8</v>
      </c>
      <c r="B68" s="1381" t="s">
        <v>2615</v>
      </c>
      <c r="C68" s="1364" t="s">
        <v>572</v>
      </c>
      <c r="D68" s="1380">
        <v>35000</v>
      </c>
      <c r="E68" s="1380">
        <v>35000</v>
      </c>
    </row>
    <row r="69" spans="1:8" ht="46.5">
      <c r="A69" s="1362">
        <v>9</v>
      </c>
      <c r="B69" s="1378" t="s">
        <v>2934</v>
      </c>
      <c r="C69" s="1364" t="s">
        <v>2935</v>
      </c>
      <c r="D69" s="1393">
        <v>30000</v>
      </c>
      <c r="E69" s="1380">
        <v>25000</v>
      </c>
    </row>
    <row r="70" spans="1:8" ht="31">
      <c r="A70" s="1362">
        <v>10</v>
      </c>
      <c r="B70" s="1381" t="s">
        <v>2637</v>
      </c>
      <c r="C70" s="1364" t="s">
        <v>218</v>
      </c>
      <c r="D70" s="1394">
        <v>12371.134020618556</v>
      </c>
      <c r="E70" s="1394">
        <v>12000</v>
      </c>
    </row>
    <row r="71" spans="1:8" ht="31">
      <c r="A71" s="1362">
        <v>11</v>
      </c>
      <c r="B71" s="1381" t="s">
        <v>2639</v>
      </c>
      <c r="C71" s="1364" t="s">
        <v>263</v>
      </c>
      <c r="D71" s="1394">
        <v>15463.9175257732</v>
      </c>
      <c r="E71" s="1394">
        <v>15000</v>
      </c>
    </row>
    <row r="72" spans="1:8" ht="21.75" customHeight="1">
      <c r="A72" s="1362">
        <v>12</v>
      </c>
      <c r="B72" s="1381" t="s">
        <v>2693</v>
      </c>
      <c r="C72" s="1364" t="s">
        <v>225</v>
      </c>
      <c r="D72" s="1394">
        <v>10178</v>
      </c>
      <c r="E72" s="1394">
        <v>10396</v>
      </c>
    </row>
    <row r="73" spans="1:8" ht="23.25" customHeight="1">
      <c r="A73" s="1362">
        <v>13</v>
      </c>
      <c r="B73" s="1381" t="s">
        <v>2704</v>
      </c>
      <c r="C73" s="1364" t="s">
        <v>212</v>
      </c>
      <c r="D73" s="1394">
        <v>22680.412371134022</v>
      </c>
      <c r="E73" s="1394">
        <v>22000</v>
      </c>
    </row>
    <row r="74" spans="1:8" ht="54" customHeight="1">
      <c r="A74" s="1362">
        <v>14</v>
      </c>
      <c r="B74" s="1383" t="s">
        <v>2725</v>
      </c>
      <c r="C74" s="1384" t="s">
        <v>2726</v>
      </c>
      <c r="D74" s="1394">
        <v>25000</v>
      </c>
      <c r="E74" s="1394">
        <v>25000</v>
      </c>
    </row>
    <row r="75" spans="1:8" ht="31">
      <c r="A75" s="1362">
        <v>15</v>
      </c>
      <c r="B75" s="1383" t="s">
        <v>2728</v>
      </c>
      <c r="C75" s="1384" t="s">
        <v>459</v>
      </c>
      <c r="D75" s="1394">
        <v>18000</v>
      </c>
      <c r="E75" s="1394">
        <v>15000</v>
      </c>
    </row>
    <row r="76" spans="1:8" ht="31">
      <c r="A76" s="1362">
        <v>16</v>
      </c>
      <c r="B76" s="1383" t="s">
        <v>2730</v>
      </c>
      <c r="C76" s="1384" t="s">
        <v>2731</v>
      </c>
      <c r="D76" s="1394">
        <v>36500</v>
      </c>
      <c r="E76" s="1394">
        <v>36500</v>
      </c>
    </row>
    <row r="77" spans="1:8" ht="31">
      <c r="A77" s="1362">
        <v>17</v>
      </c>
      <c r="B77" s="1383" t="s">
        <v>2733</v>
      </c>
      <c r="C77" s="1384" t="s">
        <v>459</v>
      </c>
      <c r="D77" s="1394">
        <v>13100</v>
      </c>
      <c r="E77" s="1394">
        <v>13100</v>
      </c>
    </row>
    <row r="78" spans="1:8" ht="31">
      <c r="A78" s="1362">
        <v>18</v>
      </c>
      <c r="B78" s="1383" t="s">
        <v>2735</v>
      </c>
      <c r="C78" s="1384" t="s">
        <v>2715</v>
      </c>
      <c r="D78" s="1394">
        <v>12000</v>
      </c>
      <c r="E78" s="1394">
        <v>12000</v>
      </c>
    </row>
    <row r="79" spans="1:8" ht="31">
      <c r="A79" s="1362">
        <v>19</v>
      </c>
      <c r="B79" s="1383" t="s">
        <v>431</v>
      </c>
      <c r="C79" s="1384" t="s">
        <v>2755</v>
      </c>
      <c r="D79" s="1394">
        <v>14000</v>
      </c>
      <c r="E79" s="1394">
        <v>14000</v>
      </c>
    </row>
    <row r="80" spans="1:8">
      <c r="A80" s="1362">
        <v>20</v>
      </c>
      <c r="B80" s="1395" t="s">
        <v>2820</v>
      </c>
      <c r="C80" s="1396" t="s">
        <v>2774</v>
      </c>
      <c r="D80" s="1397">
        <v>14467</v>
      </c>
      <c r="E80" s="1397">
        <v>14467</v>
      </c>
    </row>
    <row r="81" spans="1:5" ht="31">
      <c r="A81" s="1362">
        <v>21</v>
      </c>
      <c r="B81" s="1385" t="s">
        <v>2821</v>
      </c>
      <c r="C81" s="1386" t="s">
        <v>2774</v>
      </c>
      <c r="D81" s="1398">
        <v>16534</v>
      </c>
      <c r="E81" s="1398">
        <v>16534</v>
      </c>
    </row>
    <row r="82" spans="1:5">
      <c r="A82" s="1352"/>
      <c r="B82" s="1399"/>
      <c r="C82" s="1399"/>
      <c r="D82" s="1399"/>
      <c r="E82" s="1352"/>
    </row>
    <row r="83" spans="1:5">
      <c r="A83" s="1352"/>
      <c r="B83" s="1399"/>
      <c r="C83" s="1399"/>
      <c r="D83" s="1399"/>
      <c r="E83" s="1352"/>
    </row>
    <row r="84" spans="1:5">
      <c r="A84" s="1352"/>
      <c r="B84" s="1399"/>
      <c r="C84" s="1399"/>
      <c r="D84" s="1399"/>
      <c r="E84" s="1352"/>
    </row>
    <row r="85" spans="1:5">
      <c r="A85" s="1352"/>
      <c r="B85" s="1399"/>
      <c r="C85" s="1399"/>
      <c r="D85" s="1399"/>
      <c r="E85" s="1352"/>
    </row>
    <row r="86" spans="1:5">
      <c r="A86" s="1352"/>
      <c r="B86" s="1399"/>
      <c r="C86" s="1399"/>
      <c r="D86" s="1399"/>
      <c r="E86" s="1352"/>
    </row>
    <row r="87" spans="1:5">
      <c r="A87" s="1352"/>
      <c r="B87" s="1399"/>
      <c r="C87" s="1399"/>
      <c r="D87" s="1399"/>
      <c r="E87" s="1352"/>
    </row>
  </sheetData>
  <mergeCells count="1">
    <mergeCell ref="A2:E2"/>
  </mergeCells>
  <pageMargins left="0.7" right="0.51" top="0.36" bottom="0.2" header="0.3" footer="0.3"/>
  <pageSetup paperSize="9" scale="90"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53"/>
  <sheetViews>
    <sheetView topLeftCell="A37" zoomScale="90" zoomScaleNormal="90" workbookViewId="0">
      <selection activeCell="F6" sqref="F6:F10"/>
    </sheetView>
  </sheetViews>
  <sheetFormatPr defaultColWidth="9.08203125" defaultRowHeight="15.5"/>
  <cols>
    <col min="1" max="1" width="6.4140625" style="1351" customWidth="1"/>
    <col min="2" max="2" width="48.6640625" style="1351" customWidth="1"/>
    <col min="3" max="3" width="16.33203125" style="1351" customWidth="1"/>
    <col min="4" max="4" width="10.6640625" style="1351" customWidth="1"/>
    <col min="5" max="5" width="15.4140625" style="1351" customWidth="1"/>
    <col min="6" max="16384" width="9.08203125" style="1351"/>
  </cols>
  <sheetData>
    <row r="1" spans="1:5" ht="47.25" customHeight="1">
      <c r="A1" s="1924" t="s">
        <v>2979</v>
      </c>
      <c r="B1" s="1925"/>
      <c r="C1" s="1925"/>
      <c r="D1" s="1925"/>
      <c r="E1" s="1925"/>
    </row>
    <row r="2" spans="1:5" ht="24.75" customHeight="1">
      <c r="A2" s="1352"/>
    </row>
    <row r="3" spans="1:5" ht="52.5" customHeight="1">
      <c r="A3" s="1353" t="s">
        <v>4</v>
      </c>
      <c r="B3" s="1353" t="s">
        <v>2927</v>
      </c>
      <c r="C3" s="1354" t="s">
        <v>34</v>
      </c>
      <c r="D3" s="1354" t="s">
        <v>36</v>
      </c>
      <c r="E3" s="1354" t="s">
        <v>2977</v>
      </c>
    </row>
    <row r="4" spans="1:5" ht="28.5" customHeight="1">
      <c r="A4" s="1355"/>
      <c r="B4" s="1355" t="s">
        <v>7</v>
      </c>
      <c r="C4" s="1356">
        <f>C5+C38</f>
        <v>46</v>
      </c>
      <c r="D4" s="1357">
        <f>D5+D38</f>
        <v>1143237.3298969073</v>
      </c>
      <c r="E4" s="1357">
        <f>E5+E38</f>
        <v>1115916</v>
      </c>
    </row>
    <row r="5" spans="1:5" ht="30">
      <c r="A5" s="1358" t="s">
        <v>8</v>
      </c>
      <c r="B5" s="1359" t="s">
        <v>2928</v>
      </c>
      <c r="C5" s="1360">
        <f>A37</f>
        <v>32</v>
      </c>
      <c r="D5" s="1361">
        <f>SUM(D6:D37)</f>
        <v>802159</v>
      </c>
      <c r="E5" s="1361">
        <f>SUM(E6:E37)</f>
        <v>783982</v>
      </c>
    </row>
    <row r="6" spans="1:5" ht="31">
      <c r="A6" s="1362">
        <v>1</v>
      </c>
      <c r="B6" s="1363" t="s">
        <v>2924</v>
      </c>
      <c r="C6" s="1364" t="s">
        <v>594</v>
      </c>
      <c r="D6" s="1365">
        <v>21000</v>
      </c>
      <c r="E6" s="1365">
        <v>20665</v>
      </c>
    </row>
    <row r="7" spans="1:5" ht="31">
      <c r="A7" s="1362">
        <v>2</v>
      </c>
      <c r="B7" s="1363" t="s">
        <v>2294</v>
      </c>
      <c r="C7" s="1364" t="s">
        <v>284</v>
      </c>
      <c r="D7" s="1365">
        <v>26500</v>
      </c>
      <c r="E7" s="1365">
        <v>20395</v>
      </c>
    </row>
    <row r="8" spans="1:5" ht="31">
      <c r="A8" s="1362">
        <v>3</v>
      </c>
      <c r="B8" s="1363" t="s">
        <v>2299</v>
      </c>
      <c r="C8" s="1364" t="s">
        <v>286</v>
      </c>
      <c r="D8" s="1365">
        <v>29780</v>
      </c>
      <c r="E8" s="1365">
        <v>22863</v>
      </c>
    </row>
    <row r="9" spans="1:5">
      <c r="A9" s="1362">
        <v>4</v>
      </c>
      <c r="B9" s="1363" t="s">
        <v>2297</v>
      </c>
      <c r="C9" s="1364" t="s">
        <v>113</v>
      </c>
      <c r="D9" s="1365">
        <v>20000</v>
      </c>
      <c r="E9" s="1365">
        <v>15385</v>
      </c>
    </row>
    <row r="10" spans="1:5" ht="46.5">
      <c r="A10" s="1362">
        <v>5</v>
      </c>
      <c r="B10" s="1366" t="s">
        <v>310</v>
      </c>
      <c r="C10" s="1367" t="s">
        <v>296</v>
      </c>
      <c r="D10" s="1368">
        <v>38137</v>
      </c>
      <c r="E10" s="1368">
        <v>38137</v>
      </c>
    </row>
    <row r="11" spans="1:5">
      <c r="A11" s="1362">
        <v>6</v>
      </c>
      <c r="B11" s="1369" t="s">
        <v>226</v>
      </c>
      <c r="C11" s="1370" t="s">
        <v>225</v>
      </c>
      <c r="D11" s="1368">
        <f t="shared" ref="D11:D13" si="0">+E11</f>
        <v>19126</v>
      </c>
      <c r="E11" s="1368">
        <f>16170+3830-874</f>
        <v>19126</v>
      </c>
    </row>
    <row r="12" spans="1:5">
      <c r="A12" s="1362">
        <v>7</v>
      </c>
      <c r="B12" s="1363" t="s">
        <v>234</v>
      </c>
      <c r="C12" s="1371" t="s">
        <v>216</v>
      </c>
      <c r="D12" s="1368">
        <f t="shared" si="0"/>
        <v>18000</v>
      </c>
      <c r="E12" s="1368">
        <v>18000</v>
      </c>
    </row>
    <row r="13" spans="1:5" ht="31">
      <c r="A13" s="1362">
        <v>8</v>
      </c>
      <c r="B13" s="1363" t="s">
        <v>618</v>
      </c>
      <c r="C13" s="1371" t="s">
        <v>2498</v>
      </c>
      <c r="D13" s="1368">
        <f t="shared" si="0"/>
        <v>22400</v>
      </c>
      <c r="E13" s="1368">
        <f>22400</f>
        <v>22400</v>
      </c>
    </row>
    <row r="14" spans="1:5" ht="31">
      <c r="A14" s="1362">
        <v>9</v>
      </c>
      <c r="B14" s="1363" t="s">
        <v>128</v>
      </c>
      <c r="C14" s="1372" t="s">
        <v>107</v>
      </c>
      <c r="D14" s="1368">
        <v>18000</v>
      </c>
      <c r="E14" s="1368">
        <v>18000</v>
      </c>
    </row>
    <row r="15" spans="1:5" ht="31">
      <c r="A15" s="1362">
        <v>10</v>
      </c>
      <c r="B15" s="1363" t="s">
        <v>413</v>
      </c>
      <c r="C15" s="1372" t="s">
        <v>114</v>
      </c>
      <c r="D15" s="1368">
        <v>18719</v>
      </c>
      <c r="E15" s="1368">
        <f>18719-205</f>
        <v>18514</v>
      </c>
    </row>
    <row r="16" spans="1:5" ht="31">
      <c r="A16" s="1362">
        <v>11</v>
      </c>
      <c r="B16" s="1363" t="s">
        <v>143</v>
      </c>
      <c r="C16" s="1372" t="s">
        <v>110</v>
      </c>
      <c r="D16" s="1368">
        <f>+E16</f>
        <v>50371</v>
      </c>
      <c r="E16" s="1368">
        <f>52800-2429</f>
        <v>50371</v>
      </c>
    </row>
    <row r="17" spans="1:5" ht="31">
      <c r="A17" s="1362">
        <v>12</v>
      </c>
      <c r="B17" s="1373" t="s">
        <v>2930</v>
      </c>
      <c r="C17" s="1372" t="s">
        <v>587</v>
      </c>
      <c r="D17" s="1368">
        <v>26330</v>
      </c>
      <c r="E17" s="1368">
        <v>26330</v>
      </c>
    </row>
    <row r="18" spans="1:5" ht="31">
      <c r="A18" s="1362">
        <v>13</v>
      </c>
      <c r="B18" s="1373" t="s">
        <v>2932</v>
      </c>
      <c r="C18" s="1372" t="s">
        <v>691</v>
      </c>
      <c r="D18" s="1368">
        <v>20860</v>
      </c>
      <c r="E18" s="1368">
        <v>20860</v>
      </c>
    </row>
    <row r="19" spans="1:5" ht="31">
      <c r="A19" s="1362">
        <v>14</v>
      </c>
      <c r="B19" s="1363" t="s">
        <v>2933</v>
      </c>
      <c r="C19" s="1372" t="s">
        <v>689</v>
      </c>
      <c r="D19" s="1368">
        <v>28310</v>
      </c>
      <c r="E19" s="1368">
        <v>28310</v>
      </c>
    </row>
    <row r="20" spans="1:5" ht="62">
      <c r="A20" s="1362">
        <v>15</v>
      </c>
      <c r="B20" s="1374" t="s">
        <v>2455</v>
      </c>
      <c r="C20" s="1375" t="s">
        <v>2377</v>
      </c>
      <c r="D20" s="1368">
        <v>28488</v>
      </c>
      <c r="E20" s="1368">
        <v>28488</v>
      </c>
    </row>
    <row r="21" spans="1:5">
      <c r="A21" s="1362">
        <v>16</v>
      </c>
      <c r="B21" s="1374" t="s">
        <v>2984</v>
      </c>
      <c r="C21" s="1375" t="s">
        <v>19</v>
      </c>
      <c r="D21" s="1368">
        <v>35512</v>
      </c>
      <c r="E21" s="1368">
        <v>35512</v>
      </c>
    </row>
    <row r="22" spans="1:5">
      <c r="A22" s="1362">
        <v>17</v>
      </c>
      <c r="B22" s="1374" t="s">
        <v>2990</v>
      </c>
      <c r="C22" s="1375" t="s">
        <v>23</v>
      </c>
      <c r="D22" s="1368">
        <v>20650</v>
      </c>
      <c r="E22" s="1368">
        <v>20650</v>
      </c>
    </row>
    <row r="23" spans="1:5" ht="46.5">
      <c r="A23" s="1362">
        <v>18</v>
      </c>
      <c r="B23" s="1374" t="s">
        <v>2997</v>
      </c>
      <c r="C23" s="1375" t="s">
        <v>19</v>
      </c>
      <c r="D23" s="1368">
        <v>24308</v>
      </c>
      <c r="E23" s="1368">
        <v>24308</v>
      </c>
    </row>
    <row r="24" spans="1:5" ht="37.5" customHeight="1">
      <c r="A24" s="1362">
        <v>19</v>
      </c>
      <c r="B24" s="1374" t="s">
        <v>2991</v>
      </c>
      <c r="C24" s="1375" t="s">
        <v>15</v>
      </c>
      <c r="D24" s="1368">
        <v>30182</v>
      </c>
      <c r="E24" s="1368">
        <v>30182</v>
      </c>
    </row>
    <row r="25" spans="1:5" ht="31">
      <c r="A25" s="1362">
        <v>20</v>
      </c>
      <c r="B25" s="1374" t="s">
        <v>2382</v>
      </c>
      <c r="C25" s="1375" t="s">
        <v>15</v>
      </c>
      <c r="D25" s="1368">
        <v>17204</v>
      </c>
      <c r="E25" s="1368">
        <v>17204</v>
      </c>
    </row>
    <row r="26" spans="1:5" ht="46.5">
      <c r="A26" s="1362">
        <v>21</v>
      </c>
      <c r="B26" s="1374" t="s">
        <v>2992</v>
      </c>
      <c r="C26" s="1375" t="s">
        <v>17</v>
      </c>
      <c r="D26" s="1368">
        <v>27998</v>
      </c>
      <c r="E26" s="1368">
        <v>27998</v>
      </c>
    </row>
    <row r="27" spans="1:5" ht="46.5">
      <c r="A27" s="1362">
        <v>22</v>
      </c>
      <c r="B27" s="1374" t="s">
        <v>2458</v>
      </c>
      <c r="C27" s="1375" t="s">
        <v>17</v>
      </c>
      <c r="D27" s="1368">
        <v>21105</v>
      </c>
      <c r="E27" s="1368">
        <v>21105</v>
      </c>
    </row>
    <row r="28" spans="1:5" ht="46.5">
      <c r="A28" s="1362">
        <v>23</v>
      </c>
      <c r="B28" s="1374" t="s">
        <v>2993</v>
      </c>
      <c r="C28" s="1375" t="s">
        <v>13</v>
      </c>
      <c r="D28" s="1368">
        <v>25630</v>
      </c>
      <c r="E28" s="1368">
        <v>25630</v>
      </c>
    </row>
    <row r="29" spans="1:5" ht="46.5">
      <c r="A29" s="1362">
        <v>24</v>
      </c>
      <c r="B29" s="1374" t="s">
        <v>2386</v>
      </c>
      <c r="C29" s="1375" t="s">
        <v>13</v>
      </c>
      <c r="D29" s="1368">
        <v>26116</v>
      </c>
      <c r="E29" s="1368">
        <v>26116</v>
      </c>
    </row>
    <row r="30" spans="1:5" ht="46.5">
      <c r="A30" s="1362">
        <v>25</v>
      </c>
      <c r="B30" s="1374" t="s">
        <v>2387</v>
      </c>
      <c r="C30" s="1375" t="s">
        <v>11</v>
      </c>
      <c r="D30" s="1368">
        <v>17836</v>
      </c>
      <c r="E30" s="1368">
        <v>17836</v>
      </c>
    </row>
    <row r="31" spans="1:5" ht="31">
      <c r="A31" s="1362">
        <v>26</v>
      </c>
      <c r="B31" s="1374" t="s">
        <v>2985</v>
      </c>
      <c r="C31" s="1375" t="s">
        <v>11</v>
      </c>
      <c r="D31" s="1368">
        <v>31564</v>
      </c>
      <c r="E31" s="1368">
        <v>31564</v>
      </c>
    </row>
    <row r="32" spans="1:5" ht="31">
      <c r="A32" s="1362">
        <v>27</v>
      </c>
      <c r="B32" s="1376" t="s">
        <v>2389</v>
      </c>
      <c r="C32" s="1364" t="s">
        <v>11</v>
      </c>
      <c r="D32" s="1368">
        <v>15392</v>
      </c>
      <c r="E32" s="1368">
        <v>15392</v>
      </c>
    </row>
    <row r="33" spans="1:5">
      <c r="A33" s="1362">
        <v>28</v>
      </c>
      <c r="B33" s="1374" t="s">
        <v>2986</v>
      </c>
      <c r="C33" s="1364" t="s">
        <v>11</v>
      </c>
      <c r="D33" s="1368">
        <v>29985</v>
      </c>
      <c r="E33" s="1368">
        <v>29985</v>
      </c>
    </row>
    <row r="34" spans="1:5" ht="31">
      <c r="A34" s="1362">
        <v>29</v>
      </c>
      <c r="B34" s="1376" t="s">
        <v>146</v>
      </c>
      <c r="C34" s="1367" t="s">
        <v>117</v>
      </c>
      <c r="D34" s="1368">
        <v>17000</v>
      </c>
      <c r="E34" s="1368">
        <v>17000</v>
      </c>
    </row>
    <row r="35" spans="1:5" ht="31">
      <c r="A35" s="1362">
        <v>30</v>
      </c>
      <c r="B35" s="1366" t="s">
        <v>661</v>
      </c>
      <c r="C35" s="1367" t="s">
        <v>123</v>
      </c>
      <c r="D35" s="1368">
        <v>28500</v>
      </c>
      <c r="E35" s="1368">
        <v>28500</v>
      </c>
    </row>
    <row r="36" spans="1:5" ht="31">
      <c r="A36" s="1362">
        <v>31</v>
      </c>
      <c r="B36" s="1366" t="s">
        <v>2485</v>
      </c>
      <c r="C36" s="1372" t="s">
        <v>570</v>
      </c>
      <c r="D36" s="1368">
        <f>+E36</f>
        <v>19542</v>
      </c>
      <c r="E36" s="1368">
        <v>19542</v>
      </c>
    </row>
    <row r="37" spans="1:5" ht="46.5">
      <c r="A37" s="1362">
        <v>32</v>
      </c>
      <c r="B37" s="1366" t="s">
        <v>2976</v>
      </c>
      <c r="C37" s="1362" t="s">
        <v>2978</v>
      </c>
      <c r="D37" s="1368">
        <v>27614</v>
      </c>
      <c r="E37" s="1368">
        <v>27614</v>
      </c>
    </row>
    <row r="38" spans="1:5" ht="30" customHeight="1">
      <c r="A38" s="1358" t="s">
        <v>26</v>
      </c>
      <c r="B38" s="1359" t="s">
        <v>2929</v>
      </c>
      <c r="C38" s="1358">
        <f>A52</f>
        <v>14</v>
      </c>
      <c r="D38" s="1361">
        <f>SUM(D39:D52)</f>
        <v>341078.32989690721</v>
      </c>
      <c r="E38" s="1361">
        <f>SUM(E39:E52)</f>
        <v>331934</v>
      </c>
    </row>
    <row r="39" spans="1:5" ht="31">
      <c r="A39" s="1362">
        <v>1</v>
      </c>
      <c r="B39" s="1376" t="s">
        <v>2557</v>
      </c>
      <c r="C39" s="1364" t="s">
        <v>2797</v>
      </c>
      <c r="D39" s="1377">
        <v>22000</v>
      </c>
      <c r="E39" s="1377">
        <v>22000</v>
      </c>
    </row>
    <row r="40" spans="1:5" ht="31">
      <c r="A40" s="1362">
        <v>2</v>
      </c>
      <c r="B40" s="1376" t="s">
        <v>2559</v>
      </c>
      <c r="C40" s="1364" t="s">
        <v>2797</v>
      </c>
      <c r="D40" s="1377">
        <v>20000</v>
      </c>
      <c r="E40" s="1377">
        <v>20000</v>
      </c>
    </row>
    <row r="41" spans="1:5" ht="31">
      <c r="A41" s="1362">
        <v>3</v>
      </c>
      <c r="B41" s="1376" t="s">
        <v>2800</v>
      </c>
      <c r="C41" s="1364" t="s">
        <v>2801</v>
      </c>
      <c r="D41" s="1377">
        <v>15000</v>
      </c>
      <c r="E41" s="1377">
        <v>15000</v>
      </c>
    </row>
    <row r="42" spans="1:5" ht="31">
      <c r="A42" s="1362">
        <v>4</v>
      </c>
      <c r="B42" s="1376" t="s">
        <v>413</v>
      </c>
      <c r="C42" s="1364" t="s">
        <v>120</v>
      </c>
      <c r="D42" s="1377">
        <v>29900</v>
      </c>
      <c r="E42" s="1377">
        <v>29900</v>
      </c>
    </row>
    <row r="43" spans="1:5" ht="36" customHeight="1">
      <c r="A43" s="1362">
        <v>5</v>
      </c>
      <c r="B43" s="1378" t="s">
        <v>2989</v>
      </c>
      <c r="C43" s="1379" t="s">
        <v>572</v>
      </c>
      <c r="D43" s="1414">
        <v>20000</v>
      </c>
      <c r="E43" s="1414">
        <v>20000</v>
      </c>
    </row>
    <row r="44" spans="1:5" ht="25.5" customHeight="1">
      <c r="A44" s="1362">
        <v>6</v>
      </c>
      <c r="B44" s="1378" t="s">
        <v>2988</v>
      </c>
      <c r="C44" s="1379" t="s">
        <v>572</v>
      </c>
      <c r="D44" s="1412">
        <v>35000</v>
      </c>
      <c r="E44" s="1412">
        <v>35000</v>
      </c>
    </row>
    <row r="45" spans="1:5" ht="31">
      <c r="A45" s="1362">
        <v>7</v>
      </c>
      <c r="B45" s="1381" t="s">
        <v>2615</v>
      </c>
      <c r="C45" s="1364" t="s">
        <v>572</v>
      </c>
      <c r="D45" s="1380">
        <v>35000</v>
      </c>
      <c r="E45" s="1380">
        <v>35000</v>
      </c>
    </row>
    <row r="46" spans="1:5" ht="46.5">
      <c r="A46" s="1362">
        <v>8</v>
      </c>
      <c r="B46" s="1378" t="s">
        <v>2934</v>
      </c>
      <c r="C46" s="1364" t="s">
        <v>2935</v>
      </c>
      <c r="D46" s="1380">
        <v>30000</v>
      </c>
      <c r="E46" s="1380">
        <v>25000</v>
      </c>
    </row>
    <row r="47" spans="1:5" ht="31">
      <c r="A47" s="1362">
        <v>9</v>
      </c>
      <c r="B47" s="1381" t="s">
        <v>2639</v>
      </c>
      <c r="C47" s="1364" t="s">
        <v>263</v>
      </c>
      <c r="D47" s="1382">
        <v>15463.9175257732</v>
      </c>
      <c r="E47" s="1382">
        <v>15000</v>
      </c>
    </row>
    <row r="48" spans="1:5" ht="30.75" customHeight="1">
      <c r="A48" s="1362">
        <v>10</v>
      </c>
      <c r="B48" s="1381" t="s">
        <v>2704</v>
      </c>
      <c r="C48" s="1364" t="s">
        <v>212</v>
      </c>
      <c r="D48" s="1382">
        <v>22680.412371134022</v>
      </c>
      <c r="E48" s="1382">
        <v>22000</v>
      </c>
    </row>
    <row r="49" spans="1:5" ht="46.5">
      <c r="A49" s="1362">
        <v>11</v>
      </c>
      <c r="B49" s="1383" t="s">
        <v>2725</v>
      </c>
      <c r="C49" s="1384" t="s">
        <v>2726</v>
      </c>
      <c r="D49" s="1382">
        <v>25000</v>
      </c>
      <c r="E49" s="1382">
        <v>25000</v>
      </c>
    </row>
    <row r="50" spans="1:5" ht="31">
      <c r="A50" s="1362">
        <v>12</v>
      </c>
      <c r="B50" s="1383" t="s">
        <v>2728</v>
      </c>
      <c r="C50" s="1384" t="s">
        <v>459</v>
      </c>
      <c r="D50" s="1382">
        <v>18000</v>
      </c>
      <c r="E50" s="1382">
        <v>15000</v>
      </c>
    </row>
    <row r="51" spans="1:5" ht="36.75" customHeight="1">
      <c r="A51" s="1362">
        <v>13</v>
      </c>
      <c r="B51" s="1383" t="s">
        <v>2730</v>
      </c>
      <c r="C51" s="1384" t="s">
        <v>2731</v>
      </c>
      <c r="D51" s="1382">
        <v>36500</v>
      </c>
      <c r="E51" s="1382">
        <v>36500</v>
      </c>
    </row>
    <row r="52" spans="1:5" ht="31">
      <c r="A52" s="1362">
        <v>14</v>
      </c>
      <c r="B52" s="1385" t="s">
        <v>2821</v>
      </c>
      <c r="C52" s="1386" t="s">
        <v>2774</v>
      </c>
      <c r="D52" s="1387">
        <v>16534</v>
      </c>
      <c r="E52" s="1387">
        <v>16534</v>
      </c>
    </row>
    <row r="53" spans="1:5">
      <c r="A53" s="1352"/>
    </row>
  </sheetData>
  <mergeCells count="1">
    <mergeCell ref="A1:E1"/>
  </mergeCells>
  <pageMargins left="0.7" right="0.51" top="0.47" bottom="0.43" header="0.47" footer="0.43"/>
  <pageSetup paperSize="9" scale="9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58"/>
  <sheetViews>
    <sheetView topLeftCell="A49" zoomScale="85" zoomScaleNormal="85" workbookViewId="0">
      <selection activeCell="F6" sqref="F6:F10"/>
    </sheetView>
  </sheetViews>
  <sheetFormatPr defaultColWidth="9.08203125" defaultRowHeight="15.5"/>
  <cols>
    <col min="1" max="1" width="6.4140625" style="1426" customWidth="1"/>
    <col min="2" max="2" width="44.4140625" style="1426" customWidth="1"/>
    <col min="3" max="3" width="16.33203125" style="1426" customWidth="1"/>
    <col min="4" max="4" width="12.33203125" style="1426" customWidth="1"/>
    <col min="5" max="5" width="14.4140625" style="1426" customWidth="1"/>
    <col min="6" max="16384" width="9.08203125" style="1426"/>
  </cols>
  <sheetData>
    <row r="1" spans="1:5" ht="54.75" customHeight="1">
      <c r="A1" s="1926" t="s">
        <v>2981</v>
      </c>
      <c r="B1" s="1926"/>
      <c r="C1" s="1926"/>
      <c r="D1" s="1926"/>
      <c r="E1" s="1926"/>
    </row>
    <row r="3" spans="1:5" ht="30">
      <c r="A3" s="1322" t="s">
        <v>4</v>
      </c>
      <c r="B3" s="1322" t="s">
        <v>2927</v>
      </c>
      <c r="C3" s="1322" t="s">
        <v>34</v>
      </c>
      <c r="D3" s="1322" t="s">
        <v>36</v>
      </c>
      <c r="E3" s="1322" t="s">
        <v>2982</v>
      </c>
    </row>
    <row r="4" spans="1:5" ht="35.25" customHeight="1">
      <c r="A4" s="1322"/>
      <c r="B4" s="1322" t="s">
        <v>7</v>
      </c>
      <c r="C4" s="1323">
        <f>C5+C47</f>
        <v>52</v>
      </c>
      <c r="D4" s="1324">
        <f>D5+D45</f>
        <v>798700</v>
      </c>
      <c r="E4" s="1324">
        <f>E5+E45</f>
        <v>270212.09035838605</v>
      </c>
    </row>
    <row r="5" spans="1:5" ht="30">
      <c r="A5" s="1322" t="s">
        <v>8</v>
      </c>
      <c r="B5" s="1325" t="s">
        <v>2928</v>
      </c>
      <c r="C5" s="1323">
        <f>A46</f>
        <v>41</v>
      </c>
      <c r="D5" s="1326">
        <f>SUM(D6:D46)</f>
        <v>785200</v>
      </c>
      <c r="E5" s="1326">
        <f>SUM(E6:E46)</f>
        <v>256712.09035838608</v>
      </c>
    </row>
    <row r="6" spans="1:5" ht="31">
      <c r="A6" s="1327">
        <v>1</v>
      </c>
      <c r="B6" s="1328" t="s">
        <v>2302</v>
      </c>
      <c r="C6" s="1329" t="s">
        <v>176</v>
      </c>
      <c r="D6" s="1330">
        <v>14500</v>
      </c>
      <c r="E6" s="1330">
        <v>2022.0903583860857</v>
      </c>
    </row>
    <row r="7" spans="1:5" ht="31">
      <c r="A7" s="1327">
        <v>2</v>
      </c>
      <c r="B7" s="1328" t="s">
        <v>2924</v>
      </c>
      <c r="C7" s="1329" t="s">
        <v>594</v>
      </c>
      <c r="D7" s="1330">
        <v>21000</v>
      </c>
      <c r="E7" s="1330">
        <v>3610</v>
      </c>
    </row>
    <row r="8" spans="1:5" ht="31">
      <c r="A8" s="1327">
        <v>3</v>
      </c>
      <c r="B8" s="1328" t="s">
        <v>2299</v>
      </c>
      <c r="C8" s="1329" t="s">
        <v>286</v>
      </c>
      <c r="D8" s="1330">
        <v>29780</v>
      </c>
      <c r="E8" s="1330">
        <v>7624</v>
      </c>
    </row>
    <row r="9" spans="1:5" ht="31">
      <c r="A9" s="1327">
        <v>4</v>
      </c>
      <c r="B9" s="1328" t="s">
        <v>2298</v>
      </c>
      <c r="C9" s="1329" t="s">
        <v>216</v>
      </c>
      <c r="D9" s="1330">
        <v>14900</v>
      </c>
      <c r="E9" s="1330">
        <v>2080</v>
      </c>
    </row>
    <row r="10" spans="1:5">
      <c r="A10" s="1327">
        <v>5</v>
      </c>
      <c r="B10" s="1328" t="s">
        <v>2297</v>
      </c>
      <c r="C10" s="1329" t="s">
        <v>113</v>
      </c>
      <c r="D10" s="1330">
        <v>20000</v>
      </c>
      <c r="E10" s="1330">
        <v>2668</v>
      </c>
    </row>
    <row r="11" spans="1:5" ht="31">
      <c r="A11" s="1327">
        <v>6</v>
      </c>
      <c r="B11" s="1328" t="s">
        <v>2351</v>
      </c>
      <c r="C11" s="1329" t="s">
        <v>114</v>
      </c>
      <c r="D11" s="1330">
        <v>18500</v>
      </c>
      <c r="E11" s="1330">
        <v>2600</v>
      </c>
    </row>
    <row r="12" spans="1:5" ht="31">
      <c r="A12" s="1327">
        <v>7</v>
      </c>
      <c r="B12" s="1328" t="s">
        <v>2296</v>
      </c>
      <c r="C12" s="1329" t="s">
        <v>627</v>
      </c>
      <c r="D12" s="1330">
        <v>19500</v>
      </c>
      <c r="E12" s="1330">
        <v>2654</v>
      </c>
    </row>
    <row r="13" spans="1:5" ht="62">
      <c r="A13" s="1327">
        <v>8</v>
      </c>
      <c r="B13" s="1331" t="s">
        <v>2998</v>
      </c>
      <c r="C13" s="1332" t="s">
        <v>284</v>
      </c>
      <c r="D13" s="1333">
        <v>11000</v>
      </c>
      <c r="E13" s="1333">
        <v>3800</v>
      </c>
    </row>
    <row r="14" spans="1:5" ht="46.5">
      <c r="A14" s="1327">
        <v>9</v>
      </c>
      <c r="B14" s="1334" t="s">
        <v>1524</v>
      </c>
      <c r="C14" s="1332" t="s">
        <v>285</v>
      </c>
      <c r="D14" s="1333">
        <v>14283</v>
      </c>
      <c r="E14" s="1333">
        <v>5700</v>
      </c>
    </row>
    <row r="15" spans="1:5" ht="31">
      <c r="A15" s="1327">
        <v>10</v>
      </c>
      <c r="B15" s="1334" t="s">
        <v>1477</v>
      </c>
      <c r="C15" s="1332" t="s">
        <v>285</v>
      </c>
      <c r="D15" s="1333">
        <v>11000</v>
      </c>
      <c r="E15" s="1333">
        <v>3600</v>
      </c>
    </row>
    <row r="16" spans="1:5" ht="31">
      <c r="A16" s="1327">
        <v>11</v>
      </c>
      <c r="B16" s="1334" t="s">
        <v>311</v>
      </c>
      <c r="C16" s="1332" t="s">
        <v>296</v>
      </c>
      <c r="D16" s="1333">
        <v>14400</v>
      </c>
      <c r="E16" s="1333">
        <v>5563</v>
      </c>
    </row>
    <row r="17" spans="1:5" ht="31">
      <c r="A17" s="1327">
        <v>12</v>
      </c>
      <c r="B17" s="1334" t="s">
        <v>312</v>
      </c>
      <c r="C17" s="1332" t="s">
        <v>296</v>
      </c>
      <c r="D17" s="1333">
        <v>11200</v>
      </c>
      <c r="E17" s="1333">
        <v>4480</v>
      </c>
    </row>
    <row r="18" spans="1:5">
      <c r="A18" s="1327">
        <v>13</v>
      </c>
      <c r="B18" s="1335" t="s">
        <v>226</v>
      </c>
      <c r="C18" s="1336" t="s">
        <v>225</v>
      </c>
      <c r="D18" s="1333">
        <v>19126</v>
      </c>
      <c r="E18" s="1333">
        <v>6738</v>
      </c>
    </row>
    <row r="19" spans="1:5">
      <c r="A19" s="1327">
        <v>14</v>
      </c>
      <c r="B19" s="1337" t="s">
        <v>231</v>
      </c>
      <c r="C19" s="1338" t="s">
        <v>230</v>
      </c>
      <c r="D19" s="1333">
        <v>10707</v>
      </c>
      <c r="E19" s="1333">
        <v>4030</v>
      </c>
    </row>
    <row r="20" spans="1:5">
      <c r="A20" s="1327">
        <v>15</v>
      </c>
      <c r="B20" s="1337" t="s">
        <v>233</v>
      </c>
      <c r="C20" s="1338" t="s">
        <v>209</v>
      </c>
      <c r="D20" s="1333">
        <v>10000</v>
      </c>
      <c r="E20" s="1333">
        <v>3500</v>
      </c>
    </row>
    <row r="21" spans="1:5">
      <c r="A21" s="1327">
        <v>16</v>
      </c>
      <c r="B21" s="1328" t="s">
        <v>586</v>
      </c>
      <c r="C21" s="1339" t="s">
        <v>210</v>
      </c>
      <c r="D21" s="1333">
        <v>14000</v>
      </c>
      <c r="E21" s="1333">
        <v>5100</v>
      </c>
    </row>
    <row r="22" spans="1:5">
      <c r="A22" s="1327">
        <v>17</v>
      </c>
      <c r="B22" s="1328" t="s">
        <v>234</v>
      </c>
      <c r="C22" s="1339" t="s">
        <v>216</v>
      </c>
      <c r="D22" s="1333">
        <v>18000</v>
      </c>
      <c r="E22" s="1333">
        <v>6600</v>
      </c>
    </row>
    <row r="23" spans="1:5" ht="31">
      <c r="A23" s="1327">
        <v>18</v>
      </c>
      <c r="B23" s="1328" t="s">
        <v>127</v>
      </c>
      <c r="C23" s="1340" t="s">
        <v>111</v>
      </c>
      <c r="D23" s="1333">
        <v>12000</v>
      </c>
      <c r="E23" s="1333">
        <v>4000</v>
      </c>
    </row>
    <row r="24" spans="1:5" ht="31">
      <c r="A24" s="1327">
        <v>19</v>
      </c>
      <c r="B24" s="1328" t="s">
        <v>128</v>
      </c>
      <c r="C24" s="1340" t="s">
        <v>107</v>
      </c>
      <c r="D24" s="1333">
        <v>18000</v>
      </c>
      <c r="E24" s="1333">
        <v>6543</v>
      </c>
    </row>
    <row r="25" spans="1:5" ht="31">
      <c r="A25" s="1327">
        <v>20</v>
      </c>
      <c r="B25" s="1328" t="s">
        <v>413</v>
      </c>
      <c r="C25" s="1340" t="s">
        <v>114</v>
      </c>
      <c r="D25" s="1333">
        <v>18514</v>
      </c>
      <c r="E25" s="1333">
        <v>6500</v>
      </c>
    </row>
    <row r="26" spans="1:5" ht="62">
      <c r="A26" s="1327">
        <v>21</v>
      </c>
      <c r="B26" s="1341" t="s">
        <v>2455</v>
      </c>
      <c r="C26" s="1342" t="s">
        <v>2999</v>
      </c>
      <c r="D26" s="1333">
        <v>28488</v>
      </c>
      <c r="E26" s="1333">
        <v>5128</v>
      </c>
    </row>
    <row r="27" spans="1:5">
      <c r="A27" s="1327">
        <v>22</v>
      </c>
      <c r="B27" s="1341" t="s">
        <v>2984</v>
      </c>
      <c r="C27" s="1342" t="s">
        <v>19</v>
      </c>
      <c r="D27" s="1333">
        <v>35512</v>
      </c>
      <c r="E27" s="1333">
        <v>6392</v>
      </c>
    </row>
    <row r="28" spans="1:5">
      <c r="A28" s="1327">
        <v>23</v>
      </c>
      <c r="B28" s="1341" t="s">
        <v>2990</v>
      </c>
      <c r="C28" s="1342" t="s">
        <v>23</v>
      </c>
      <c r="D28" s="1333">
        <v>20650</v>
      </c>
      <c r="E28" s="1343">
        <v>3717</v>
      </c>
    </row>
    <row r="29" spans="1:5" ht="62">
      <c r="A29" s="1327">
        <v>24</v>
      </c>
      <c r="B29" s="1341" t="s">
        <v>2997</v>
      </c>
      <c r="C29" s="1342" t="s">
        <v>19</v>
      </c>
      <c r="D29" s="1333">
        <v>24308</v>
      </c>
      <c r="E29" s="1333">
        <v>4375</v>
      </c>
    </row>
    <row r="30" spans="1:5" ht="31">
      <c r="A30" s="1327">
        <v>25</v>
      </c>
      <c r="B30" s="1341" t="s">
        <v>2991</v>
      </c>
      <c r="C30" s="1342" t="s">
        <v>15</v>
      </c>
      <c r="D30" s="1333">
        <v>30182</v>
      </c>
      <c r="E30" s="1333">
        <v>5433</v>
      </c>
    </row>
    <row r="31" spans="1:5" ht="46.5">
      <c r="A31" s="1327">
        <v>26</v>
      </c>
      <c r="B31" s="1341" t="s">
        <v>3002</v>
      </c>
      <c r="C31" s="1342" t="s">
        <v>15</v>
      </c>
      <c r="D31" s="1333">
        <v>17204</v>
      </c>
      <c r="E31" s="1333">
        <v>3097</v>
      </c>
    </row>
    <row r="32" spans="1:5" ht="46.5">
      <c r="A32" s="1327">
        <v>27</v>
      </c>
      <c r="B32" s="1341" t="s">
        <v>2995</v>
      </c>
      <c r="C32" s="1342" t="s">
        <v>17</v>
      </c>
      <c r="D32" s="1333">
        <v>27998</v>
      </c>
      <c r="E32" s="1333">
        <v>5040</v>
      </c>
    </row>
    <row r="33" spans="1:5" ht="46.5">
      <c r="A33" s="1327">
        <v>28</v>
      </c>
      <c r="B33" s="1341" t="s">
        <v>2458</v>
      </c>
      <c r="C33" s="1342" t="s">
        <v>17</v>
      </c>
      <c r="D33" s="1333">
        <v>21105</v>
      </c>
      <c r="E33" s="1333">
        <v>3799</v>
      </c>
    </row>
    <row r="34" spans="1:5" ht="31">
      <c r="A34" s="1327">
        <v>29</v>
      </c>
      <c r="B34" s="1341" t="s">
        <v>3003</v>
      </c>
      <c r="C34" s="1342" t="s">
        <v>17</v>
      </c>
      <c r="D34" s="1333">
        <v>10080</v>
      </c>
      <c r="E34" s="1333">
        <v>1814</v>
      </c>
    </row>
    <row r="35" spans="1:5" ht="46.5">
      <c r="A35" s="1327">
        <v>30</v>
      </c>
      <c r="B35" s="1341" t="s">
        <v>2385</v>
      </c>
      <c r="C35" s="1342" t="s">
        <v>13</v>
      </c>
      <c r="D35" s="1333">
        <v>25630</v>
      </c>
      <c r="E35" s="1333">
        <v>4613</v>
      </c>
    </row>
    <row r="36" spans="1:5" ht="46.5">
      <c r="A36" s="1327">
        <v>31</v>
      </c>
      <c r="B36" s="1341" t="s">
        <v>2386</v>
      </c>
      <c r="C36" s="1342" t="s">
        <v>13</v>
      </c>
      <c r="D36" s="1333">
        <v>26116</v>
      </c>
      <c r="E36" s="1333">
        <v>4701</v>
      </c>
    </row>
    <row r="37" spans="1:5" ht="46.5">
      <c r="A37" s="1327">
        <v>32</v>
      </c>
      <c r="B37" s="1341" t="s">
        <v>2387</v>
      </c>
      <c r="C37" s="1342" t="s">
        <v>11</v>
      </c>
      <c r="D37" s="1333">
        <v>17836</v>
      </c>
      <c r="E37" s="1333">
        <v>3210</v>
      </c>
    </row>
    <row r="38" spans="1:5" ht="31">
      <c r="A38" s="1327">
        <v>33</v>
      </c>
      <c r="B38" s="1341" t="s">
        <v>2388</v>
      </c>
      <c r="C38" s="1342" t="s">
        <v>11</v>
      </c>
      <c r="D38" s="1333">
        <v>31564</v>
      </c>
      <c r="E38" s="1333">
        <v>5682</v>
      </c>
    </row>
    <row r="39" spans="1:5" ht="31">
      <c r="A39" s="1327">
        <v>34</v>
      </c>
      <c r="B39" s="1344" t="s">
        <v>2389</v>
      </c>
      <c r="C39" s="1329" t="s">
        <v>11</v>
      </c>
      <c r="D39" s="1333">
        <v>15392</v>
      </c>
      <c r="E39" s="1333">
        <v>2771</v>
      </c>
    </row>
    <row r="40" spans="1:5">
      <c r="A40" s="1327">
        <v>35</v>
      </c>
      <c r="B40" s="1334" t="s">
        <v>3001</v>
      </c>
      <c r="C40" s="1340" t="s">
        <v>503</v>
      </c>
      <c r="D40" s="1333">
        <v>29985</v>
      </c>
      <c r="E40" s="1333">
        <v>5397</v>
      </c>
    </row>
    <row r="41" spans="1:5" ht="31">
      <c r="A41" s="1327">
        <v>36</v>
      </c>
      <c r="B41" s="1334" t="s">
        <v>270</v>
      </c>
      <c r="C41" s="1345" t="s">
        <v>220</v>
      </c>
      <c r="D41" s="1346">
        <v>10198</v>
      </c>
      <c r="E41" s="1346">
        <v>9589</v>
      </c>
    </row>
    <row r="42" spans="1:5" ht="46.5">
      <c r="A42" s="1327">
        <v>37</v>
      </c>
      <c r="B42" s="1344" t="s">
        <v>146</v>
      </c>
      <c r="C42" s="1332" t="s">
        <v>117</v>
      </c>
      <c r="D42" s="1333">
        <v>17000</v>
      </c>
      <c r="E42" s="1333">
        <v>17000</v>
      </c>
    </row>
    <row r="43" spans="1:5" ht="31">
      <c r="A43" s="1327">
        <v>38</v>
      </c>
      <c r="B43" s="1334" t="s">
        <v>147</v>
      </c>
      <c r="C43" s="1332" t="s">
        <v>113</v>
      </c>
      <c r="D43" s="1333">
        <v>14000</v>
      </c>
      <c r="E43" s="1333">
        <v>14000</v>
      </c>
    </row>
    <row r="44" spans="1:5" ht="31">
      <c r="A44" s="1327">
        <v>39</v>
      </c>
      <c r="B44" s="1334" t="s">
        <v>661</v>
      </c>
      <c r="C44" s="1332" t="s">
        <v>123</v>
      </c>
      <c r="D44" s="1333">
        <v>28500</v>
      </c>
      <c r="E44" s="1333">
        <v>28500</v>
      </c>
    </row>
    <row r="45" spans="1:5" ht="31.5" customHeight="1">
      <c r="A45" s="1327">
        <v>40</v>
      </c>
      <c r="B45" s="1334" t="s">
        <v>581</v>
      </c>
      <c r="C45" s="1340" t="s">
        <v>3000</v>
      </c>
      <c r="D45" s="1333">
        <v>13500</v>
      </c>
      <c r="E45" s="1333">
        <v>13500</v>
      </c>
    </row>
    <row r="46" spans="1:5" ht="31">
      <c r="A46" s="1327">
        <v>41</v>
      </c>
      <c r="B46" s="1334" t="s">
        <v>2485</v>
      </c>
      <c r="C46" s="1340" t="s">
        <v>570</v>
      </c>
      <c r="D46" s="1333">
        <v>19542</v>
      </c>
      <c r="E46" s="1333">
        <v>19542</v>
      </c>
    </row>
    <row r="47" spans="1:5" s="1429" customFormat="1" ht="41.25" customHeight="1">
      <c r="A47" s="1323" t="s">
        <v>26</v>
      </c>
      <c r="B47" s="1427" t="s">
        <v>2877</v>
      </c>
      <c r="C47" s="1428">
        <f>A58</f>
        <v>11</v>
      </c>
      <c r="D47" s="1428">
        <f>SUM(D48:D58)</f>
        <v>209435.05154639174</v>
      </c>
      <c r="E47" s="1428">
        <f>SUM(E48:E58)</f>
        <v>134522</v>
      </c>
    </row>
    <row r="48" spans="1:5" s="1430" customFormat="1" ht="31">
      <c r="A48" s="1327">
        <v>1</v>
      </c>
      <c r="B48" s="1347" t="s">
        <v>2557</v>
      </c>
      <c r="C48" s="1329" t="s">
        <v>2797</v>
      </c>
      <c r="D48" s="1348">
        <v>22000</v>
      </c>
      <c r="E48" s="1348">
        <v>15200</v>
      </c>
    </row>
    <row r="49" spans="1:5" s="1430" customFormat="1" ht="46.5">
      <c r="A49" s="1327">
        <v>2</v>
      </c>
      <c r="B49" s="1347" t="s">
        <v>2559</v>
      </c>
      <c r="C49" s="1329" t="s">
        <v>2797</v>
      </c>
      <c r="D49" s="1348">
        <v>20000</v>
      </c>
      <c r="E49" s="1348">
        <v>14000</v>
      </c>
    </row>
    <row r="50" spans="1:5" s="1430" customFormat="1" ht="31">
      <c r="A50" s="1327">
        <v>3</v>
      </c>
      <c r="B50" s="1347" t="s">
        <v>2800</v>
      </c>
      <c r="C50" s="1329" t="s">
        <v>2801</v>
      </c>
      <c r="D50" s="1348">
        <v>15000</v>
      </c>
      <c r="E50" s="1348">
        <v>9000</v>
      </c>
    </row>
    <row r="51" spans="1:5" s="1432" customFormat="1" ht="31">
      <c r="A51" s="1415">
        <v>4</v>
      </c>
      <c r="B51" s="1416" t="s">
        <v>3008</v>
      </c>
      <c r="C51" s="1417" t="s">
        <v>572</v>
      </c>
      <c r="D51" s="1431">
        <v>20000</v>
      </c>
      <c r="E51" s="1431">
        <f>10500+6000+2000+500</f>
        <v>19000</v>
      </c>
    </row>
    <row r="52" spans="1:5" s="1321" customFormat="1" ht="31">
      <c r="A52" s="1327">
        <v>5</v>
      </c>
      <c r="B52" s="1347" t="s">
        <v>2637</v>
      </c>
      <c r="C52" s="1329" t="s">
        <v>218</v>
      </c>
      <c r="D52" s="1433">
        <v>12371.134020618556</v>
      </c>
      <c r="E52" s="1433">
        <v>11714</v>
      </c>
    </row>
    <row r="53" spans="1:5" s="1321" customFormat="1" ht="31">
      <c r="A53" s="1327">
        <v>6</v>
      </c>
      <c r="B53" s="1347" t="s">
        <v>2639</v>
      </c>
      <c r="C53" s="1329" t="s">
        <v>263</v>
      </c>
      <c r="D53" s="1433">
        <v>15463.9175257732</v>
      </c>
      <c r="E53" s="1433">
        <v>15000</v>
      </c>
    </row>
    <row r="54" spans="1:5" s="1321" customFormat="1" ht="46.5">
      <c r="A54" s="1327">
        <v>7</v>
      </c>
      <c r="B54" s="1349" t="s">
        <v>2725</v>
      </c>
      <c r="C54" s="1350" t="s">
        <v>2726</v>
      </c>
      <c r="D54" s="1433">
        <v>25000</v>
      </c>
      <c r="E54" s="1433">
        <v>12453</v>
      </c>
    </row>
    <row r="55" spans="1:5" s="1321" customFormat="1" ht="31">
      <c r="A55" s="1327">
        <v>8</v>
      </c>
      <c r="B55" s="1349" t="s">
        <v>2728</v>
      </c>
      <c r="C55" s="1350" t="s">
        <v>459</v>
      </c>
      <c r="D55" s="1433">
        <v>18000</v>
      </c>
      <c r="E55" s="1433">
        <v>7472</v>
      </c>
    </row>
    <row r="56" spans="1:5" s="1321" customFormat="1" ht="31">
      <c r="A56" s="1327">
        <v>9</v>
      </c>
      <c r="B56" s="1349" t="s">
        <v>2730</v>
      </c>
      <c r="C56" s="1350" t="s">
        <v>2731</v>
      </c>
      <c r="D56" s="1433">
        <v>36500</v>
      </c>
      <c r="E56" s="1433">
        <v>18181</v>
      </c>
    </row>
    <row r="57" spans="1:5" s="1321" customFormat="1" ht="31">
      <c r="A57" s="1327">
        <v>10</v>
      </c>
      <c r="B57" s="1349" t="s">
        <v>2733</v>
      </c>
      <c r="C57" s="1350" t="s">
        <v>459</v>
      </c>
      <c r="D57" s="1433">
        <v>13100</v>
      </c>
      <c r="E57" s="1433">
        <v>6525</v>
      </c>
    </row>
    <row r="58" spans="1:5" s="1321" customFormat="1" ht="31.5" customHeight="1">
      <c r="A58" s="1327">
        <v>11</v>
      </c>
      <c r="B58" s="1349" t="s">
        <v>2735</v>
      </c>
      <c r="C58" s="1350" t="s">
        <v>2715</v>
      </c>
      <c r="D58" s="1433">
        <v>12000</v>
      </c>
      <c r="E58" s="1433">
        <v>5977</v>
      </c>
    </row>
  </sheetData>
  <mergeCells count="1">
    <mergeCell ref="A1:E1"/>
  </mergeCells>
  <pageMargins left="0.7" right="0.51" top="0.36" bottom="0.2" header="0.3" footer="0.3"/>
  <pageSetup paperSize="9" scale="9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0070C0"/>
  </sheetPr>
  <dimension ref="A1:P25"/>
  <sheetViews>
    <sheetView workbookViewId="0">
      <selection sqref="A1:L24"/>
    </sheetView>
  </sheetViews>
  <sheetFormatPr defaultColWidth="9.08203125" defaultRowHeight="13"/>
  <cols>
    <col min="1" max="1" width="4.9140625" style="331" customWidth="1"/>
    <col min="2" max="2" width="43.33203125" style="331" customWidth="1"/>
    <col min="3" max="3" width="7" style="395" customWidth="1"/>
    <col min="4" max="5" width="6.08203125" style="301" customWidth="1"/>
    <col min="6" max="6" width="7.9140625" style="301" customWidth="1"/>
    <col min="7" max="7" width="7.9140625" style="183" hidden="1" customWidth="1"/>
    <col min="8" max="10" width="7.9140625" style="263" hidden="1" customWidth="1"/>
    <col min="11" max="11" width="7.9140625" style="301" customWidth="1"/>
    <col min="12" max="12" width="9.9140625" style="301" customWidth="1"/>
    <col min="13" max="13" width="17.6640625" style="301" customWidth="1"/>
    <col min="14" max="14" width="9.08203125" style="301"/>
    <col min="15" max="16384" width="9.08203125" style="331"/>
  </cols>
  <sheetData>
    <row r="1" spans="1:16" ht="18.75" customHeight="1">
      <c r="A1" s="1830"/>
      <c r="B1" s="1830"/>
      <c r="C1" s="886"/>
      <c r="D1" s="776"/>
      <c r="E1" s="776"/>
      <c r="F1" s="433"/>
      <c r="G1" s="504"/>
      <c r="H1" s="259"/>
      <c r="I1" s="259"/>
      <c r="J1" s="259"/>
      <c r="K1" s="1823" t="s">
        <v>2120</v>
      </c>
      <c r="L1" s="1823"/>
    </row>
    <row r="2" spans="1:16" ht="18" customHeight="1">
      <c r="A2" s="1831" t="s">
        <v>2121</v>
      </c>
      <c r="B2" s="1831"/>
      <c r="C2" s="1831"/>
      <c r="D2" s="1831"/>
      <c r="E2" s="1831"/>
      <c r="F2" s="1831"/>
      <c r="G2" s="1935"/>
      <c r="H2" s="1936"/>
      <c r="I2" s="1936"/>
      <c r="J2" s="1936"/>
      <c r="K2" s="1831"/>
      <c r="L2" s="1831"/>
    </row>
    <row r="3" spans="1:16" ht="30" customHeight="1">
      <c r="A3" s="1831" t="s">
        <v>2118</v>
      </c>
      <c r="B3" s="1831"/>
      <c r="C3" s="1831"/>
      <c r="D3" s="1831"/>
      <c r="E3" s="1831"/>
      <c r="F3" s="1831"/>
      <c r="G3" s="1935"/>
      <c r="H3" s="1936"/>
      <c r="I3" s="1936"/>
      <c r="J3" s="1936"/>
      <c r="K3" s="1831"/>
      <c r="L3" s="1831"/>
    </row>
    <row r="4" spans="1:16" ht="18" customHeight="1">
      <c r="A4" s="1835" t="s">
        <v>3</v>
      </c>
      <c r="B4" s="1835"/>
      <c r="C4" s="1835"/>
      <c r="D4" s="1835"/>
      <c r="E4" s="1835"/>
      <c r="F4" s="1835"/>
      <c r="G4" s="1933"/>
      <c r="H4" s="1934"/>
      <c r="I4" s="1934"/>
      <c r="J4" s="1934"/>
      <c r="K4" s="1835"/>
      <c r="L4" s="1835"/>
    </row>
    <row r="5" spans="1:16" ht="18" customHeight="1">
      <c r="A5" s="1832" t="s">
        <v>4</v>
      </c>
      <c r="B5" s="1832" t="s">
        <v>5</v>
      </c>
      <c r="C5" s="1825" t="s">
        <v>737</v>
      </c>
      <c r="D5" s="1832" t="s">
        <v>897</v>
      </c>
      <c r="E5" s="1832" t="s">
        <v>739</v>
      </c>
      <c r="F5" s="1825" t="s">
        <v>1600</v>
      </c>
      <c r="G5" s="505"/>
      <c r="H5" s="1927" t="s">
        <v>724</v>
      </c>
      <c r="I5" s="1927"/>
      <c r="J5" s="1927"/>
      <c r="K5" s="1832" t="s">
        <v>727</v>
      </c>
      <c r="L5" s="1825" t="s">
        <v>33</v>
      </c>
    </row>
    <row r="6" spans="1:16" ht="35.25" customHeight="1">
      <c r="A6" s="1832"/>
      <c r="B6" s="1832"/>
      <c r="C6" s="1826"/>
      <c r="D6" s="1832"/>
      <c r="E6" s="1832"/>
      <c r="F6" s="1826"/>
      <c r="G6" s="506" t="s">
        <v>6</v>
      </c>
      <c r="H6" s="260" t="s">
        <v>719</v>
      </c>
      <c r="I6" s="260" t="s">
        <v>720</v>
      </c>
      <c r="J6" s="260" t="s">
        <v>6</v>
      </c>
      <c r="K6" s="1832"/>
      <c r="L6" s="1826"/>
      <c r="P6" s="590"/>
    </row>
    <row r="7" spans="1:16" s="487" customFormat="1" ht="18" customHeight="1">
      <c r="A7" s="462">
        <v>1</v>
      </c>
      <c r="B7" s="462">
        <v>2</v>
      </c>
      <c r="C7" s="462">
        <v>3</v>
      </c>
      <c r="D7" s="462">
        <v>4</v>
      </c>
      <c r="E7" s="462">
        <v>5</v>
      </c>
      <c r="F7" s="462" t="s">
        <v>20</v>
      </c>
      <c r="G7" s="507">
        <v>8</v>
      </c>
      <c r="H7" s="464"/>
      <c r="I7" s="464"/>
      <c r="J7" s="464"/>
      <c r="K7" s="462" t="s">
        <v>22</v>
      </c>
      <c r="L7" s="462" t="s">
        <v>24</v>
      </c>
      <c r="M7" s="472"/>
      <c r="N7" s="472"/>
    </row>
    <row r="8" spans="1:16" s="334" customFormat="1" ht="18" customHeight="1">
      <c r="A8" s="945"/>
      <c r="B8" s="946" t="s">
        <v>7</v>
      </c>
      <c r="C8" s="946"/>
      <c r="D8" s="947"/>
      <c r="E8" s="947"/>
      <c r="F8" s="948">
        <f>F9</f>
        <v>6881</v>
      </c>
      <c r="G8" s="508">
        <f t="shared" ref="G8:K8" si="0">G9</f>
        <v>0</v>
      </c>
      <c r="H8" s="463">
        <f t="shared" si="0"/>
        <v>0</v>
      </c>
      <c r="I8" s="463">
        <f t="shared" si="0"/>
        <v>362</v>
      </c>
      <c r="J8" s="463">
        <f t="shared" si="0"/>
        <v>362</v>
      </c>
      <c r="K8" s="948">
        <f t="shared" si="0"/>
        <v>6881</v>
      </c>
      <c r="L8" s="950"/>
      <c r="M8" s="317"/>
      <c r="N8" s="317"/>
    </row>
    <row r="9" spans="1:16" s="334" customFormat="1" ht="20.25" customHeight="1">
      <c r="A9" s="40">
        <v>1</v>
      </c>
      <c r="B9" s="94" t="s">
        <v>1719</v>
      </c>
      <c r="C9" s="721"/>
      <c r="D9" s="94"/>
      <c r="E9" s="94"/>
      <c r="F9" s="21">
        <f t="shared" ref="F9:K9" si="1">+F10</f>
        <v>6881</v>
      </c>
      <c r="G9" s="411">
        <f t="shared" si="1"/>
        <v>0</v>
      </c>
      <c r="H9" s="264">
        <f t="shared" si="1"/>
        <v>0</v>
      </c>
      <c r="I9" s="264">
        <f t="shared" si="1"/>
        <v>362</v>
      </c>
      <c r="J9" s="264">
        <f t="shared" si="1"/>
        <v>362</v>
      </c>
      <c r="K9" s="21">
        <f t="shared" si="1"/>
        <v>6881</v>
      </c>
      <c r="L9" s="951"/>
      <c r="M9" s="317"/>
      <c r="N9" s="317"/>
    </row>
    <row r="10" spans="1:16" s="333" customFormat="1" ht="52">
      <c r="A10" s="482" t="s">
        <v>742</v>
      </c>
      <c r="B10" s="12" t="s">
        <v>1703</v>
      </c>
      <c r="C10" s="74"/>
      <c r="D10" s="949"/>
      <c r="E10" s="949"/>
      <c r="F10" s="20">
        <f t="shared" ref="F10:G10" si="2">F11+F17</f>
        <v>6881</v>
      </c>
      <c r="G10" s="212">
        <f t="shared" si="2"/>
        <v>0</v>
      </c>
      <c r="H10" s="265">
        <v>0</v>
      </c>
      <c r="I10" s="265">
        <f>I11+I17</f>
        <v>362</v>
      </c>
      <c r="J10" s="265">
        <f t="shared" ref="J10:K10" si="3">J11+J17</f>
        <v>362</v>
      </c>
      <c r="K10" s="44">
        <f t="shared" si="3"/>
        <v>6881</v>
      </c>
      <c r="L10" s="925"/>
      <c r="M10" s="319"/>
      <c r="N10" s="319"/>
    </row>
    <row r="11" spans="1:16">
      <c r="A11" s="13"/>
      <c r="B11" s="572" t="s">
        <v>1704</v>
      </c>
      <c r="C11" s="815"/>
      <c r="D11" s="714"/>
      <c r="E11" s="714"/>
      <c r="F11" s="20">
        <f>SUM(F12:F16)</f>
        <v>714</v>
      </c>
      <c r="G11" s="212"/>
      <c r="H11" s="266">
        <f t="shared" ref="H11" si="4">SUM(H12:H15)</f>
        <v>0</v>
      </c>
      <c r="I11" s="266">
        <f>SUM(I12:I16)</f>
        <v>0</v>
      </c>
      <c r="J11" s="266">
        <f>I11</f>
        <v>0</v>
      </c>
      <c r="K11" s="20">
        <f>+F11</f>
        <v>714</v>
      </c>
      <c r="L11" s="952"/>
    </row>
    <row r="12" spans="1:16" s="105" customFormat="1" ht="18" hidden="1" customHeight="1">
      <c r="A12" s="13"/>
      <c r="B12" s="254" t="s">
        <v>1705</v>
      </c>
      <c r="C12" s="249" t="s">
        <v>876</v>
      </c>
      <c r="D12" s="163">
        <v>108</v>
      </c>
      <c r="E12" s="163">
        <v>15</v>
      </c>
      <c r="F12" s="155">
        <v>324</v>
      </c>
      <c r="G12" s="155" t="e">
        <f>#REF!+F12</f>
        <v>#REF!</v>
      </c>
      <c r="H12" s="266">
        <v>0</v>
      </c>
      <c r="I12" s="266"/>
      <c r="J12" s="266">
        <f>I12</f>
        <v>0</v>
      </c>
      <c r="K12" s="155" t="e">
        <f>+J12+G12</f>
        <v>#REF!</v>
      </c>
      <c r="L12" s="459" t="s">
        <v>1774</v>
      </c>
      <c r="M12" s="141"/>
      <c r="N12" s="141"/>
    </row>
    <row r="13" spans="1:16" s="105" customFormat="1" ht="18" hidden="1" customHeight="1">
      <c r="A13" s="13"/>
      <c r="B13" s="254" t="s">
        <v>1706</v>
      </c>
      <c r="C13" s="249" t="s">
        <v>876</v>
      </c>
      <c r="D13" s="163">
        <v>54</v>
      </c>
      <c r="E13" s="163">
        <v>10</v>
      </c>
      <c r="F13" s="155">
        <v>108</v>
      </c>
      <c r="G13" s="155" t="e">
        <f>#REF!+F13</f>
        <v>#REF!</v>
      </c>
      <c r="H13" s="266">
        <v>0</v>
      </c>
      <c r="I13" s="266"/>
      <c r="J13" s="266">
        <f t="shared" ref="J13:J16" si="5">I13</f>
        <v>0</v>
      </c>
      <c r="K13" s="155" t="e">
        <f>+J13+G13</f>
        <v>#REF!</v>
      </c>
      <c r="L13" s="459" t="s">
        <v>1774</v>
      </c>
      <c r="M13" s="141"/>
      <c r="N13" s="141"/>
    </row>
    <row r="14" spans="1:16" s="105" customFormat="1" ht="18" hidden="1" customHeight="1">
      <c r="A14" s="13"/>
      <c r="B14" s="254" t="s">
        <v>1707</v>
      </c>
      <c r="C14" s="249" t="s">
        <v>876</v>
      </c>
      <c r="D14" s="163">
        <v>54</v>
      </c>
      <c r="E14" s="163">
        <v>60</v>
      </c>
      <c r="F14" s="155"/>
      <c r="G14" s="155" t="e">
        <f>#REF!+F14</f>
        <v>#REF!</v>
      </c>
      <c r="H14" s="266">
        <v>0</v>
      </c>
      <c r="I14" s="266"/>
      <c r="J14" s="266">
        <f t="shared" si="5"/>
        <v>0</v>
      </c>
      <c r="K14" s="155" t="e">
        <f t="shared" ref="K14:K22" si="6">+J14+G14</f>
        <v>#REF!</v>
      </c>
      <c r="L14" s="459" t="s">
        <v>1774</v>
      </c>
      <c r="M14" s="141"/>
      <c r="N14" s="141"/>
    </row>
    <row r="15" spans="1:16" s="105" customFormat="1" hidden="1">
      <c r="A15" s="13"/>
      <c r="B15" s="254" t="s">
        <v>1708</v>
      </c>
      <c r="C15" s="249" t="s">
        <v>876</v>
      </c>
      <c r="D15" s="163">
        <v>270</v>
      </c>
      <c r="E15" s="163">
        <v>5</v>
      </c>
      <c r="F15" s="155">
        <v>162</v>
      </c>
      <c r="G15" s="155" t="e">
        <f>#REF!+F15</f>
        <v>#REF!</v>
      </c>
      <c r="H15" s="266">
        <v>0</v>
      </c>
      <c r="I15" s="266"/>
      <c r="J15" s="266">
        <f t="shared" si="5"/>
        <v>0</v>
      </c>
      <c r="K15" s="155" t="e">
        <f t="shared" si="6"/>
        <v>#REF!</v>
      </c>
      <c r="L15" s="459" t="s">
        <v>1774</v>
      </c>
      <c r="M15" s="141"/>
      <c r="N15" s="141"/>
    </row>
    <row r="16" spans="1:16" s="105" customFormat="1" ht="18" hidden="1" customHeight="1">
      <c r="A16" s="13"/>
      <c r="B16" s="254" t="s">
        <v>1709</v>
      </c>
      <c r="C16" s="249" t="s">
        <v>876</v>
      </c>
      <c r="D16" s="163">
        <v>54</v>
      </c>
      <c r="E16" s="250">
        <v>10.3</v>
      </c>
      <c r="F16" s="155">
        <f>11+109</f>
        <v>120</v>
      </c>
      <c r="G16" s="155" t="e">
        <f>#REF!+F16</f>
        <v>#REF!</v>
      </c>
      <c r="H16" s="266">
        <v>0</v>
      </c>
      <c r="I16" s="266"/>
      <c r="J16" s="266">
        <f t="shared" si="5"/>
        <v>0</v>
      </c>
      <c r="K16" s="155" t="e">
        <f t="shared" si="6"/>
        <v>#REF!</v>
      </c>
      <c r="L16" s="459" t="s">
        <v>1774</v>
      </c>
      <c r="M16" s="141"/>
      <c r="N16" s="141"/>
    </row>
    <row r="17" spans="1:12" s="301" customFormat="1" ht="25.5" customHeight="1">
      <c r="A17" s="13"/>
      <c r="B17" s="572" t="s">
        <v>1710</v>
      </c>
      <c r="C17" s="815"/>
      <c r="D17" s="28"/>
      <c r="E17" s="28"/>
      <c r="F17" s="20">
        <f>SUM(F18:F22)</f>
        <v>6167</v>
      </c>
      <c r="G17" s="212"/>
      <c r="H17" s="266">
        <v>0</v>
      </c>
      <c r="I17" s="266">
        <f>SUM(I18:I22)</f>
        <v>362</v>
      </c>
      <c r="J17" s="266">
        <f>I17</f>
        <v>362</v>
      </c>
      <c r="K17" s="20">
        <f>+F17</f>
        <v>6167</v>
      </c>
      <c r="L17" s="714"/>
    </row>
    <row r="18" spans="1:12" s="141" customFormat="1" ht="18" hidden="1" customHeight="1">
      <c r="A18" s="112"/>
      <c r="B18" s="254" t="s">
        <v>1711</v>
      </c>
      <c r="C18" s="249" t="s">
        <v>876</v>
      </c>
      <c r="D18" s="163">
        <v>810</v>
      </c>
      <c r="E18" s="163">
        <v>15</v>
      </c>
      <c r="F18" s="155">
        <v>2430</v>
      </c>
      <c r="G18" s="155" t="e">
        <f>#REF!+F18</f>
        <v>#REF!</v>
      </c>
      <c r="H18" s="266">
        <v>0</v>
      </c>
      <c r="I18" s="266"/>
      <c r="J18" s="266">
        <f t="shared" ref="J18:J22" si="7">I18</f>
        <v>0</v>
      </c>
      <c r="K18" s="155" t="e">
        <f t="shared" si="6"/>
        <v>#REF!</v>
      </c>
      <c r="L18" s="459" t="s">
        <v>1774</v>
      </c>
    </row>
    <row r="19" spans="1:12" s="141" customFormat="1" ht="18" hidden="1" customHeight="1">
      <c r="A19" s="112"/>
      <c r="B19" s="254" t="s">
        <v>1712</v>
      </c>
      <c r="C19" s="249" t="s">
        <v>876</v>
      </c>
      <c r="D19" s="163">
        <v>74</v>
      </c>
      <c r="E19" s="163">
        <v>10</v>
      </c>
      <c r="F19" s="155">
        <v>148</v>
      </c>
      <c r="G19" s="155" t="e">
        <f>#REF!+F19</f>
        <v>#REF!</v>
      </c>
      <c r="H19" s="266">
        <v>0</v>
      </c>
      <c r="I19" s="266"/>
      <c r="J19" s="266">
        <f t="shared" si="7"/>
        <v>0</v>
      </c>
      <c r="K19" s="155" t="e">
        <f t="shared" si="6"/>
        <v>#REF!</v>
      </c>
      <c r="L19" s="459" t="s">
        <v>1774</v>
      </c>
    </row>
    <row r="20" spans="1:12" s="141" customFormat="1" ht="18" hidden="1" customHeight="1">
      <c r="A20" s="112"/>
      <c r="B20" s="254" t="s">
        <v>1713</v>
      </c>
      <c r="C20" s="249" t="s">
        <v>876</v>
      </c>
      <c r="D20" s="163">
        <v>54</v>
      </c>
      <c r="E20" s="163">
        <v>5</v>
      </c>
      <c r="F20" s="155">
        <v>54</v>
      </c>
      <c r="G20" s="155" t="e">
        <f>#REF!+F20</f>
        <v>#REF!</v>
      </c>
      <c r="H20" s="266">
        <v>0</v>
      </c>
      <c r="I20" s="266"/>
      <c r="J20" s="266">
        <f t="shared" si="7"/>
        <v>0</v>
      </c>
      <c r="K20" s="155" t="e">
        <f t="shared" si="6"/>
        <v>#REF!</v>
      </c>
      <c r="L20" s="459" t="s">
        <v>1774</v>
      </c>
    </row>
    <row r="21" spans="1:12" s="141" customFormat="1" ht="25.5" hidden="1" customHeight="1">
      <c r="A21" s="112"/>
      <c r="B21" s="254" t="s">
        <v>1714</v>
      </c>
      <c r="C21" s="249" t="s">
        <v>876</v>
      </c>
      <c r="D21" s="163">
        <v>270</v>
      </c>
      <c r="E21" s="163">
        <v>5</v>
      </c>
      <c r="F21" s="155">
        <f>52+162</f>
        <v>214</v>
      </c>
      <c r="G21" s="155" t="e">
        <f>#REF!+F21</f>
        <v>#REF!</v>
      </c>
      <c r="H21" s="266">
        <v>0</v>
      </c>
      <c r="I21" s="266">
        <v>362</v>
      </c>
      <c r="J21" s="266">
        <f t="shared" si="7"/>
        <v>362</v>
      </c>
      <c r="K21" s="155" t="e">
        <f t="shared" si="6"/>
        <v>#REF!</v>
      </c>
      <c r="L21" s="459" t="s">
        <v>1774</v>
      </c>
    </row>
    <row r="22" spans="1:12" s="141" customFormat="1" ht="18" hidden="1" customHeight="1">
      <c r="A22" s="258"/>
      <c r="B22" s="257" t="s">
        <v>1715</v>
      </c>
      <c r="C22" s="251" t="s">
        <v>876</v>
      </c>
      <c r="D22" s="252">
        <v>810</v>
      </c>
      <c r="E22" s="253">
        <v>16.100000000000001</v>
      </c>
      <c r="F22" s="267">
        <f>81+810+2430</f>
        <v>3321</v>
      </c>
      <c r="G22" s="267" t="e">
        <f>#REF!+F22</f>
        <v>#REF!</v>
      </c>
      <c r="H22" s="268">
        <v>0</v>
      </c>
      <c r="I22" s="268"/>
      <c r="J22" s="268">
        <f t="shared" si="7"/>
        <v>0</v>
      </c>
      <c r="K22" s="267" t="e">
        <f t="shared" si="6"/>
        <v>#REF!</v>
      </c>
      <c r="L22" s="459" t="s">
        <v>1774</v>
      </c>
    </row>
    <row r="23" spans="1:12">
      <c r="A23" s="105"/>
      <c r="B23" s="105"/>
      <c r="C23" s="864"/>
      <c r="D23" s="105"/>
      <c r="E23" s="105"/>
      <c r="F23" s="105"/>
      <c r="K23" s="105"/>
      <c r="L23" s="105"/>
    </row>
    <row r="24" spans="1:12" s="330" customFormat="1" ht="14">
      <c r="A24" s="1857" t="s">
        <v>2524</v>
      </c>
      <c r="B24" s="1857"/>
      <c r="C24" s="1857"/>
      <c r="D24" s="1857"/>
      <c r="E24" s="1857"/>
      <c r="F24" s="1857"/>
      <c r="G24" s="1928"/>
      <c r="H24" s="1929"/>
      <c r="I24" s="1929"/>
      <c r="J24" s="1929"/>
      <c r="K24" s="1857"/>
      <c r="L24" s="1857"/>
    </row>
    <row r="25" spans="1:12">
      <c r="A25" s="1930"/>
      <c r="B25" s="1930"/>
      <c r="C25" s="1930"/>
      <c r="D25" s="1930"/>
      <c r="E25" s="1930"/>
      <c r="F25" s="1930"/>
      <c r="G25" s="1931"/>
      <c r="H25" s="1932"/>
      <c r="I25" s="1932"/>
      <c r="J25" s="1932"/>
      <c r="K25" s="1930"/>
      <c r="L25" s="1930"/>
    </row>
  </sheetData>
  <autoFilter ref="A7:L22">
    <filterColumn colId="11">
      <filters blank="1"/>
    </filterColumn>
  </autoFilter>
  <mergeCells count="16">
    <mergeCell ref="A4:L4"/>
    <mergeCell ref="A1:B1"/>
    <mergeCell ref="K1:L1"/>
    <mergeCell ref="A2:L2"/>
    <mergeCell ref="A3:L3"/>
    <mergeCell ref="H5:J5"/>
    <mergeCell ref="K5:K6"/>
    <mergeCell ref="L5:L6"/>
    <mergeCell ref="A24:L24"/>
    <mergeCell ref="A25:L25"/>
    <mergeCell ref="A5:A6"/>
    <mergeCell ref="B5:B6"/>
    <mergeCell ref="C5:C6"/>
    <mergeCell ref="D5:D6"/>
    <mergeCell ref="E5:E6"/>
    <mergeCell ref="F5:F6"/>
  </mergeCells>
  <pageMargins left="0.5" right="0.2" top="0.5" bottom="0.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L36"/>
  <sheetViews>
    <sheetView workbookViewId="0">
      <pane xSplit="2" ySplit="6" topLeftCell="C13" activePane="bottomRight" state="frozen"/>
      <selection pane="topRight" activeCell="C1" sqref="C1"/>
      <selection pane="bottomLeft" activeCell="A9" sqref="A9"/>
      <selection pane="bottomRight" activeCell="L34" sqref="L34"/>
    </sheetView>
  </sheetViews>
  <sheetFormatPr defaultColWidth="9.08203125" defaultRowHeight="13"/>
  <cols>
    <col min="1" max="1" width="4.9140625" style="105" customWidth="1"/>
    <col min="2" max="2" width="58.4140625" style="105" customWidth="1"/>
    <col min="3" max="3" width="9.33203125" style="105" customWidth="1"/>
    <col min="4" max="4" width="6.4140625" style="105" customWidth="1"/>
    <col min="5" max="5" width="7.6640625" style="105" customWidth="1"/>
    <col min="6" max="6" width="8.33203125" style="105" customWidth="1"/>
    <col min="7" max="7" width="9.33203125" style="105" customWidth="1"/>
    <col min="8" max="8" width="6.9140625" style="140" hidden="1" customWidth="1"/>
    <col min="9" max="9" width="6.4140625" style="140" hidden="1" customWidth="1"/>
    <col min="10" max="10" width="1" style="140" hidden="1" customWidth="1"/>
    <col min="11" max="11" width="10" style="105" customWidth="1"/>
    <col min="12" max="12" width="14.9140625" style="105" customWidth="1"/>
    <col min="13" max="16384" width="9.08203125" style="105"/>
  </cols>
  <sheetData>
    <row r="1" spans="1:12" ht="18" customHeight="1">
      <c r="A1" s="1830"/>
      <c r="B1" s="1830"/>
      <c r="C1" s="776"/>
      <c r="D1" s="887"/>
      <c r="E1" s="776"/>
      <c r="F1" s="776"/>
      <c r="G1" s="1823" t="s">
        <v>2122</v>
      </c>
      <c r="H1" s="1823"/>
      <c r="I1" s="1823"/>
      <c r="J1" s="1823"/>
      <c r="K1" s="1823"/>
    </row>
    <row r="2" spans="1:12" ht="18" customHeight="1">
      <c r="A2" s="1831" t="s">
        <v>1392</v>
      </c>
      <c r="B2" s="1831"/>
      <c r="C2" s="1831"/>
      <c r="D2" s="1831"/>
      <c r="E2" s="1831"/>
      <c r="F2" s="1831"/>
      <c r="G2" s="1831"/>
      <c r="H2" s="1831"/>
      <c r="I2" s="1831"/>
      <c r="J2" s="1831"/>
      <c r="K2" s="1831"/>
    </row>
    <row r="3" spans="1:12" ht="18" customHeight="1">
      <c r="A3" s="1831" t="s">
        <v>2123</v>
      </c>
      <c r="B3" s="1831"/>
      <c r="C3" s="1831"/>
      <c r="D3" s="1831"/>
      <c r="E3" s="1831"/>
      <c r="F3" s="1831"/>
      <c r="G3" s="1831"/>
      <c r="H3" s="1831"/>
      <c r="I3" s="1831"/>
      <c r="J3" s="1831"/>
      <c r="K3" s="1831"/>
    </row>
    <row r="4" spans="1:12" ht="18" customHeight="1">
      <c r="A4" s="1920" t="s">
        <v>3</v>
      </c>
      <c r="B4" s="1920"/>
      <c r="C4" s="1920"/>
      <c r="D4" s="1920"/>
      <c r="E4" s="1920"/>
      <c r="F4" s="1920"/>
      <c r="G4" s="1920"/>
      <c r="H4" s="1920"/>
      <c r="I4" s="1920"/>
      <c r="J4" s="1920"/>
      <c r="K4" s="1920"/>
    </row>
    <row r="5" spans="1:12" ht="21" customHeight="1">
      <c r="A5" s="1832" t="s">
        <v>4</v>
      </c>
      <c r="B5" s="1832" t="s">
        <v>5</v>
      </c>
      <c r="C5" s="1832" t="s">
        <v>737</v>
      </c>
      <c r="D5" s="1832" t="s">
        <v>897</v>
      </c>
      <c r="E5" s="1832" t="s">
        <v>739</v>
      </c>
      <c r="F5" s="1832" t="s">
        <v>727</v>
      </c>
      <c r="G5" s="1832" t="s">
        <v>1600</v>
      </c>
      <c r="H5" s="953"/>
      <c r="I5" s="1778" t="s">
        <v>755</v>
      </c>
      <c r="J5" s="1778"/>
      <c r="K5" s="1832" t="s">
        <v>33</v>
      </c>
      <c r="L5" s="1937"/>
    </row>
    <row r="6" spans="1:12" ht="21" customHeight="1">
      <c r="A6" s="1832"/>
      <c r="B6" s="1832"/>
      <c r="C6" s="1832"/>
      <c r="D6" s="1832"/>
      <c r="E6" s="1832"/>
      <c r="F6" s="1832"/>
      <c r="G6" s="1832"/>
      <c r="H6" s="789" t="s">
        <v>898</v>
      </c>
      <c r="I6" s="65" t="s">
        <v>756</v>
      </c>
      <c r="J6" s="65" t="s">
        <v>757</v>
      </c>
      <c r="K6" s="1832"/>
      <c r="L6" s="1937"/>
    </row>
    <row r="7" spans="1:12" s="58" customFormat="1" ht="18" customHeight="1">
      <c r="A7" s="462">
        <v>1</v>
      </c>
      <c r="B7" s="462">
        <v>2</v>
      </c>
      <c r="C7" s="462">
        <v>3</v>
      </c>
      <c r="D7" s="462">
        <v>4</v>
      </c>
      <c r="E7" s="462">
        <v>5</v>
      </c>
      <c r="F7" s="462">
        <v>6</v>
      </c>
      <c r="G7" s="462">
        <v>7</v>
      </c>
      <c r="H7" s="462"/>
      <c r="I7" s="462"/>
      <c r="J7" s="462"/>
      <c r="K7" s="462">
        <v>8</v>
      </c>
      <c r="L7" s="494"/>
    </row>
    <row r="8" spans="1:12" s="334" customFormat="1" ht="18" customHeight="1">
      <c r="A8" s="26"/>
      <c r="B8" s="40" t="s">
        <v>7</v>
      </c>
      <c r="C8" s="926"/>
      <c r="D8" s="954"/>
      <c r="E8" s="863"/>
      <c r="F8" s="21">
        <f>+F9+F28</f>
        <v>9769</v>
      </c>
      <c r="G8" s="21">
        <f>+G9+G28</f>
        <v>9277</v>
      </c>
      <c r="H8" s="781" t="e">
        <f>+H9+#REF!</f>
        <v>#REF!</v>
      </c>
      <c r="I8" s="955">
        <f>F9/F8*100</f>
        <v>54.990275360835298</v>
      </c>
      <c r="J8" s="955" t="e">
        <f>#REF!/F8*100</f>
        <v>#REF!</v>
      </c>
      <c r="K8" s="781"/>
    </row>
    <row r="9" spans="1:12" s="334" customFormat="1" ht="18" customHeight="1">
      <c r="A9" s="26" t="s">
        <v>37</v>
      </c>
      <c r="B9" s="54" t="s">
        <v>733</v>
      </c>
      <c r="C9" s="926"/>
      <c r="D9" s="954"/>
      <c r="E9" s="863"/>
      <c r="F9" s="21">
        <f>+F10</f>
        <v>5372</v>
      </c>
      <c r="G9" s="21">
        <f t="shared" ref="G9:H9" si="0">+G10</f>
        <v>5101</v>
      </c>
      <c r="H9" s="781">
        <f t="shared" si="0"/>
        <v>361</v>
      </c>
      <c r="I9" s="956">
        <f>+I10</f>
        <v>0.55000000000000004</v>
      </c>
      <c r="J9" s="781"/>
      <c r="K9" s="781"/>
    </row>
    <row r="10" spans="1:12" s="334" customFormat="1" ht="18" customHeight="1">
      <c r="A10" s="26" t="s">
        <v>8</v>
      </c>
      <c r="B10" s="54" t="s">
        <v>1716</v>
      </c>
      <c r="C10" s="926"/>
      <c r="D10" s="954"/>
      <c r="E10" s="863"/>
      <c r="F10" s="21">
        <f>SUM(F11:F13)+F21</f>
        <v>5372</v>
      </c>
      <c r="G10" s="21">
        <f>SUM(G11:G13)+G21</f>
        <v>5101</v>
      </c>
      <c r="H10" s="781">
        <f>SUM(H11:H21)</f>
        <v>361</v>
      </c>
      <c r="I10" s="956">
        <v>0.55000000000000004</v>
      </c>
      <c r="J10" s="781"/>
      <c r="K10" s="781"/>
    </row>
    <row r="11" spans="1:12" s="334" customFormat="1" ht="18" customHeight="1">
      <c r="A11" s="13" t="s">
        <v>927</v>
      </c>
      <c r="B11" s="12" t="s">
        <v>1717</v>
      </c>
      <c r="C11" s="13" t="s">
        <v>1140</v>
      </c>
      <c r="D11" s="174">
        <v>1</v>
      </c>
      <c r="E11" s="28">
        <v>2245</v>
      </c>
      <c r="F11" s="20">
        <v>2245</v>
      </c>
      <c r="G11" s="20">
        <v>2133</v>
      </c>
      <c r="H11" s="899">
        <f>F11-G11</f>
        <v>112</v>
      </c>
      <c r="I11" s="957">
        <v>0.23</v>
      </c>
      <c r="J11" s="781"/>
      <c r="K11" s="781"/>
    </row>
    <row r="12" spans="1:12" s="334" customFormat="1" ht="18" customHeight="1">
      <c r="A12" s="13" t="s">
        <v>742</v>
      </c>
      <c r="B12" s="12" t="s">
        <v>1718</v>
      </c>
      <c r="C12" s="13" t="s">
        <v>1140</v>
      </c>
      <c r="D12" s="174">
        <v>1</v>
      </c>
      <c r="E12" s="28">
        <v>488</v>
      </c>
      <c r="F12" s="20">
        <v>488</v>
      </c>
      <c r="G12" s="20">
        <v>464</v>
      </c>
      <c r="H12" s="899">
        <f t="shared" ref="H12:H21" si="1">F12-G12</f>
        <v>24</v>
      </c>
      <c r="I12" s="957">
        <v>0.05</v>
      </c>
      <c r="J12" s="781"/>
      <c r="K12" s="781"/>
    </row>
    <row r="13" spans="1:12" s="334" customFormat="1" ht="39">
      <c r="A13" s="13" t="s">
        <v>927</v>
      </c>
      <c r="B13" s="12" t="s">
        <v>1949</v>
      </c>
      <c r="C13" s="13" t="s">
        <v>1140</v>
      </c>
      <c r="D13" s="174">
        <v>6</v>
      </c>
      <c r="E13" s="28">
        <v>293</v>
      </c>
      <c r="F13" s="20">
        <f>SUM(F14:F20)</f>
        <v>2051</v>
      </c>
      <c r="G13" s="20">
        <f>SUM(G14:G20)</f>
        <v>1946</v>
      </c>
      <c r="H13" s="899">
        <f t="shared" si="1"/>
        <v>105</v>
      </c>
      <c r="I13" s="957">
        <v>0.03</v>
      </c>
      <c r="J13" s="781"/>
      <c r="K13" s="781"/>
    </row>
    <row r="14" spans="1:12" s="106" customFormat="1" ht="18" customHeight="1">
      <c r="A14" s="13"/>
      <c r="B14" s="12" t="s">
        <v>734</v>
      </c>
      <c r="C14" s="13" t="s">
        <v>1140</v>
      </c>
      <c r="D14" s="174">
        <v>1</v>
      </c>
      <c r="E14" s="28">
        <v>293</v>
      </c>
      <c r="F14" s="20">
        <v>293</v>
      </c>
      <c r="G14" s="20">
        <v>278</v>
      </c>
      <c r="H14" s="899">
        <f t="shared" ref="H14:H20" si="2">F14-G14</f>
        <v>15</v>
      </c>
      <c r="I14" s="957">
        <v>0.03</v>
      </c>
      <c r="J14" s="781"/>
      <c r="K14" s="781"/>
    </row>
    <row r="15" spans="1:12" s="106" customFormat="1" ht="18" customHeight="1">
      <c r="A15" s="13"/>
      <c r="B15" s="12" t="s">
        <v>1723</v>
      </c>
      <c r="C15" s="13" t="s">
        <v>1140</v>
      </c>
      <c r="D15" s="174">
        <v>1</v>
      </c>
      <c r="E15" s="28">
        <v>293</v>
      </c>
      <c r="F15" s="20">
        <v>293</v>
      </c>
      <c r="G15" s="20">
        <v>278</v>
      </c>
      <c r="H15" s="899">
        <f t="shared" si="2"/>
        <v>15</v>
      </c>
      <c r="I15" s="957">
        <v>0.03</v>
      </c>
      <c r="J15" s="781"/>
      <c r="K15" s="781"/>
    </row>
    <row r="16" spans="1:12" s="106" customFormat="1" ht="18" customHeight="1">
      <c r="A16" s="13"/>
      <c r="B16" s="12" t="s">
        <v>910</v>
      </c>
      <c r="C16" s="13" t="s">
        <v>1140</v>
      </c>
      <c r="D16" s="174">
        <v>1</v>
      </c>
      <c r="E16" s="28">
        <v>293</v>
      </c>
      <c r="F16" s="20">
        <v>293</v>
      </c>
      <c r="G16" s="20">
        <v>278</v>
      </c>
      <c r="H16" s="899">
        <f t="shared" si="2"/>
        <v>15</v>
      </c>
      <c r="I16" s="957">
        <v>0.03</v>
      </c>
      <c r="J16" s="781"/>
      <c r="K16" s="781"/>
    </row>
    <row r="17" spans="1:12" s="106" customFormat="1" ht="18" customHeight="1">
      <c r="A17" s="13"/>
      <c r="B17" s="12" t="s">
        <v>1948</v>
      </c>
      <c r="C17" s="13" t="s">
        <v>1140</v>
      </c>
      <c r="D17" s="174">
        <v>1</v>
      </c>
      <c r="E17" s="28">
        <v>293</v>
      </c>
      <c r="F17" s="20">
        <v>293</v>
      </c>
      <c r="G17" s="20">
        <v>278</v>
      </c>
      <c r="H17" s="899">
        <f t="shared" si="2"/>
        <v>15</v>
      </c>
      <c r="I17" s="957">
        <v>0.03</v>
      </c>
      <c r="J17" s="781"/>
      <c r="K17" s="781"/>
    </row>
    <row r="18" spans="1:12" s="106" customFormat="1" ht="18" customHeight="1">
      <c r="A18" s="13"/>
      <c r="B18" s="12" t="s">
        <v>697</v>
      </c>
      <c r="C18" s="13" t="s">
        <v>1140</v>
      </c>
      <c r="D18" s="174">
        <v>1</v>
      </c>
      <c r="E18" s="28">
        <v>293</v>
      </c>
      <c r="F18" s="20">
        <v>293</v>
      </c>
      <c r="G18" s="20">
        <v>278</v>
      </c>
      <c r="H18" s="899">
        <f t="shared" si="2"/>
        <v>15</v>
      </c>
      <c r="I18" s="957">
        <v>0.03</v>
      </c>
      <c r="J18" s="781"/>
      <c r="K18" s="781"/>
    </row>
    <row r="19" spans="1:12" s="106" customFormat="1" ht="18" customHeight="1">
      <c r="A19" s="13"/>
      <c r="B19" s="12" t="s">
        <v>1702</v>
      </c>
      <c r="C19" s="13" t="s">
        <v>1140</v>
      </c>
      <c r="D19" s="174">
        <v>1</v>
      </c>
      <c r="E19" s="28">
        <v>293</v>
      </c>
      <c r="F19" s="20">
        <v>293</v>
      </c>
      <c r="G19" s="20">
        <v>278</v>
      </c>
      <c r="H19" s="899"/>
      <c r="I19" s="957"/>
      <c r="J19" s="781"/>
      <c r="K19" s="781"/>
    </row>
    <row r="20" spans="1:12" s="106" customFormat="1" ht="18" customHeight="1">
      <c r="A20" s="13"/>
      <c r="B20" s="12" t="s">
        <v>1725</v>
      </c>
      <c r="C20" s="13" t="s">
        <v>1140</v>
      </c>
      <c r="D20" s="174">
        <v>1</v>
      </c>
      <c r="E20" s="28">
        <v>293</v>
      </c>
      <c r="F20" s="20">
        <v>293</v>
      </c>
      <c r="G20" s="20">
        <v>278</v>
      </c>
      <c r="H20" s="899">
        <f t="shared" si="2"/>
        <v>15</v>
      </c>
      <c r="I20" s="957">
        <v>0.03</v>
      </c>
      <c r="J20" s="781"/>
      <c r="K20" s="781"/>
    </row>
    <row r="21" spans="1:12" s="106" customFormat="1" ht="32.25" customHeight="1">
      <c r="A21" s="13" t="s">
        <v>742</v>
      </c>
      <c r="B21" s="12" t="s">
        <v>1950</v>
      </c>
      <c r="C21" s="13" t="s">
        <v>1140</v>
      </c>
      <c r="D21" s="174">
        <v>6</v>
      </c>
      <c r="E21" s="28">
        <v>98</v>
      </c>
      <c r="F21" s="20">
        <f>SUM(F22:F27)</f>
        <v>588</v>
      </c>
      <c r="G21" s="20">
        <f>SUM(G22:G27)</f>
        <v>558</v>
      </c>
      <c r="H21" s="899">
        <f t="shared" si="1"/>
        <v>30</v>
      </c>
      <c r="I21" s="958">
        <v>1.4999999999999999E-2</v>
      </c>
      <c r="J21" s="781"/>
      <c r="K21" s="781"/>
    </row>
    <row r="22" spans="1:12" s="106" customFormat="1" ht="18" customHeight="1">
      <c r="A22" s="13"/>
      <c r="B22" s="12" t="s">
        <v>1726</v>
      </c>
      <c r="C22" s="13" t="s">
        <v>1140</v>
      </c>
      <c r="D22" s="174">
        <v>1</v>
      </c>
      <c r="E22" s="28">
        <v>98</v>
      </c>
      <c r="F22" s="20">
        <v>98</v>
      </c>
      <c r="G22" s="20">
        <v>93</v>
      </c>
      <c r="H22" s="899">
        <f t="shared" ref="H22" si="3">F22-G22</f>
        <v>5</v>
      </c>
      <c r="I22" s="958">
        <v>1.4999999999999999E-2</v>
      </c>
      <c r="J22" s="781"/>
      <c r="K22" s="781"/>
      <c r="L22" s="106">
        <f>+G22*1.05</f>
        <v>97.65</v>
      </c>
    </row>
    <row r="23" spans="1:12" s="106" customFormat="1" ht="18" customHeight="1">
      <c r="A23" s="13"/>
      <c r="B23" s="12" t="s">
        <v>1727</v>
      </c>
      <c r="C23" s="13" t="s">
        <v>1140</v>
      </c>
      <c r="D23" s="174">
        <v>1</v>
      </c>
      <c r="E23" s="28">
        <v>98</v>
      </c>
      <c r="F23" s="20">
        <v>98</v>
      </c>
      <c r="G23" s="20">
        <v>93</v>
      </c>
      <c r="H23" s="899">
        <f t="shared" ref="H23:H27" si="4">F23-G23</f>
        <v>5</v>
      </c>
      <c r="I23" s="958">
        <v>1.4999999999999999E-2</v>
      </c>
      <c r="J23" s="781"/>
      <c r="K23" s="781"/>
    </row>
    <row r="24" spans="1:12" s="106" customFormat="1" ht="18" customHeight="1">
      <c r="A24" s="13"/>
      <c r="B24" s="12" t="s">
        <v>1309</v>
      </c>
      <c r="C24" s="13" t="s">
        <v>1140</v>
      </c>
      <c r="D24" s="174">
        <v>1</v>
      </c>
      <c r="E24" s="28">
        <v>98</v>
      </c>
      <c r="F24" s="20">
        <v>98</v>
      </c>
      <c r="G24" s="20">
        <v>93</v>
      </c>
      <c r="H24" s="899">
        <f t="shared" si="4"/>
        <v>5</v>
      </c>
      <c r="I24" s="958">
        <v>1.4999999999999999E-2</v>
      </c>
      <c r="J24" s="781"/>
      <c r="K24" s="781"/>
    </row>
    <row r="25" spans="1:12" s="106" customFormat="1" ht="18" customHeight="1">
      <c r="A25" s="13"/>
      <c r="B25" s="12" t="s">
        <v>735</v>
      </c>
      <c r="C25" s="13" t="s">
        <v>1140</v>
      </c>
      <c r="D25" s="174">
        <v>1</v>
      </c>
      <c r="E25" s="28">
        <v>98</v>
      </c>
      <c r="F25" s="20">
        <v>98</v>
      </c>
      <c r="G25" s="20">
        <v>93</v>
      </c>
      <c r="H25" s="899">
        <f t="shared" si="4"/>
        <v>5</v>
      </c>
      <c r="I25" s="958">
        <v>1.4999999999999999E-2</v>
      </c>
      <c r="J25" s="781"/>
      <c r="K25" s="781"/>
    </row>
    <row r="26" spans="1:12" s="106" customFormat="1" ht="18" customHeight="1">
      <c r="A26" s="13"/>
      <c r="B26" s="12" t="s">
        <v>1728</v>
      </c>
      <c r="C26" s="13" t="s">
        <v>1140</v>
      </c>
      <c r="D26" s="174">
        <v>1</v>
      </c>
      <c r="E26" s="28">
        <v>98</v>
      </c>
      <c r="F26" s="20">
        <v>98</v>
      </c>
      <c r="G26" s="20">
        <v>93</v>
      </c>
      <c r="H26" s="899">
        <f t="shared" si="4"/>
        <v>5</v>
      </c>
      <c r="I26" s="958">
        <v>1.4999999999999999E-2</v>
      </c>
      <c r="J26" s="781"/>
      <c r="K26" s="781"/>
    </row>
    <row r="27" spans="1:12" s="106" customFormat="1" ht="18" customHeight="1">
      <c r="A27" s="13"/>
      <c r="B27" s="12" t="s">
        <v>1576</v>
      </c>
      <c r="C27" s="13" t="s">
        <v>1140</v>
      </c>
      <c r="D27" s="174">
        <v>1</v>
      </c>
      <c r="E27" s="28">
        <v>98</v>
      </c>
      <c r="F27" s="20">
        <v>98</v>
      </c>
      <c r="G27" s="20">
        <v>93</v>
      </c>
      <c r="H27" s="899">
        <f t="shared" si="4"/>
        <v>5</v>
      </c>
      <c r="I27" s="958">
        <v>1.4999999999999999E-2</v>
      </c>
      <c r="J27" s="781"/>
      <c r="K27" s="781"/>
    </row>
    <row r="28" spans="1:12" s="334" customFormat="1" ht="18" customHeight="1">
      <c r="A28" s="26" t="s">
        <v>38</v>
      </c>
      <c r="B28" s="55" t="s">
        <v>901</v>
      </c>
      <c r="C28" s="26"/>
      <c r="D28" s="34">
        <f>SUM(D29:D36)</f>
        <v>323</v>
      </c>
      <c r="E28" s="93"/>
      <c r="F28" s="21">
        <f>SUM(F29:F36)</f>
        <v>4397</v>
      </c>
      <c r="G28" s="21">
        <f>SUM(G29:G36)</f>
        <v>4176</v>
      </c>
      <c r="H28" s="436">
        <f>SUM(H29:H36)</f>
        <v>221</v>
      </c>
      <c r="I28" s="781"/>
      <c r="J28" s="781"/>
      <c r="K28" s="781"/>
      <c r="L28" s="589"/>
    </row>
    <row r="29" spans="1:12" s="334" customFormat="1" ht="18" customHeight="1">
      <c r="A29" s="26"/>
      <c r="B29" s="12" t="s">
        <v>25</v>
      </c>
      <c r="C29" s="13" t="s">
        <v>1162</v>
      </c>
      <c r="D29" s="174">
        <v>8</v>
      </c>
      <c r="E29" s="74">
        <v>13.61</v>
      </c>
      <c r="F29" s="20">
        <v>109</v>
      </c>
      <c r="G29" s="20">
        <v>104</v>
      </c>
      <c r="H29" s="96">
        <f>F29-G29</f>
        <v>5</v>
      </c>
      <c r="I29" s="781"/>
      <c r="J29" s="781"/>
      <c r="K29" s="781"/>
      <c r="L29" s="589"/>
    </row>
    <row r="30" spans="1:12" s="334" customFormat="1" ht="18" customHeight="1">
      <c r="A30" s="26"/>
      <c r="B30" s="12" t="s">
        <v>23</v>
      </c>
      <c r="C30" s="13" t="s">
        <v>1162</v>
      </c>
      <c r="D30" s="174">
        <v>28</v>
      </c>
      <c r="E30" s="74">
        <v>13.61</v>
      </c>
      <c r="F30" s="20">
        <v>381</v>
      </c>
      <c r="G30" s="20">
        <v>362</v>
      </c>
      <c r="H30" s="96">
        <f t="shared" ref="H30:H36" si="5">F30-G30</f>
        <v>19</v>
      </c>
      <c r="I30" s="781"/>
      <c r="J30" s="781"/>
      <c r="K30" s="781"/>
      <c r="L30" s="589"/>
    </row>
    <row r="31" spans="1:12" s="334" customFormat="1" ht="18" customHeight="1">
      <c r="A31" s="26"/>
      <c r="B31" s="12" t="s">
        <v>21</v>
      </c>
      <c r="C31" s="13" t="s">
        <v>1162</v>
      </c>
      <c r="D31" s="174">
        <v>10</v>
      </c>
      <c r="E31" s="74">
        <v>13.61</v>
      </c>
      <c r="F31" s="20">
        <v>136</v>
      </c>
      <c r="G31" s="20">
        <v>129</v>
      </c>
      <c r="H31" s="96">
        <f t="shared" si="5"/>
        <v>7</v>
      </c>
      <c r="I31" s="781"/>
      <c r="J31" s="781"/>
      <c r="K31" s="781"/>
      <c r="L31" s="589"/>
    </row>
    <row r="32" spans="1:12" s="334" customFormat="1" ht="18" customHeight="1">
      <c r="A32" s="26"/>
      <c r="B32" s="12" t="s">
        <v>19</v>
      </c>
      <c r="C32" s="13" t="s">
        <v>1162</v>
      </c>
      <c r="D32" s="174">
        <v>29</v>
      </c>
      <c r="E32" s="74">
        <v>13.61</v>
      </c>
      <c r="F32" s="20">
        <v>395</v>
      </c>
      <c r="G32" s="20">
        <v>375</v>
      </c>
      <c r="H32" s="96">
        <f t="shared" si="5"/>
        <v>20</v>
      </c>
      <c r="I32" s="781"/>
      <c r="J32" s="781"/>
      <c r="K32" s="781"/>
      <c r="L32" s="589"/>
    </row>
    <row r="33" spans="1:12" s="334" customFormat="1" ht="18" customHeight="1">
      <c r="A33" s="26"/>
      <c r="B33" s="12" t="s">
        <v>17</v>
      </c>
      <c r="C33" s="13" t="s">
        <v>1162</v>
      </c>
      <c r="D33" s="174">
        <v>65</v>
      </c>
      <c r="E33" s="74">
        <v>13.61</v>
      </c>
      <c r="F33" s="20">
        <v>885</v>
      </c>
      <c r="G33" s="20">
        <v>841</v>
      </c>
      <c r="H33" s="96">
        <f t="shared" si="5"/>
        <v>44</v>
      </c>
      <c r="I33" s="781"/>
      <c r="J33" s="781"/>
      <c r="K33" s="781"/>
      <c r="L33" s="589"/>
    </row>
    <row r="34" spans="1:12" s="334" customFormat="1" ht="18" customHeight="1">
      <c r="A34" s="26"/>
      <c r="B34" s="12" t="s">
        <v>15</v>
      </c>
      <c r="C34" s="13" t="s">
        <v>1162</v>
      </c>
      <c r="D34" s="174">
        <v>90</v>
      </c>
      <c r="E34" s="74">
        <v>13.61</v>
      </c>
      <c r="F34" s="20">
        <v>1225</v>
      </c>
      <c r="G34" s="20">
        <v>1163</v>
      </c>
      <c r="H34" s="96">
        <f t="shared" si="5"/>
        <v>62</v>
      </c>
      <c r="I34" s="781"/>
      <c r="J34" s="781"/>
      <c r="K34" s="781"/>
      <c r="L34" s="589"/>
    </row>
    <row r="35" spans="1:12" s="334" customFormat="1" ht="18" customHeight="1">
      <c r="A35" s="26"/>
      <c r="B35" s="12" t="s">
        <v>13</v>
      </c>
      <c r="C35" s="13" t="s">
        <v>1162</v>
      </c>
      <c r="D35" s="174">
        <v>39</v>
      </c>
      <c r="E35" s="74">
        <v>13.61</v>
      </c>
      <c r="F35" s="20">
        <v>531</v>
      </c>
      <c r="G35" s="20">
        <v>504</v>
      </c>
      <c r="H35" s="96">
        <f t="shared" si="5"/>
        <v>27</v>
      </c>
      <c r="I35" s="781"/>
      <c r="J35" s="781"/>
      <c r="K35" s="781"/>
      <c r="L35" s="589"/>
    </row>
    <row r="36" spans="1:12" s="334" customFormat="1" ht="18" customHeight="1">
      <c r="A36" s="446"/>
      <c r="B36" s="705" t="s">
        <v>11</v>
      </c>
      <c r="C36" s="41" t="s">
        <v>1162</v>
      </c>
      <c r="D36" s="757">
        <v>54</v>
      </c>
      <c r="E36" s="775">
        <v>13.61</v>
      </c>
      <c r="F36" s="706">
        <v>735</v>
      </c>
      <c r="G36" s="706">
        <v>698</v>
      </c>
      <c r="H36" s="939">
        <f t="shared" si="5"/>
        <v>37</v>
      </c>
      <c r="I36" s="959"/>
      <c r="J36" s="959"/>
      <c r="K36" s="959"/>
      <c r="L36" s="589"/>
    </row>
  </sheetData>
  <mergeCells count="15">
    <mergeCell ref="A1:B1"/>
    <mergeCell ref="G1:K1"/>
    <mergeCell ref="A2:K2"/>
    <mergeCell ref="A3:K3"/>
    <mergeCell ref="A4:K4"/>
    <mergeCell ref="A5:A6"/>
    <mergeCell ref="B5:B6"/>
    <mergeCell ref="C5:C6"/>
    <mergeCell ref="D5:D6"/>
    <mergeCell ref="E5:E6"/>
    <mergeCell ref="I5:J5"/>
    <mergeCell ref="K5:K6"/>
    <mergeCell ref="L5:L6"/>
    <mergeCell ref="F5:F6"/>
    <mergeCell ref="G5:G6"/>
  </mergeCells>
  <pageMargins left="0.5" right="0.2" top="0.5" bottom="0.5" header="0.3" footer="0.3"/>
  <pageSetup paperSize="9" scale="80" orientation="portrait" r:id="rId1"/>
  <headerFooter>
    <oddFooter>&amp;C&amp;8&amp;P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40"/>
  <sheetViews>
    <sheetView zoomScale="90" zoomScaleNormal="90" workbookViewId="0">
      <selection activeCell="F6" sqref="F6:F10"/>
    </sheetView>
  </sheetViews>
  <sheetFormatPr defaultColWidth="9.08203125" defaultRowHeight="15.5"/>
  <cols>
    <col min="1" max="1" width="6.4140625" style="1426" customWidth="1"/>
    <col min="2" max="2" width="44.4140625" style="1426" customWidth="1"/>
    <col min="3" max="3" width="16.33203125" style="1426" customWidth="1"/>
    <col min="4" max="4" width="12.33203125" style="1426" customWidth="1"/>
    <col min="5" max="5" width="14.4140625" style="1426" customWidth="1"/>
    <col min="6" max="16384" width="9.08203125" style="1426"/>
  </cols>
  <sheetData>
    <row r="1" spans="1:5" ht="39" customHeight="1">
      <c r="A1" s="1926" t="s">
        <v>3004</v>
      </c>
      <c r="B1" s="1926"/>
      <c r="C1" s="1926"/>
      <c r="D1" s="1926"/>
      <c r="E1" s="1926"/>
    </row>
    <row r="3" spans="1:5" ht="30">
      <c r="A3" s="1322" t="s">
        <v>4</v>
      </c>
      <c r="B3" s="1322" t="s">
        <v>2927</v>
      </c>
      <c r="C3" s="1322" t="s">
        <v>34</v>
      </c>
      <c r="D3" s="1322" t="s">
        <v>36</v>
      </c>
      <c r="E3" s="1322" t="s">
        <v>2982</v>
      </c>
    </row>
    <row r="4" spans="1:5" ht="35.25" customHeight="1">
      <c r="A4" s="1322"/>
      <c r="B4" s="1322" t="s">
        <v>7</v>
      </c>
      <c r="C4" s="1323">
        <f>C5+C32</f>
        <v>34</v>
      </c>
      <c r="D4" s="1323">
        <f>D5+D32</f>
        <v>771395.91752577317</v>
      </c>
      <c r="E4" s="1323">
        <f>E5+E32</f>
        <v>284240</v>
      </c>
    </row>
    <row r="5" spans="1:5" ht="30">
      <c r="A5" s="1322" t="s">
        <v>8</v>
      </c>
      <c r="B5" s="1325" t="s">
        <v>2928</v>
      </c>
      <c r="C5" s="1323">
        <f>A31</f>
        <v>26</v>
      </c>
      <c r="D5" s="1326">
        <f>SUM(D6:D31)</f>
        <v>599432</v>
      </c>
      <c r="E5" s="1326">
        <f>SUM(E6:E31)</f>
        <v>173934</v>
      </c>
    </row>
    <row r="6" spans="1:5" ht="36.75" customHeight="1">
      <c r="A6" s="1327">
        <v>1</v>
      </c>
      <c r="B6" s="1328" t="s">
        <v>2924</v>
      </c>
      <c r="C6" s="1329" t="s">
        <v>594</v>
      </c>
      <c r="D6" s="1330">
        <v>21000</v>
      </c>
      <c r="E6" s="1330">
        <v>3610</v>
      </c>
    </row>
    <row r="7" spans="1:5" ht="31">
      <c r="A7" s="1327">
        <v>2</v>
      </c>
      <c r="B7" s="1328" t="s">
        <v>2299</v>
      </c>
      <c r="C7" s="1329" t="s">
        <v>286</v>
      </c>
      <c r="D7" s="1330">
        <v>29780</v>
      </c>
      <c r="E7" s="1330">
        <v>7624</v>
      </c>
    </row>
    <row r="8" spans="1:5">
      <c r="A8" s="1327">
        <v>3</v>
      </c>
      <c r="B8" s="1328" t="s">
        <v>2297</v>
      </c>
      <c r="C8" s="1329" t="s">
        <v>113</v>
      </c>
      <c r="D8" s="1330">
        <v>20000</v>
      </c>
      <c r="E8" s="1330">
        <v>2668</v>
      </c>
    </row>
    <row r="9" spans="1:5" ht="31">
      <c r="A9" s="1327">
        <v>4</v>
      </c>
      <c r="B9" s="1328" t="s">
        <v>2351</v>
      </c>
      <c r="C9" s="1329" t="s">
        <v>114</v>
      </c>
      <c r="D9" s="1330">
        <v>18500</v>
      </c>
      <c r="E9" s="1330">
        <v>2600</v>
      </c>
    </row>
    <row r="10" spans="1:5" ht="31">
      <c r="A10" s="1327">
        <v>5</v>
      </c>
      <c r="B10" s="1328" t="s">
        <v>2296</v>
      </c>
      <c r="C10" s="1329" t="s">
        <v>627</v>
      </c>
      <c r="D10" s="1330">
        <v>19500</v>
      </c>
      <c r="E10" s="1330">
        <v>2654</v>
      </c>
    </row>
    <row r="11" spans="1:5">
      <c r="A11" s="1327">
        <v>6</v>
      </c>
      <c r="B11" s="1335" t="s">
        <v>226</v>
      </c>
      <c r="C11" s="1336" t="s">
        <v>225</v>
      </c>
      <c r="D11" s="1333">
        <v>19126</v>
      </c>
      <c r="E11" s="1333">
        <v>6738</v>
      </c>
    </row>
    <row r="12" spans="1:5">
      <c r="A12" s="1327">
        <v>7</v>
      </c>
      <c r="B12" s="1328" t="s">
        <v>234</v>
      </c>
      <c r="C12" s="1339" t="s">
        <v>216</v>
      </c>
      <c r="D12" s="1333">
        <v>18000</v>
      </c>
      <c r="E12" s="1333">
        <v>6600</v>
      </c>
    </row>
    <row r="13" spans="1:5" ht="31">
      <c r="A13" s="1327">
        <v>8</v>
      </c>
      <c r="B13" s="1328" t="s">
        <v>128</v>
      </c>
      <c r="C13" s="1340" t="s">
        <v>107</v>
      </c>
      <c r="D13" s="1333">
        <v>18000</v>
      </c>
      <c r="E13" s="1333">
        <v>6543</v>
      </c>
    </row>
    <row r="14" spans="1:5" ht="31">
      <c r="A14" s="1327">
        <v>9</v>
      </c>
      <c r="B14" s="1328" t="s">
        <v>413</v>
      </c>
      <c r="C14" s="1340" t="s">
        <v>114</v>
      </c>
      <c r="D14" s="1333">
        <v>18514</v>
      </c>
      <c r="E14" s="1333">
        <v>6500</v>
      </c>
    </row>
    <row r="15" spans="1:5" ht="62">
      <c r="A15" s="1327">
        <v>10</v>
      </c>
      <c r="B15" s="1341" t="s">
        <v>2455</v>
      </c>
      <c r="C15" s="1342" t="s">
        <v>2999</v>
      </c>
      <c r="D15" s="1333">
        <v>28488</v>
      </c>
      <c r="E15" s="1333">
        <v>5128</v>
      </c>
    </row>
    <row r="16" spans="1:5">
      <c r="A16" s="1327">
        <v>11</v>
      </c>
      <c r="B16" s="1341" t="s">
        <v>2983</v>
      </c>
      <c r="C16" s="1342" t="s">
        <v>19</v>
      </c>
      <c r="D16" s="1333">
        <v>35512</v>
      </c>
      <c r="E16" s="1333">
        <v>6392</v>
      </c>
    </row>
    <row r="17" spans="1:5">
      <c r="A17" s="1327">
        <v>12</v>
      </c>
      <c r="B17" s="1341" t="s">
        <v>2990</v>
      </c>
      <c r="C17" s="1342" t="s">
        <v>23</v>
      </c>
      <c r="D17" s="1333">
        <v>20650</v>
      </c>
      <c r="E17" s="1343">
        <v>3717</v>
      </c>
    </row>
    <row r="18" spans="1:5" ht="62">
      <c r="A18" s="1327">
        <v>13</v>
      </c>
      <c r="B18" s="1341" t="s">
        <v>2997</v>
      </c>
      <c r="C18" s="1342" t="s">
        <v>19</v>
      </c>
      <c r="D18" s="1333">
        <v>24308</v>
      </c>
      <c r="E18" s="1333">
        <v>4375</v>
      </c>
    </row>
    <row r="19" spans="1:5" ht="31">
      <c r="A19" s="1327">
        <v>14</v>
      </c>
      <c r="B19" s="1341" t="s">
        <v>2991</v>
      </c>
      <c r="C19" s="1342" t="s">
        <v>15</v>
      </c>
      <c r="D19" s="1333">
        <v>30182</v>
      </c>
      <c r="E19" s="1333">
        <v>5433</v>
      </c>
    </row>
    <row r="20" spans="1:5" ht="46.5">
      <c r="A20" s="1327">
        <v>15</v>
      </c>
      <c r="B20" s="1341" t="s">
        <v>2382</v>
      </c>
      <c r="C20" s="1342" t="s">
        <v>15</v>
      </c>
      <c r="D20" s="1333">
        <v>17204</v>
      </c>
      <c r="E20" s="1333">
        <v>3097</v>
      </c>
    </row>
    <row r="21" spans="1:5" ht="46.5">
      <c r="A21" s="1327">
        <v>16</v>
      </c>
      <c r="B21" s="1341" t="s">
        <v>2995</v>
      </c>
      <c r="C21" s="1342" t="s">
        <v>17</v>
      </c>
      <c r="D21" s="1333">
        <v>27998</v>
      </c>
      <c r="E21" s="1333">
        <v>5040</v>
      </c>
    </row>
    <row r="22" spans="1:5" ht="46.5">
      <c r="A22" s="1327">
        <v>17</v>
      </c>
      <c r="B22" s="1341" t="s">
        <v>2458</v>
      </c>
      <c r="C22" s="1342" t="s">
        <v>17</v>
      </c>
      <c r="D22" s="1333">
        <v>21105</v>
      </c>
      <c r="E22" s="1333">
        <v>3799</v>
      </c>
    </row>
    <row r="23" spans="1:5" ht="46.5">
      <c r="A23" s="1327">
        <v>18</v>
      </c>
      <c r="B23" s="1341" t="s">
        <v>2993</v>
      </c>
      <c r="C23" s="1342" t="s">
        <v>13</v>
      </c>
      <c r="D23" s="1333">
        <v>25630</v>
      </c>
      <c r="E23" s="1333">
        <v>4613</v>
      </c>
    </row>
    <row r="24" spans="1:5" ht="46.5">
      <c r="A24" s="1327">
        <v>19</v>
      </c>
      <c r="B24" s="1341" t="s">
        <v>2386</v>
      </c>
      <c r="C24" s="1342" t="s">
        <v>13</v>
      </c>
      <c r="D24" s="1333">
        <v>26116</v>
      </c>
      <c r="E24" s="1333">
        <v>4701</v>
      </c>
    </row>
    <row r="25" spans="1:5" ht="46.5">
      <c r="A25" s="1327">
        <v>20</v>
      </c>
      <c r="B25" s="1341" t="s">
        <v>2387</v>
      </c>
      <c r="C25" s="1342" t="s">
        <v>11</v>
      </c>
      <c r="D25" s="1333">
        <v>17836</v>
      </c>
      <c r="E25" s="1333">
        <v>3210</v>
      </c>
    </row>
    <row r="26" spans="1:5" ht="31">
      <c r="A26" s="1327">
        <v>21</v>
      </c>
      <c r="B26" s="1341" t="s">
        <v>2985</v>
      </c>
      <c r="C26" s="1342" t="s">
        <v>11</v>
      </c>
      <c r="D26" s="1333">
        <v>31564</v>
      </c>
      <c r="E26" s="1333">
        <v>5682</v>
      </c>
    </row>
    <row r="27" spans="1:5" ht="31">
      <c r="A27" s="1327">
        <v>22</v>
      </c>
      <c r="B27" s="1344" t="s">
        <v>2389</v>
      </c>
      <c r="C27" s="1329" t="s">
        <v>11</v>
      </c>
      <c r="D27" s="1333">
        <v>15392</v>
      </c>
      <c r="E27" s="1333">
        <v>2771</v>
      </c>
    </row>
    <row r="28" spans="1:5">
      <c r="A28" s="1327">
        <v>23</v>
      </c>
      <c r="B28" s="1334" t="s">
        <v>3001</v>
      </c>
      <c r="C28" s="1340" t="s">
        <v>503</v>
      </c>
      <c r="D28" s="1333">
        <v>29985</v>
      </c>
      <c r="E28" s="1333">
        <v>5397</v>
      </c>
    </row>
    <row r="29" spans="1:5" ht="46.5">
      <c r="A29" s="1327">
        <v>24</v>
      </c>
      <c r="B29" s="1344" t="s">
        <v>146</v>
      </c>
      <c r="C29" s="1332" t="s">
        <v>117</v>
      </c>
      <c r="D29" s="1333">
        <v>17000</v>
      </c>
      <c r="E29" s="1333">
        <v>17000</v>
      </c>
    </row>
    <row r="30" spans="1:5" ht="31">
      <c r="A30" s="1327">
        <v>25</v>
      </c>
      <c r="B30" s="1334" t="s">
        <v>661</v>
      </c>
      <c r="C30" s="1332" t="s">
        <v>123</v>
      </c>
      <c r="D30" s="1333">
        <v>28500</v>
      </c>
      <c r="E30" s="1333">
        <v>28500</v>
      </c>
    </row>
    <row r="31" spans="1:5" ht="31">
      <c r="A31" s="1327">
        <v>26</v>
      </c>
      <c r="B31" s="1334" t="s">
        <v>2485</v>
      </c>
      <c r="C31" s="1340" t="s">
        <v>570</v>
      </c>
      <c r="D31" s="1333">
        <v>19542</v>
      </c>
      <c r="E31" s="1333">
        <v>19542</v>
      </c>
    </row>
    <row r="32" spans="1:5" s="1429" customFormat="1" ht="30" customHeight="1">
      <c r="A32" s="1323" t="s">
        <v>26</v>
      </c>
      <c r="B32" s="1427" t="s">
        <v>2877</v>
      </c>
      <c r="C32" s="1323">
        <f>A40</f>
        <v>8</v>
      </c>
      <c r="D32" s="1428">
        <f>SUM(D33:D40)</f>
        <v>171963.9175257732</v>
      </c>
      <c r="E32" s="1428">
        <f>SUM(E33:E40)</f>
        <v>110306</v>
      </c>
    </row>
    <row r="33" spans="1:5" s="1430" customFormat="1" ht="31">
      <c r="A33" s="1327">
        <v>1</v>
      </c>
      <c r="B33" s="1347" t="s">
        <v>2557</v>
      </c>
      <c r="C33" s="1329" t="s">
        <v>2797</v>
      </c>
      <c r="D33" s="1348">
        <v>22000</v>
      </c>
      <c r="E33" s="1348">
        <v>15200</v>
      </c>
    </row>
    <row r="34" spans="1:5" s="1430" customFormat="1" ht="46.5">
      <c r="A34" s="1327">
        <v>2</v>
      </c>
      <c r="B34" s="1347" t="s">
        <v>2559</v>
      </c>
      <c r="C34" s="1329" t="s">
        <v>2797</v>
      </c>
      <c r="D34" s="1348">
        <v>20000</v>
      </c>
      <c r="E34" s="1348">
        <v>14000</v>
      </c>
    </row>
    <row r="35" spans="1:5" s="1430" customFormat="1" ht="31">
      <c r="A35" s="1327">
        <v>3</v>
      </c>
      <c r="B35" s="1347" t="s">
        <v>2800</v>
      </c>
      <c r="C35" s="1329" t="s">
        <v>2801</v>
      </c>
      <c r="D35" s="1348">
        <v>15000</v>
      </c>
      <c r="E35" s="1348">
        <v>9000</v>
      </c>
    </row>
    <row r="36" spans="1:5" s="1430" customFormat="1" ht="31">
      <c r="A36" s="1327">
        <v>4</v>
      </c>
      <c r="B36" s="1416" t="s">
        <v>3008</v>
      </c>
      <c r="C36" s="1329" t="s">
        <v>572</v>
      </c>
      <c r="D36" s="1348">
        <v>20000</v>
      </c>
      <c r="E36" s="1348">
        <f>10500+6000+2000+500</f>
        <v>19000</v>
      </c>
    </row>
    <row r="37" spans="1:5" s="1321" customFormat="1" ht="31">
      <c r="A37" s="1327">
        <v>5</v>
      </c>
      <c r="B37" s="1347" t="s">
        <v>2639</v>
      </c>
      <c r="C37" s="1329" t="s">
        <v>263</v>
      </c>
      <c r="D37" s="1433">
        <v>15463.9175257732</v>
      </c>
      <c r="E37" s="1433">
        <v>15000</v>
      </c>
    </row>
    <row r="38" spans="1:5" s="1321" customFormat="1" ht="46.5">
      <c r="A38" s="1327">
        <v>6</v>
      </c>
      <c r="B38" s="1349" t="s">
        <v>2725</v>
      </c>
      <c r="C38" s="1350" t="s">
        <v>2726</v>
      </c>
      <c r="D38" s="1433">
        <v>25000</v>
      </c>
      <c r="E38" s="1433">
        <v>12453</v>
      </c>
    </row>
    <row r="39" spans="1:5" s="1321" customFormat="1" ht="31">
      <c r="A39" s="1327">
        <v>7</v>
      </c>
      <c r="B39" s="1349" t="s">
        <v>2728</v>
      </c>
      <c r="C39" s="1350" t="s">
        <v>459</v>
      </c>
      <c r="D39" s="1433">
        <v>18000</v>
      </c>
      <c r="E39" s="1433">
        <v>7472</v>
      </c>
    </row>
    <row r="40" spans="1:5" s="1321" customFormat="1" ht="31">
      <c r="A40" s="1327">
        <v>8</v>
      </c>
      <c r="B40" s="1349" t="s">
        <v>2730</v>
      </c>
      <c r="C40" s="1350" t="s">
        <v>2731</v>
      </c>
      <c r="D40" s="1433">
        <v>36500</v>
      </c>
      <c r="E40" s="1433">
        <v>18181</v>
      </c>
    </row>
  </sheetData>
  <mergeCells count="1">
    <mergeCell ref="A1:E1"/>
  </mergeCells>
  <pageMargins left="0.5" right="0.24" top="0.46" bottom="0.35" header="0.47"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8"/>
  <sheetViews>
    <sheetView tabSelected="1" topLeftCell="C1" zoomScaleNormal="100" workbookViewId="0">
      <selection activeCell="G9" sqref="G9"/>
    </sheetView>
  </sheetViews>
  <sheetFormatPr defaultRowHeight="15.5"/>
  <cols>
    <col min="1" max="1" width="3.4140625" style="1517" customWidth="1"/>
    <col min="2" max="2" width="27.6640625" style="1518" customWidth="1"/>
    <col min="3" max="3" width="13.9140625" style="1517" customWidth="1"/>
    <col min="4" max="4" width="34.08203125" style="1517" customWidth="1"/>
    <col min="5" max="5" width="11.33203125" style="1517" customWidth="1"/>
    <col min="6" max="6" width="10.08203125" style="1178" customWidth="1"/>
    <col min="7" max="7" width="10.9140625" style="1178" customWidth="1"/>
    <col min="8" max="8" width="9.08203125" style="1178" customWidth="1"/>
    <col min="9" max="9" width="9.33203125" style="1178" customWidth="1"/>
    <col min="10" max="10" width="12" style="1178" customWidth="1"/>
    <col min="11" max="11" width="16.33203125" style="1178" customWidth="1"/>
    <col min="12" max="12" width="7.75" style="1178" customWidth="1"/>
    <col min="13" max="22" width="8.9140625" hidden="1" customWidth="1"/>
  </cols>
  <sheetData>
    <row r="1" spans="1:14">
      <c r="J1" s="1684" t="s">
        <v>3742</v>
      </c>
      <c r="K1" s="1684"/>
      <c r="L1" s="1684"/>
    </row>
    <row r="2" spans="1:14" ht="45.75" customHeight="1">
      <c r="A2" s="1671" t="s">
        <v>3791</v>
      </c>
      <c r="B2" s="1671"/>
      <c r="C2" s="1671"/>
      <c r="D2" s="1671"/>
      <c r="E2" s="1671"/>
      <c r="F2" s="1671"/>
      <c r="G2" s="1671"/>
      <c r="H2" s="1671"/>
      <c r="I2" s="1671"/>
      <c r="J2" s="1671"/>
      <c r="K2" s="1671"/>
      <c r="L2" s="1671"/>
    </row>
    <row r="3" spans="1:14">
      <c r="A3" s="1938" t="str">
        <f>N4</f>
        <v>(Kèm theo  Nghị quyết số           /NQ- HĐND Ngày      tháng 8 năm 2026 của HĐND xã Nậm Hàng)</v>
      </c>
      <c r="B3" s="1938"/>
      <c r="C3" s="1938"/>
      <c r="D3" s="1938"/>
      <c r="E3" s="1938"/>
      <c r="F3" s="1938"/>
      <c r="G3" s="1938"/>
      <c r="H3" s="1938"/>
      <c r="I3" s="1938"/>
      <c r="J3" s="1938"/>
      <c r="K3" s="1938"/>
      <c r="L3" s="1938"/>
      <c r="N3" t="s">
        <v>3931</v>
      </c>
    </row>
    <row r="4" spans="1:14">
      <c r="J4" s="1939" t="s">
        <v>3</v>
      </c>
      <c r="K4" s="1939"/>
      <c r="L4" s="1939"/>
      <c r="N4" t="s">
        <v>3939</v>
      </c>
    </row>
    <row r="5" spans="1:14" ht="15" customHeight="1">
      <c r="A5" s="1940" t="s">
        <v>3743</v>
      </c>
      <c r="B5" s="1940" t="s">
        <v>3744</v>
      </c>
      <c r="C5" s="1940" t="s">
        <v>55</v>
      </c>
      <c r="D5" s="1940" t="s">
        <v>3745</v>
      </c>
      <c r="E5" s="1940" t="s">
        <v>3746</v>
      </c>
      <c r="F5" s="1940" t="s">
        <v>3747</v>
      </c>
      <c r="G5" s="1940"/>
      <c r="H5" s="1940"/>
      <c r="I5" s="1940"/>
      <c r="J5" s="1941" t="s">
        <v>3748</v>
      </c>
      <c r="K5" s="1944" t="s">
        <v>3749</v>
      </c>
      <c r="L5" s="1944" t="s">
        <v>33</v>
      </c>
    </row>
    <row r="6" spans="1:14" ht="29.25" customHeight="1">
      <c r="A6" s="1940"/>
      <c r="B6" s="1940"/>
      <c r="C6" s="1940"/>
      <c r="D6" s="1940"/>
      <c r="E6" s="1940"/>
      <c r="F6" s="1940" t="s">
        <v>3750</v>
      </c>
      <c r="G6" s="1940" t="s">
        <v>3751</v>
      </c>
      <c r="H6" s="1940"/>
      <c r="I6" s="1940"/>
      <c r="J6" s="1942"/>
      <c r="K6" s="1944"/>
      <c r="L6" s="1944"/>
    </row>
    <row r="7" spans="1:14" ht="42.75" customHeight="1">
      <c r="A7" s="1940"/>
      <c r="B7" s="1940"/>
      <c r="C7" s="1940"/>
      <c r="D7" s="1940"/>
      <c r="E7" s="1940"/>
      <c r="F7" s="1940"/>
      <c r="G7" s="1658" t="s">
        <v>2550</v>
      </c>
      <c r="H7" s="1595" t="s">
        <v>3752</v>
      </c>
      <c r="I7" s="1658" t="s">
        <v>3753</v>
      </c>
      <c r="J7" s="1943"/>
      <c r="K7" s="1944"/>
      <c r="L7" s="1944"/>
    </row>
    <row r="8" spans="1:14" ht="14">
      <c r="A8" s="1519"/>
      <c r="B8" s="1520" t="s">
        <v>6</v>
      </c>
      <c r="C8" s="1519"/>
      <c r="D8" s="1519"/>
      <c r="E8" s="1519"/>
      <c r="F8" s="1630">
        <f>+G8+H8+I8</f>
        <v>38289.5</v>
      </c>
      <c r="G8" s="1521">
        <f>+G9</f>
        <v>34807.5</v>
      </c>
      <c r="H8" s="1521">
        <f>+H9</f>
        <v>3482</v>
      </c>
      <c r="I8" s="1521">
        <f>+I9</f>
        <v>0</v>
      </c>
      <c r="J8" s="1521">
        <f>+J9</f>
        <v>34807.5</v>
      </c>
      <c r="K8" s="1519"/>
      <c r="L8" s="1522"/>
    </row>
    <row r="9" spans="1:14" ht="29.25" customHeight="1">
      <c r="A9" s="1523">
        <v>1</v>
      </c>
      <c r="B9" s="1524" t="s">
        <v>114</v>
      </c>
      <c r="C9" s="1525"/>
      <c r="D9" s="1525"/>
      <c r="E9" s="1526"/>
      <c r="F9" s="1631">
        <f>SUBTOTAL(9,F10:F16)</f>
        <v>38289.5</v>
      </c>
      <c r="G9" s="1527">
        <f t="shared" ref="G9:J9" si="0">SUBTOTAL(9,G10:G16)</f>
        <v>34807.5</v>
      </c>
      <c r="H9" s="1527">
        <f t="shared" si="0"/>
        <v>3482</v>
      </c>
      <c r="I9" s="1527">
        <f t="shared" si="0"/>
        <v>0</v>
      </c>
      <c r="J9" s="1527">
        <f t="shared" si="0"/>
        <v>34807.5</v>
      </c>
      <c r="K9" s="1528"/>
      <c r="L9" s="1529"/>
    </row>
    <row r="10" spans="1:14" ht="51.75" customHeight="1">
      <c r="A10" s="1285">
        <f>+ROW()-9</f>
        <v>1</v>
      </c>
      <c r="B10" s="1199" t="s">
        <v>3754</v>
      </c>
      <c r="C10" s="1135" t="s">
        <v>3755</v>
      </c>
      <c r="D10" s="1135" t="s">
        <v>3910</v>
      </c>
      <c r="E10" s="1180" t="s">
        <v>3756</v>
      </c>
      <c r="F10" s="1632">
        <f t="shared" ref="F10:F14" si="1">SUM(G10:I10)</f>
        <v>16999.5</v>
      </c>
      <c r="G10" s="1633">
        <f t="shared" ref="G10:G16" si="2">J10</f>
        <v>15454.5</v>
      </c>
      <c r="H10" s="1530">
        <f>ROUND(G10*10%,0)</f>
        <v>1545</v>
      </c>
      <c r="I10" s="1136"/>
      <c r="J10" s="1634">
        <v>15454.5</v>
      </c>
      <c r="K10" s="1531" t="s">
        <v>3737</v>
      </c>
      <c r="L10" s="1532"/>
    </row>
    <row r="11" spans="1:14" ht="51.75" customHeight="1">
      <c r="A11" s="1285">
        <f t="shared" ref="A11:A16" si="3">+ROW()-9</f>
        <v>2</v>
      </c>
      <c r="B11" s="1199" t="s">
        <v>3911</v>
      </c>
      <c r="C11" s="1135" t="s">
        <v>114</v>
      </c>
      <c r="D11" s="1135" t="s">
        <v>3912</v>
      </c>
      <c r="E11" s="1180" t="s">
        <v>3913</v>
      </c>
      <c r="F11" s="1632">
        <f>SUM(G11:I11)-0.5</f>
        <v>5791.5</v>
      </c>
      <c r="G11" s="1635">
        <f t="shared" si="2"/>
        <v>5265</v>
      </c>
      <c r="H11" s="1530">
        <f>ROUND(G11*10%,0)</f>
        <v>527</v>
      </c>
      <c r="I11" s="1136"/>
      <c r="J11" s="1634">
        <v>5265</v>
      </c>
      <c r="K11" s="1531" t="s">
        <v>3737</v>
      </c>
      <c r="L11" s="1532"/>
    </row>
    <row r="12" spans="1:14" ht="51.75" customHeight="1">
      <c r="A12" s="1285">
        <f t="shared" si="3"/>
        <v>3</v>
      </c>
      <c r="B12" s="1199" t="s">
        <v>3914</v>
      </c>
      <c r="C12" s="1135" t="s">
        <v>3915</v>
      </c>
      <c r="D12" s="1135" t="s">
        <v>3916</v>
      </c>
      <c r="E12" s="1180" t="s">
        <v>3913</v>
      </c>
      <c r="F12" s="1632">
        <f>+G12+H12+I12</f>
        <v>2000</v>
      </c>
      <c r="G12" s="1635">
        <v>1818</v>
      </c>
      <c r="H12" s="1530">
        <f t="shared" ref="H12:H15" si="4">ROUND(G12*10%,0)</f>
        <v>182</v>
      </c>
      <c r="I12" s="1136"/>
      <c r="J12" s="1636">
        <f>+G12</f>
        <v>1818</v>
      </c>
      <c r="K12" s="1531" t="s">
        <v>3737</v>
      </c>
      <c r="L12" s="1532"/>
    </row>
    <row r="13" spans="1:14" ht="51.75" customHeight="1">
      <c r="A13" s="1285">
        <f t="shared" si="3"/>
        <v>4</v>
      </c>
      <c r="B13" s="1637" t="s">
        <v>3935</v>
      </c>
      <c r="C13" s="1638" t="s">
        <v>114</v>
      </c>
      <c r="D13" s="1638" t="s">
        <v>3936</v>
      </c>
      <c r="E13" s="763" t="s">
        <v>3913</v>
      </c>
      <c r="F13" s="1639">
        <f>+G13+H13+I13</f>
        <v>1000</v>
      </c>
      <c r="G13" s="1640">
        <v>909</v>
      </c>
      <c r="H13" s="1530">
        <f t="shared" si="4"/>
        <v>91</v>
      </c>
      <c r="I13" s="1642"/>
      <c r="J13" s="1643">
        <f>+G13</f>
        <v>909</v>
      </c>
      <c r="K13" s="1531" t="s">
        <v>3737</v>
      </c>
      <c r="L13" s="1659"/>
    </row>
    <row r="14" spans="1:14" ht="51.75" customHeight="1">
      <c r="A14" s="1285">
        <f t="shared" si="3"/>
        <v>5</v>
      </c>
      <c r="B14" s="1637" t="s">
        <v>3917</v>
      </c>
      <c r="C14" s="1638" t="s">
        <v>3918</v>
      </c>
      <c r="D14" s="1638" t="s">
        <v>3919</v>
      </c>
      <c r="E14" s="763" t="s">
        <v>3920</v>
      </c>
      <c r="F14" s="1639">
        <f t="shared" si="1"/>
        <v>1502</v>
      </c>
      <c r="G14" s="1640">
        <f t="shared" si="2"/>
        <v>1365</v>
      </c>
      <c r="H14" s="1641">
        <f t="shared" si="4"/>
        <v>137</v>
      </c>
      <c r="I14" s="1642"/>
      <c r="J14" s="1643">
        <v>1365</v>
      </c>
      <c r="K14" s="1644" t="s">
        <v>3737</v>
      </c>
      <c r="L14" s="1645"/>
    </row>
    <row r="15" spans="1:14" ht="51.75" customHeight="1">
      <c r="A15" s="1285">
        <f t="shared" si="3"/>
        <v>6</v>
      </c>
      <c r="B15" s="1199" t="s">
        <v>3921</v>
      </c>
      <c r="C15" s="1135" t="s">
        <v>114</v>
      </c>
      <c r="D15" s="1135" t="s">
        <v>3922</v>
      </c>
      <c r="E15" s="1180" t="s">
        <v>3923</v>
      </c>
      <c r="F15" s="1632">
        <f t="shared" ref="F15" si="5">SUM(G15:I15)</f>
        <v>5000</v>
      </c>
      <c r="G15" s="1635">
        <f t="shared" si="2"/>
        <v>4545</v>
      </c>
      <c r="H15" s="1530">
        <f t="shared" si="4"/>
        <v>455</v>
      </c>
      <c r="I15" s="1136"/>
      <c r="J15" s="1636">
        <v>4545</v>
      </c>
      <c r="K15" s="1531" t="s">
        <v>3737</v>
      </c>
      <c r="L15" s="1532"/>
    </row>
    <row r="16" spans="1:14" ht="51.75" customHeight="1">
      <c r="A16" s="1285">
        <f t="shared" si="3"/>
        <v>7</v>
      </c>
      <c r="B16" s="1534" t="s">
        <v>3924</v>
      </c>
      <c r="C16" s="41" t="s">
        <v>114</v>
      </c>
      <c r="D16" s="41" t="s">
        <v>3925</v>
      </c>
      <c r="E16" s="775" t="s">
        <v>3923</v>
      </c>
      <c r="F16" s="1646">
        <f>SUM(G16:I16)+0.5</f>
        <v>5996.5</v>
      </c>
      <c r="G16" s="1647">
        <f t="shared" si="2"/>
        <v>5451</v>
      </c>
      <c r="H16" s="1535">
        <f>ROUND(G16*10%,0)</f>
        <v>545</v>
      </c>
      <c r="I16" s="706"/>
      <c r="J16" s="1648">
        <v>5451</v>
      </c>
      <c r="K16" s="1536" t="s">
        <v>3737</v>
      </c>
      <c r="L16" s="1546"/>
    </row>
    <row r="18" spans="10:10">
      <c r="J18" s="1537"/>
    </row>
  </sheetData>
  <mergeCells count="15">
    <mergeCell ref="J1:L1"/>
    <mergeCell ref="A2:L2"/>
    <mergeCell ref="A3:L3"/>
    <mergeCell ref="J4:L4"/>
    <mergeCell ref="A5:A7"/>
    <mergeCell ref="B5:B7"/>
    <mergeCell ref="C5:C7"/>
    <mergeCell ref="D5:D7"/>
    <mergeCell ref="E5:E7"/>
    <mergeCell ref="F5:I5"/>
    <mergeCell ref="J5:J7"/>
    <mergeCell ref="K5:K7"/>
    <mergeCell ref="L5:L7"/>
    <mergeCell ref="F6:F7"/>
    <mergeCell ref="G6:I6"/>
  </mergeCells>
  <conditionalFormatting sqref="G10:G16">
    <cfRule type="expression" dxfId="0" priority="1">
      <formula>"g6&lt;&gt;l6"</formula>
    </cfRule>
  </conditionalFormatting>
  <pageMargins left="0.7" right="0.7" top="0.75" bottom="0.75" header="0.3" footer="0.3"/>
  <pageSetup paperSize="9" scale="79" orientation="landscape"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view="pageBreakPreview" topLeftCell="A3" zoomScale="60" zoomScaleNormal="100" workbookViewId="0">
      <selection activeCell="D8" sqref="D8"/>
    </sheetView>
  </sheetViews>
  <sheetFormatPr defaultRowHeight="14"/>
  <cols>
    <col min="1" max="1" width="6.4140625" style="1575" customWidth="1"/>
    <col min="2" max="2" width="71.08203125" customWidth="1"/>
    <col min="3" max="3" width="14.58203125" customWidth="1"/>
    <col min="4" max="4" width="22.9140625" customWidth="1"/>
    <col min="5" max="5" width="16" customWidth="1"/>
    <col min="6" max="6" width="8.9140625" hidden="1" customWidth="1"/>
  </cols>
  <sheetData>
    <row r="1" spans="1:6">
      <c r="D1" s="1946" t="s">
        <v>3930</v>
      </c>
      <c r="E1" s="1946"/>
    </row>
    <row r="2" spans="1:6" ht="57" customHeight="1">
      <c r="A2" s="1671" t="s">
        <v>3929</v>
      </c>
      <c r="B2" s="1671"/>
      <c r="C2" s="1671"/>
      <c r="D2" s="1671"/>
      <c r="E2" s="1671"/>
    </row>
    <row r="3" spans="1:6" ht="16.5" customHeight="1">
      <c r="A3" s="1947" t="str">
        <f>'b 01 KH đt công'!A3:L3</f>
        <v>(Kèm theo  Nghị quyết số           /NQ- HĐND Ngày      tháng 8 năm 2026 của HĐND xã Nậm Hàng)</v>
      </c>
      <c r="B3" s="1947"/>
      <c r="C3" s="1947"/>
      <c r="D3" s="1947"/>
      <c r="E3" s="1947"/>
    </row>
    <row r="4" spans="1:6" ht="15.75" customHeight="1">
      <c r="A4" s="1308"/>
      <c r="B4" s="1178"/>
      <c r="C4" s="1939" t="s">
        <v>3</v>
      </c>
      <c r="D4" s="1939"/>
      <c r="E4" s="1939"/>
    </row>
    <row r="5" spans="1:6" ht="34.5" customHeight="1">
      <c r="A5" s="1551" t="s">
        <v>4</v>
      </c>
      <c r="B5" s="1551" t="s">
        <v>3760</v>
      </c>
      <c r="C5" s="1551" t="s">
        <v>3839</v>
      </c>
      <c r="D5" s="1656" t="s">
        <v>3938</v>
      </c>
      <c r="E5" s="1551" t="s">
        <v>33</v>
      </c>
    </row>
    <row r="6" spans="1:6" ht="15">
      <c r="A6" s="1552"/>
      <c r="B6" s="1552" t="s">
        <v>6</v>
      </c>
      <c r="C6" s="1649">
        <f>+C7+C24</f>
        <v>12406</v>
      </c>
      <c r="D6" s="1580"/>
      <c r="E6" s="1553"/>
    </row>
    <row r="7" spans="1:6" ht="18" customHeight="1">
      <c r="A7" s="1555" t="s">
        <v>2552</v>
      </c>
      <c r="B7" s="1556" t="s">
        <v>3764</v>
      </c>
      <c r="C7" s="1650">
        <f>+C8+C10+C12+C15+C18</f>
        <v>9851</v>
      </c>
      <c r="D7" s="1557"/>
      <c r="E7" s="1558"/>
    </row>
    <row r="8" spans="1:6" ht="58.5" customHeight="1">
      <c r="A8" s="1555" t="s">
        <v>10</v>
      </c>
      <c r="B8" s="1566" t="s">
        <v>3812</v>
      </c>
      <c r="C8" s="1651">
        <f>+C9</f>
        <v>3500</v>
      </c>
      <c r="D8" s="1660" t="s">
        <v>3814</v>
      </c>
      <c r="E8" s="1558"/>
      <c r="F8" s="1582">
        <f>+C7+C22</f>
        <v>9911</v>
      </c>
    </row>
    <row r="9" spans="1:6" ht="84">
      <c r="A9" s="1655"/>
      <c r="B9" s="1564" t="s">
        <v>3813</v>
      </c>
      <c r="C9" s="1652">
        <v>3500</v>
      </c>
      <c r="D9" s="1660"/>
      <c r="E9" s="1558"/>
      <c r="F9">
        <v>12406</v>
      </c>
    </row>
    <row r="10" spans="1:6" ht="48" customHeight="1">
      <c r="A10" s="1555" t="s">
        <v>12</v>
      </c>
      <c r="B10" s="1581" t="str">
        <f>'[3]Vốn sự nghiệp'!$B$29</f>
        <v>Nội dung thành phần 03: Phát triển kinh tế nông thôn theo hướng sinh thái, hiện đại, tích hợp đa giá trị và đáp ứng nhu cầu thị trường (gồm 10 nội dung cụ thể)</v>
      </c>
      <c r="C10" s="1651">
        <f>+C11</f>
        <v>3332</v>
      </c>
      <c r="D10" s="1660" t="s">
        <v>3937</v>
      </c>
      <c r="E10" s="1558"/>
      <c r="F10" s="1584">
        <f>F9-C6</f>
        <v>0</v>
      </c>
    </row>
    <row r="11" spans="1:6" ht="84">
      <c r="A11" s="1655"/>
      <c r="B11" s="1564" t="s">
        <v>3765</v>
      </c>
      <c r="C11" s="1652">
        <f>1008+1000+600+700+24</f>
        <v>3332</v>
      </c>
      <c r="D11" s="1621"/>
      <c r="E11" s="1558"/>
    </row>
    <row r="12" spans="1:6" ht="30">
      <c r="A12" s="1555" t="s">
        <v>14</v>
      </c>
      <c r="B12" s="1566" t="s">
        <v>3816</v>
      </c>
      <c r="C12" s="1651">
        <f>+C13+C14</f>
        <v>1628</v>
      </c>
      <c r="D12" s="1660" t="s">
        <v>3819</v>
      </c>
      <c r="E12" s="1558"/>
    </row>
    <row r="13" spans="1:6" ht="112">
      <c r="A13" s="1655"/>
      <c r="B13" s="1564" t="s">
        <v>3817</v>
      </c>
      <c r="C13" s="1652">
        <v>763</v>
      </c>
      <c r="D13" s="1621"/>
      <c r="E13" s="1558"/>
    </row>
    <row r="14" spans="1:6" ht="56">
      <c r="A14" s="1655"/>
      <c r="B14" s="1564" t="s">
        <v>3818</v>
      </c>
      <c r="C14" s="1652">
        <f>400+465</f>
        <v>865</v>
      </c>
      <c r="D14" s="1621"/>
      <c r="E14" s="1558"/>
    </row>
    <row r="15" spans="1:6" ht="42.75" customHeight="1">
      <c r="A15" s="1555" t="s">
        <v>16</v>
      </c>
      <c r="B15" s="1566" t="s">
        <v>3820</v>
      </c>
      <c r="C15" s="1651">
        <f>+C16+C17</f>
        <v>921</v>
      </c>
      <c r="D15" s="1660" t="s">
        <v>3819</v>
      </c>
      <c r="E15" s="1661"/>
    </row>
    <row r="16" spans="1:6" ht="28">
      <c r="A16" s="1655"/>
      <c r="B16" s="1564" t="s">
        <v>3821</v>
      </c>
      <c r="C16" s="1652">
        <v>71</v>
      </c>
      <c r="D16" s="1621"/>
      <c r="E16" s="1558"/>
    </row>
    <row r="17" spans="1:5" ht="42">
      <c r="A17" s="1655"/>
      <c r="B17" s="1564" t="s">
        <v>3822</v>
      </c>
      <c r="C17" s="1652">
        <v>850</v>
      </c>
      <c r="D17" s="1621"/>
      <c r="E17" s="1558"/>
    </row>
    <row r="18" spans="1:5" ht="57.75" customHeight="1">
      <c r="A18" s="1555" t="s">
        <v>18</v>
      </c>
      <c r="B18" s="1566" t="s">
        <v>3766</v>
      </c>
      <c r="C18" s="1651">
        <f>SUM(C19:C23)</f>
        <v>470</v>
      </c>
      <c r="D18" s="1660" t="s">
        <v>3823</v>
      </c>
      <c r="E18" s="1661"/>
    </row>
    <row r="19" spans="1:5" ht="126">
      <c r="A19" s="1555"/>
      <c r="B19" s="1564" t="s">
        <v>3926</v>
      </c>
      <c r="C19" s="1652">
        <v>60</v>
      </c>
      <c r="D19" s="1557"/>
      <c r="E19" s="1558"/>
    </row>
    <row r="20" spans="1:5" ht="84">
      <c r="A20" s="1555"/>
      <c r="B20" s="1564" t="s">
        <v>3767</v>
      </c>
      <c r="C20" s="1652">
        <v>100</v>
      </c>
      <c r="D20" s="1557"/>
      <c r="E20" s="1558"/>
    </row>
    <row r="21" spans="1:5" ht="42">
      <c r="A21" s="1555"/>
      <c r="B21" s="1564" t="s">
        <v>3779</v>
      </c>
      <c r="C21" s="1652">
        <v>100</v>
      </c>
      <c r="D21" s="1557"/>
      <c r="E21" s="1558"/>
    </row>
    <row r="22" spans="1:5" ht="28">
      <c r="A22" s="1555"/>
      <c r="B22" s="1564" t="s">
        <v>3927</v>
      </c>
      <c r="C22" s="1652">
        <v>60</v>
      </c>
      <c r="D22" s="1557"/>
      <c r="E22" s="1558"/>
    </row>
    <row r="23" spans="1:5" ht="41.25" customHeight="1">
      <c r="A23" s="1555"/>
      <c r="B23" s="1564" t="s">
        <v>3780</v>
      </c>
      <c r="C23" s="1652">
        <v>150</v>
      </c>
      <c r="D23" s="1557"/>
      <c r="E23" s="1558"/>
    </row>
    <row r="24" spans="1:5" ht="55.5" customHeight="1">
      <c r="A24" s="1555" t="s">
        <v>26</v>
      </c>
      <c r="B24" s="1581" t="s">
        <v>3824</v>
      </c>
      <c r="C24" s="1651">
        <f>+C25+C27</f>
        <v>2555</v>
      </c>
      <c r="D24" s="1557"/>
      <c r="E24" s="1558"/>
    </row>
    <row r="25" spans="1:5" ht="54.75" customHeight="1">
      <c r="A25" s="1555" t="s">
        <v>10</v>
      </c>
      <c r="B25" s="1566" t="s">
        <v>3825</v>
      </c>
      <c r="C25" s="1651">
        <f>+C26</f>
        <v>2500</v>
      </c>
      <c r="D25" s="1660" t="s">
        <v>3819</v>
      </c>
      <c r="E25" s="1661"/>
    </row>
    <row r="26" spans="1:5" ht="210">
      <c r="A26" s="1655"/>
      <c r="B26" s="1564" t="s">
        <v>3826</v>
      </c>
      <c r="C26" s="1652">
        <v>2500</v>
      </c>
      <c r="D26" s="1621"/>
      <c r="E26" s="1558"/>
    </row>
    <row r="27" spans="1:5" ht="28">
      <c r="A27" s="1655" t="s">
        <v>12</v>
      </c>
      <c r="B27" s="1564" t="s">
        <v>3827</v>
      </c>
      <c r="C27" s="1652">
        <f>+C28</f>
        <v>55</v>
      </c>
      <c r="D27" s="1660" t="s">
        <v>3823</v>
      </c>
      <c r="E27" s="1558"/>
    </row>
    <row r="28" spans="1:5" ht="28">
      <c r="A28" s="1555"/>
      <c r="B28" s="1564" t="s">
        <v>3828</v>
      </c>
      <c r="C28" s="1653">
        <v>55</v>
      </c>
      <c r="D28" s="1557"/>
      <c r="E28" s="1558"/>
    </row>
    <row r="29" spans="1:5" ht="15.5" hidden="1">
      <c r="A29"/>
      <c r="B29" s="1948" t="s">
        <v>40</v>
      </c>
      <c r="C29" s="1949"/>
      <c r="D29" s="1578"/>
    </row>
    <row r="30" spans="1:5" ht="15" hidden="1">
      <c r="A30"/>
      <c r="B30" s="1948" t="s">
        <v>3801</v>
      </c>
      <c r="C30" s="1948"/>
      <c r="D30" s="1948"/>
      <c r="E30" s="1948"/>
    </row>
    <row r="31" spans="1:5" ht="15.75" hidden="1" customHeight="1">
      <c r="A31"/>
      <c r="B31" s="1577" t="s">
        <v>3802</v>
      </c>
      <c r="C31" s="1578"/>
      <c r="D31" s="1578"/>
    </row>
    <row r="32" spans="1:5" ht="15.5" hidden="1">
      <c r="A32"/>
      <c r="B32" s="1577" t="s">
        <v>3803</v>
      </c>
      <c r="C32" s="1578"/>
      <c r="D32" s="1578"/>
    </row>
    <row r="33" spans="1:4" ht="15.75" hidden="1" customHeight="1">
      <c r="A33"/>
      <c r="B33" s="1945" t="s">
        <v>3804</v>
      </c>
      <c r="C33" s="1945"/>
      <c r="D33" s="1594"/>
    </row>
    <row r="34" spans="1:4" ht="15.5" hidden="1">
      <c r="A34"/>
      <c r="B34" s="1579" t="s">
        <v>3805</v>
      </c>
      <c r="C34" s="1178"/>
      <c r="D34" s="1178"/>
    </row>
    <row r="35" spans="1:4" ht="15.5" hidden="1">
      <c r="A35"/>
      <c r="B35" s="1579" t="s">
        <v>3806</v>
      </c>
      <c r="C35" s="1178"/>
      <c r="D35" s="1178"/>
    </row>
    <row r="36" spans="1:4" ht="15.5" hidden="1">
      <c r="A36"/>
      <c r="B36" s="1579" t="s">
        <v>3807</v>
      </c>
      <c r="C36" s="1178"/>
      <c r="D36" s="1178"/>
    </row>
    <row r="37" spans="1:4" ht="15.5" hidden="1">
      <c r="A37"/>
      <c r="B37" s="1579" t="s">
        <v>3808</v>
      </c>
      <c r="C37" s="1178"/>
      <c r="D37" s="1178"/>
    </row>
    <row r="38" spans="1:4" ht="15.5" hidden="1">
      <c r="A38"/>
      <c r="B38" s="1579" t="s">
        <v>3809</v>
      </c>
      <c r="C38" s="1178"/>
      <c r="D38" s="1178"/>
    </row>
    <row r="39" spans="1:4" ht="15.5" hidden="1">
      <c r="A39"/>
      <c r="B39" s="1579" t="s">
        <v>3810</v>
      </c>
      <c r="C39" s="1178"/>
      <c r="D39" s="1178"/>
    </row>
    <row r="40" spans="1:4" ht="15.5" hidden="1">
      <c r="A40"/>
      <c r="B40" s="1579" t="s">
        <v>3811</v>
      </c>
      <c r="C40" s="1178"/>
      <c r="D40" s="1178"/>
    </row>
    <row r="41" spans="1:4" hidden="1"/>
  </sheetData>
  <mergeCells count="7">
    <mergeCell ref="B33:C33"/>
    <mergeCell ref="D1:E1"/>
    <mergeCell ref="A3:E3"/>
    <mergeCell ref="A2:E2"/>
    <mergeCell ref="C4:E4"/>
    <mergeCell ref="B29:C29"/>
    <mergeCell ref="B30:E30"/>
  </mergeCells>
  <pageMargins left="0.70866141732283472" right="0.70866141732283472" top="0.39370078740157483" bottom="0.51181102362204722" header="0.31496062992125984" footer="0.31496062992125984"/>
  <pageSetup paperSize="9" scale="81" orientation="landscape" r:id="rId1"/>
  <rowBreaks count="1" manualBreakCount="1">
    <brk id="13" max="4" man="1"/>
  </rowBreaks>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workbookViewId="0">
      <selection activeCell="R10" sqref="R10"/>
    </sheetView>
  </sheetViews>
  <sheetFormatPr defaultRowHeight="15.5"/>
  <cols>
    <col min="1" max="1" width="5.58203125" style="1538" customWidth="1"/>
    <col min="2" max="2" width="23.4140625" style="1539" customWidth="1"/>
    <col min="3" max="3" width="15.58203125" style="1538" customWidth="1"/>
    <col min="4" max="4" width="14.4140625" style="1538" customWidth="1"/>
    <col min="5" max="5" width="11.33203125" style="1538" customWidth="1"/>
    <col min="6" max="6" width="10.08203125" style="731" customWidth="1"/>
    <col min="7" max="7" width="7.4140625" style="731" bestFit="1" customWidth="1"/>
    <col min="8" max="8" width="9.6640625" style="731" customWidth="1"/>
    <col min="9" max="9" width="6.6640625" style="731" customWidth="1"/>
    <col min="10" max="10" width="8.08203125" style="731" customWidth="1"/>
    <col min="11" max="11" width="8.4140625" style="731" customWidth="1"/>
    <col min="12" max="12" width="7.58203125" style="731" customWidth="1"/>
    <col min="13" max="13" width="14.08203125" style="1547" customWidth="1"/>
    <col min="14" max="14" width="9.08203125" style="731"/>
  </cols>
  <sheetData>
    <row r="1" spans="1:14">
      <c r="J1" s="1951" t="s">
        <v>3934</v>
      </c>
      <c r="K1" s="1951"/>
      <c r="L1" s="1951"/>
      <c r="M1" s="1951"/>
      <c r="N1" s="1951"/>
    </row>
    <row r="2" spans="1:14" ht="15.75" customHeight="1">
      <c r="A2" s="1777" t="s">
        <v>3758</v>
      </c>
      <c r="B2" s="1777"/>
      <c r="C2" s="1777"/>
      <c r="D2" s="1777"/>
      <c r="E2" s="1777"/>
      <c r="F2" s="1777"/>
      <c r="G2" s="1777"/>
      <c r="H2" s="1777"/>
      <c r="I2" s="1777"/>
      <c r="J2" s="1777"/>
      <c r="K2" s="1777"/>
      <c r="L2" s="1777"/>
      <c r="M2" s="1777"/>
      <c r="N2" s="1777"/>
    </row>
    <row r="3" spans="1:14">
      <c r="A3" s="1952" t="str">
        <f>'biểu 02 SN '!A3:E3</f>
        <v>(Kèm theo  Nghị quyết số           /NQ- HĐND Ngày      tháng 8 năm 2026 của HĐND xã Nậm Hàng)</v>
      </c>
      <c r="B3" s="1952"/>
      <c r="C3" s="1952"/>
      <c r="D3" s="1952"/>
      <c r="E3" s="1952"/>
      <c r="F3" s="1952"/>
      <c r="G3" s="1952"/>
      <c r="H3" s="1952"/>
      <c r="I3" s="1952"/>
      <c r="J3" s="1952"/>
      <c r="K3" s="1952"/>
      <c r="L3" s="1952"/>
      <c r="M3" s="1952"/>
      <c r="N3" s="1952"/>
    </row>
    <row r="4" spans="1:14">
      <c r="J4" s="1953" t="s">
        <v>3</v>
      </c>
      <c r="K4" s="1953"/>
      <c r="L4" s="1953"/>
      <c r="M4" s="1953"/>
      <c r="N4" s="1953"/>
    </row>
    <row r="5" spans="1:14" ht="39.75" customHeight="1">
      <c r="A5" s="1950" t="s">
        <v>3743</v>
      </c>
      <c r="B5" s="1950" t="s">
        <v>3744</v>
      </c>
      <c r="C5" s="1950" t="s">
        <v>55</v>
      </c>
      <c r="D5" s="1950" t="s">
        <v>3745</v>
      </c>
      <c r="E5" s="1950" t="s">
        <v>3746</v>
      </c>
      <c r="F5" s="1950" t="s">
        <v>3747</v>
      </c>
      <c r="G5" s="1950"/>
      <c r="H5" s="1950"/>
      <c r="I5" s="1950"/>
      <c r="J5" s="1950" t="s">
        <v>3759</v>
      </c>
      <c r="K5" s="1950"/>
      <c r="L5" s="1950"/>
      <c r="M5" s="1697" t="s">
        <v>3749</v>
      </c>
      <c r="N5" s="1954" t="s">
        <v>33</v>
      </c>
    </row>
    <row r="6" spans="1:14" ht="15" customHeight="1">
      <c r="A6" s="1950"/>
      <c r="B6" s="1950"/>
      <c r="C6" s="1950"/>
      <c r="D6" s="1950"/>
      <c r="E6" s="1950"/>
      <c r="F6" s="1950" t="s">
        <v>3750</v>
      </c>
      <c r="G6" s="1950" t="s">
        <v>3751</v>
      </c>
      <c r="H6" s="1950"/>
      <c r="I6" s="1950"/>
      <c r="J6" s="1954" t="s">
        <v>741</v>
      </c>
      <c r="K6" s="1950" t="s">
        <v>2827</v>
      </c>
      <c r="L6" s="1950"/>
      <c r="M6" s="1697"/>
      <c r="N6" s="1954"/>
    </row>
    <row r="7" spans="1:14" ht="39">
      <c r="A7" s="1950"/>
      <c r="B7" s="1950"/>
      <c r="C7" s="1950"/>
      <c r="D7" s="1950"/>
      <c r="E7" s="1950"/>
      <c r="F7" s="1950"/>
      <c r="G7" s="1595" t="s">
        <v>2550</v>
      </c>
      <c r="H7" s="1595" t="s">
        <v>3752</v>
      </c>
      <c r="I7" s="1595" t="s">
        <v>3753</v>
      </c>
      <c r="J7" s="1954"/>
      <c r="K7" s="1595" t="s">
        <v>2550</v>
      </c>
      <c r="L7" s="1595" t="s">
        <v>898</v>
      </c>
      <c r="M7" s="1697"/>
      <c r="N7" s="1954"/>
    </row>
    <row r="8" spans="1:14">
      <c r="A8" s="1540"/>
      <c r="B8" s="1541" t="s">
        <v>6</v>
      </c>
      <c r="C8" s="1542"/>
      <c r="D8" s="1542"/>
      <c r="E8" s="1542"/>
      <c r="F8" s="1521">
        <f>+G8+H8+I8</f>
        <v>16999.5</v>
      </c>
      <c r="G8" s="1521">
        <f>+G9</f>
        <v>15454.5</v>
      </c>
      <c r="H8" s="1521">
        <f>+H9</f>
        <v>1545</v>
      </c>
      <c r="I8" s="1521">
        <f>+I9</f>
        <v>0</v>
      </c>
      <c r="J8" s="1521">
        <f>+J9</f>
        <v>4070</v>
      </c>
      <c r="K8" s="1521"/>
      <c r="L8" s="1521"/>
      <c r="M8" s="1542"/>
      <c r="N8" s="1543"/>
    </row>
    <row r="9" spans="1:14" ht="14">
      <c r="A9" s="1491">
        <v>1</v>
      </c>
      <c r="B9" s="1544" t="s">
        <v>114</v>
      </c>
      <c r="C9" s="1525"/>
      <c r="D9" s="1525"/>
      <c r="E9" s="1491"/>
      <c r="F9" s="1527">
        <f t="shared" ref="F9:I9" si="0">F10</f>
        <v>16999.5</v>
      </c>
      <c r="G9" s="1527">
        <f t="shared" si="0"/>
        <v>15454.5</v>
      </c>
      <c r="H9" s="1527">
        <f t="shared" si="0"/>
        <v>1545</v>
      </c>
      <c r="I9" s="1527">
        <f t="shared" si="0"/>
        <v>0</v>
      </c>
      <c r="J9" s="1527">
        <f>J10</f>
        <v>4070</v>
      </c>
      <c r="K9" s="1527"/>
      <c r="L9" s="1527"/>
      <c r="M9" s="1528"/>
      <c r="N9" s="1545"/>
    </row>
    <row r="10" spans="1:14" ht="99.75" customHeight="1">
      <c r="A10" s="1533">
        <v>1</v>
      </c>
      <c r="B10" s="1534" t="s">
        <v>3754</v>
      </c>
      <c r="C10" s="41" t="s">
        <v>3755</v>
      </c>
      <c r="D10" s="41" t="s">
        <v>3928</v>
      </c>
      <c r="E10" s="775" t="s">
        <v>3756</v>
      </c>
      <c r="F10" s="706">
        <f>SUM(G10:I10)</f>
        <v>16999.5</v>
      </c>
      <c r="G10" s="1654">
        <v>15454.5</v>
      </c>
      <c r="H10" s="1535">
        <f>ROUND(G10*10%,0)</f>
        <v>1545</v>
      </c>
      <c r="I10" s="706"/>
      <c r="J10" s="706">
        <f>+K10+L10</f>
        <v>4070</v>
      </c>
      <c r="K10" s="706">
        <v>3700</v>
      </c>
      <c r="L10" s="706">
        <f>+K10*10%</f>
        <v>370</v>
      </c>
      <c r="M10" s="1536" t="s">
        <v>3737</v>
      </c>
      <c r="N10" s="1546"/>
    </row>
    <row r="12" spans="1:14">
      <c r="J12" s="1548"/>
      <c r="K12" s="1548"/>
      <c r="L12" s="1548"/>
    </row>
    <row r="14" spans="1:14">
      <c r="J14" s="1549"/>
    </row>
  </sheetData>
  <mergeCells count="17">
    <mergeCell ref="J6:J7"/>
    <mergeCell ref="K6:L6"/>
    <mergeCell ref="J1:N1"/>
    <mergeCell ref="A2:N2"/>
    <mergeCell ref="A3:N3"/>
    <mergeCell ref="J4:N4"/>
    <mergeCell ref="A5:A7"/>
    <mergeCell ref="B5:B7"/>
    <mergeCell ref="C5:C7"/>
    <mergeCell ref="D5:D7"/>
    <mergeCell ref="E5:E7"/>
    <mergeCell ref="F5:I5"/>
    <mergeCell ref="J5:L5"/>
    <mergeCell ref="M5:M7"/>
    <mergeCell ref="N5:N7"/>
    <mergeCell ref="F6:F7"/>
    <mergeCell ref="G6:I6"/>
  </mergeCells>
  <pageMargins left="0.7" right="0.7" top="0.75" bottom="0.75" header="0.3" footer="0.3"/>
  <pageSetup paperSize="9" scale="85" orientation="landscape" verticalDpi="0" r:id="rId1"/>
  <drawing r:id="rId2"/>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22"/>
  <sheetViews>
    <sheetView workbookViewId="0">
      <selection sqref="A1:E19"/>
    </sheetView>
  </sheetViews>
  <sheetFormatPr defaultRowHeight="14"/>
  <cols>
    <col min="1" max="1" width="6.4140625" style="1575" customWidth="1"/>
    <col min="2" max="2" width="71.08203125" customWidth="1"/>
    <col min="3" max="3" width="15.33203125" customWidth="1"/>
    <col min="4" max="4" width="18.08203125" customWidth="1"/>
    <col min="5" max="5" width="10.6640625" customWidth="1"/>
    <col min="7" max="7" width="13.33203125" bestFit="1" customWidth="1"/>
  </cols>
  <sheetData>
    <row r="1" spans="1:7">
      <c r="E1" s="1576" t="s">
        <v>3934</v>
      </c>
    </row>
    <row r="2" spans="1:7" ht="51" customHeight="1">
      <c r="A2" s="1671" t="s">
        <v>3793</v>
      </c>
      <c r="B2" s="1671"/>
      <c r="C2" s="1671"/>
      <c r="D2" s="1671"/>
      <c r="E2" s="1671"/>
    </row>
    <row r="3" spans="1:7" ht="15.75" customHeight="1">
      <c r="A3" s="1947" t="str">
        <f>'b 01 KH đt công'!A3:L3</f>
        <v>(Kèm theo  Nghị quyết số           /NQ- HĐND Ngày      tháng 8 năm 2026 của HĐND xã Nậm Hàng)</v>
      </c>
      <c r="B3" s="1947"/>
      <c r="C3" s="1947"/>
      <c r="D3" s="1947"/>
      <c r="E3" s="1947"/>
    </row>
    <row r="4" spans="1:7" ht="15.5">
      <c r="A4" s="1308"/>
      <c r="B4" s="1178"/>
      <c r="C4" s="1939" t="s">
        <v>3</v>
      </c>
      <c r="D4" s="1939"/>
      <c r="E4" s="1939"/>
    </row>
    <row r="5" spans="1:7" ht="29.25" customHeight="1">
      <c r="A5" s="1551" t="s">
        <v>4</v>
      </c>
      <c r="B5" s="1551" t="s">
        <v>3760</v>
      </c>
      <c r="C5" s="1551" t="s">
        <v>3792</v>
      </c>
      <c r="D5" s="1265" t="s">
        <v>3940</v>
      </c>
      <c r="E5" s="1551" t="s">
        <v>33</v>
      </c>
    </row>
    <row r="6" spans="1:7" ht="15.75" customHeight="1">
      <c r="A6" s="1552"/>
      <c r="B6" s="1552" t="s">
        <v>6</v>
      </c>
      <c r="C6" s="1583">
        <f>+C7</f>
        <v>1158</v>
      </c>
      <c r="D6" s="1586"/>
      <c r="E6" s="1553"/>
    </row>
    <row r="7" spans="1:7" ht="15.75" customHeight="1">
      <c r="A7" s="1552" t="s">
        <v>8</v>
      </c>
      <c r="B7" s="1554" t="s">
        <v>3762</v>
      </c>
      <c r="C7" s="1583">
        <f>+C8</f>
        <v>1158</v>
      </c>
      <c r="D7" s="1585"/>
      <c r="E7" s="1553"/>
      <c r="G7">
        <v>1158</v>
      </c>
    </row>
    <row r="8" spans="1:7" ht="15.75" customHeight="1">
      <c r="A8" s="1555" t="s">
        <v>2552</v>
      </c>
      <c r="B8" s="1556" t="s">
        <v>3764</v>
      </c>
      <c r="C8" s="1593">
        <f>+C9+C12+C15</f>
        <v>1158</v>
      </c>
      <c r="D8" s="1557"/>
      <c r="E8" s="1558"/>
      <c r="G8" s="1584">
        <f>C6-G7</f>
        <v>0</v>
      </c>
    </row>
    <row r="9" spans="1:7" ht="43.5" customHeight="1">
      <c r="A9" s="1559">
        <v>1</v>
      </c>
      <c r="B9" s="1560" t="str">
        <f>'[3]Vốn sự nghiệp'!$B$29</f>
        <v>Nội dung thành phần 03: Phát triển kinh tế nông thôn theo hướng sinh thái, hiện đại, tích hợp đa giá trị và đáp ứng nhu cầu thị trường (gồm 10 nội dung cụ thể)</v>
      </c>
      <c r="C9" s="1561">
        <f>C10</f>
        <v>1118</v>
      </c>
      <c r="D9" s="1561"/>
      <c r="E9" s="1562"/>
    </row>
    <row r="10" spans="1:7" ht="112.5" customHeight="1">
      <c r="A10" s="1563" t="s">
        <v>701</v>
      </c>
      <c r="B10" s="1564" t="s">
        <v>3765</v>
      </c>
      <c r="C10" s="1565">
        <f>+C11</f>
        <v>1118</v>
      </c>
      <c r="D10" s="1565"/>
      <c r="E10" s="1562"/>
      <c r="G10">
        <v>1158</v>
      </c>
    </row>
    <row r="11" spans="1:7" ht="35.25" customHeight="1">
      <c r="A11" s="1563"/>
      <c r="B11" s="1564" t="s">
        <v>3941</v>
      </c>
      <c r="C11" s="1565">
        <v>1118</v>
      </c>
      <c r="D11" s="1565" t="s">
        <v>3815</v>
      </c>
      <c r="E11" s="1562"/>
      <c r="G11" s="1587">
        <f>C8-60</f>
        <v>1098</v>
      </c>
    </row>
    <row r="12" spans="1:7" ht="28.5" customHeight="1">
      <c r="A12" s="1563">
        <v>2</v>
      </c>
      <c r="B12" s="1566" t="s">
        <v>3820</v>
      </c>
      <c r="C12" s="1561">
        <f>+C13</f>
        <v>20</v>
      </c>
      <c r="D12" s="1565"/>
      <c r="E12" s="1562"/>
      <c r="G12" s="1587"/>
    </row>
    <row r="13" spans="1:7" ht="48" customHeight="1">
      <c r="A13" s="1563"/>
      <c r="B13" s="1564" t="s">
        <v>3821</v>
      </c>
      <c r="C13" s="1565">
        <f>+C14</f>
        <v>20</v>
      </c>
      <c r="D13" s="1565"/>
      <c r="E13" s="1562"/>
      <c r="G13" s="1587"/>
    </row>
    <row r="14" spans="1:7" ht="28.5" customHeight="1">
      <c r="A14" s="1563"/>
      <c r="B14" s="1657" t="s">
        <v>3933</v>
      </c>
      <c r="C14" s="1565">
        <v>20</v>
      </c>
      <c r="D14" s="1561" t="s">
        <v>3932</v>
      </c>
      <c r="E14" s="1562"/>
      <c r="G14" s="1587">
        <f>1158-58</f>
        <v>1100</v>
      </c>
    </row>
    <row r="15" spans="1:7" ht="57" customHeight="1">
      <c r="A15" s="1559">
        <v>3</v>
      </c>
      <c r="B15" s="1566" t="s">
        <v>3766</v>
      </c>
      <c r="C15" s="1561">
        <f>C16</f>
        <v>20</v>
      </c>
      <c r="D15" s="1561" t="s">
        <v>3823</v>
      </c>
      <c r="E15" s="1562"/>
      <c r="G15" s="1587">
        <f>1*190*310</f>
        <v>58900</v>
      </c>
    </row>
    <row r="16" spans="1:7" ht="105" customHeight="1">
      <c r="A16" s="1563" t="s">
        <v>701</v>
      </c>
      <c r="B16" s="1564" t="s">
        <v>3767</v>
      </c>
      <c r="C16" s="1565">
        <f>+C17+C18+C19</f>
        <v>20</v>
      </c>
      <c r="D16" s="1565"/>
      <c r="E16" s="1562"/>
    </row>
    <row r="17" spans="1:5" ht="28.5" hidden="1" customHeight="1">
      <c r="A17" s="1588"/>
      <c r="B17" s="1591" t="s">
        <v>3829</v>
      </c>
      <c r="C17" s="1592"/>
      <c r="D17" s="1589"/>
      <c r="E17" s="1589"/>
    </row>
    <row r="18" spans="1:5" ht="45" customHeight="1">
      <c r="A18" s="1662" t="s">
        <v>2305</v>
      </c>
      <c r="B18" s="1591" t="s">
        <v>3830</v>
      </c>
      <c r="C18" s="1565">
        <v>5</v>
      </c>
      <c r="D18" s="1589"/>
      <c r="E18" s="1589"/>
    </row>
    <row r="19" spans="1:5" ht="39" customHeight="1">
      <c r="A19" s="1662" t="s">
        <v>2305</v>
      </c>
      <c r="B19" s="1591" t="s">
        <v>3942</v>
      </c>
      <c r="C19" s="1565">
        <v>15</v>
      </c>
      <c r="D19" s="1589"/>
      <c r="E19" s="1589"/>
    </row>
    <row r="20" spans="1:5">
      <c r="A20" s="1590"/>
      <c r="B20" s="1576"/>
      <c r="C20" s="1576"/>
      <c r="D20" s="1576"/>
      <c r="E20" s="1576"/>
    </row>
    <row r="21" spans="1:5">
      <c r="A21" s="1590"/>
      <c r="B21" s="1576"/>
      <c r="C21" s="1576"/>
      <c r="D21" s="1576"/>
      <c r="E21" s="1576"/>
    </row>
    <row r="22" spans="1:5">
      <c r="A22" s="1590"/>
      <c r="B22" s="1576"/>
      <c r="C22" s="1576"/>
      <c r="D22" s="1576"/>
      <c r="E22" s="1576"/>
    </row>
  </sheetData>
  <mergeCells count="3">
    <mergeCell ref="A2:E2"/>
    <mergeCell ref="A3:E3"/>
    <mergeCell ref="C4:E4"/>
  </mergeCells>
  <pageMargins left="0.7" right="0.7" top="0.75" bottom="0.75" header="0.3" footer="0.3"/>
  <pageSetup paperSize="9" scale="70" orientation="portrait" verticalDpi="0"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323"/>
  <sheetViews>
    <sheetView topLeftCell="A88" zoomScaleNormal="100" workbookViewId="0">
      <selection activeCell="C22" sqref="C22"/>
    </sheetView>
  </sheetViews>
  <sheetFormatPr defaultColWidth="9.08203125" defaultRowHeight="13"/>
  <cols>
    <col min="1" max="1" width="5.08203125" style="1075" customWidth="1"/>
    <col min="2" max="2" width="49.9140625" style="1076" customWidth="1"/>
    <col min="3" max="3" width="14" style="1059" customWidth="1"/>
    <col min="4" max="4" width="28.4140625" style="1059" customWidth="1"/>
    <col min="5" max="5" width="11.4140625" style="1059" customWidth="1"/>
    <col min="6" max="6" width="10.33203125" style="1059" customWidth="1"/>
    <col min="7" max="7" width="9.4140625" style="1059" customWidth="1"/>
    <col min="8" max="8" width="8.4140625" style="1059" customWidth="1"/>
    <col min="9" max="9" width="8.08203125" style="1059" customWidth="1"/>
    <col min="10" max="11" width="10.4140625" style="1059" customWidth="1"/>
    <col min="12" max="16384" width="9.08203125" style="1059"/>
  </cols>
  <sheetData>
    <row r="1" spans="1:14" ht="21" customHeight="1">
      <c r="A1" s="1704" t="s">
        <v>3579</v>
      </c>
      <c r="B1" s="1704"/>
      <c r="C1" s="1704"/>
      <c r="D1" s="1704"/>
      <c r="E1" s="1704"/>
      <c r="F1" s="1704"/>
      <c r="G1" s="1704"/>
      <c r="H1" s="1704"/>
      <c r="I1" s="1704"/>
      <c r="J1" s="1704"/>
      <c r="K1" s="1704"/>
    </row>
    <row r="2" spans="1:14" ht="21" customHeight="1">
      <c r="A2" s="1706" t="s">
        <v>3009</v>
      </c>
      <c r="B2" s="1706"/>
      <c r="C2" s="1706"/>
      <c r="D2" s="1706"/>
      <c r="E2" s="1706"/>
      <c r="F2" s="1706"/>
      <c r="G2" s="1706"/>
      <c r="H2" s="1706"/>
      <c r="I2" s="1706"/>
      <c r="J2" s="1706"/>
      <c r="K2" s="1706"/>
    </row>
    <row r="3" spans="1:14" ht="21" customHeight="1">
      <c r="A3" s="1705" t="e">
        <f>'Chi tiết NTM'!A3:K3</f>
        <v>#REF!</v>
      </c>
      <c r="B3" s="1705"/>
      <c r="C3" s="1705"/>
      <c r="D3" s="1705"/>
      <c r="E3" s="1705"/>
      <c r="F3" s="1705"/>
      <c r="G3" s="1705"/>
      <c r="H3" s="1705"/>
      <c r="I3" s="1705"/>
      <c r="J3" s="1705"/>
      <c r="K3" s="1705"/>
    </row>
    <row r="4" spans="1:14" s="1062" customFormat="1" ht="18" customHeight="1">
      <c r="A4" s="1077"/>
      <c r="B4" s="1060"/>
      <c r="C4" s="1061"/>
      <c r="D4" s="1061"/>
      <c r="E4" s="1061"/>
      <c r="F4" s="1061"/>
      <c r="G4" s="1061"/>
      <c r="H4" s="1707" t="s">
        <v>3</v>
      </c>
      <c r="I4" s="1707"/>
      <c r="J4" s="1707"/>
      <c r="K4" s="1707"/>
    </row>
    <row r="5" spans="1:14" s="1062" customFormat="1" ht="21" customHeight="1">
      <c r="A5" s="1702" t="s">
        <v>894</v>
      </c>
      <c r="B5" s="1702" t="s">
        <v>2546</v>
      </c>
      <c r="C5" s="1702" t="s">
        <v>2958</v>
      </c>
      <c r="D5" s="1702" t="s">
        <v>32</v>
      </c>
      <c r="E5" s="1702" t="s">
        <v>2547</v>
      </c>
      <c r="F5" s="1702" t="s">
        <v>2538</v>
      </c>
      <c r="G5" s="1702"/>
      <c r="H5" s="1702"/>
      <c r="I5" s="1702"/>
      <c r="J5" s="1708" t="s">
        <v>2782</v>
      </c>
      <c r="K5" s="1708" t="s">
        <v>33</v>
      </c>
    </row>
    <row r="6" spans="1:14" s="1062" customFormat="1" ht="21" customHeight="1">
      <c r="A6" s="1702"/>
      <c r="B6" s="1702"/>
      <c r="C6" s="1702"/>
      <c r="D6" s="1702"/>
      <c r="E6" s="1702"/>
      <c r="F6" s="1702" t="s">
        <v>6</v>
      </c>
      <c r="G6" s="1702" t="s">
        <v>2548</v>
      </c>
      <c r="H6" s="1702"/>
      <c r="I6" s="1702" t="s">
        <v>2549</v>
      </c>
      <c r="J6" s="1708"/>
      <c r="K6" s="1708"/>
    </row>
    <row r="7" spans="1:14" s="1062" customFormat="1" ht="21" customHeight="1">
      <c r="A7" s="1702"/>
      <c r="B7" s="1702"/>
      <c r="C7" s="1702"/>
      <c r="D7" s="1702"/>
      <c r="E7" s="1702"/>
      <c r="F7" s="1702"/>
      <c r="G7" s="1214" t="s">
        <v>2550</v>
      </c>
      <c r="H7" s="1214" t="s">
        <v>898</v>
      </c>
      <c r="I7" s="1702"/>
      <c r="J7" s="1708"/>
      <c r="K7" s="1708"/>
    </row>
    <row r="8" spans="1:14" s="1062" customFormat="1" ht="18" customHeight="1">
      <c r="A8" s="1128"/>
      <c r="B8" s="1188" t="s">
        <v>7</v>
      </c>
      <c r="C8" s="1188"/>
      <c r="D8" s="1188"/>
      <c r="E8" s="1188"/>
      <c r="F8" s="1447">
        <f>F9+F17+F86+F117+F170+F219+F281+F303</f>
        <v>406155</v>
      </c>
      <c r="G8" s="1447">
        <f>G9+G17+G86+G117+G170+G219+G281+G303</f>
        <v>323320</v>
      </c>
      <c r="H8" s="1447">
        <f>H9+H17+H86+H117+H170+H219+H281+H303</f>
        <v>51227</v>
      </c>
      <c r="I8" s="1447">
        <f>I9+I17+I86+I117+I170+I219+I281+I303</f>
        <v>10396</v>
      </c>
      <c r="J8" s="1447">
        <f>J9+J17+J86+J117+J170+J219+J281+J303</f>
        <v>323320</v>
      </c>
      <c r="K8" s="1129"/>
      <c r="L8" s="1418"/>
      <c r="N8" s="1418"/>
    </row>
    <row r="9" spans="1:14" s="656" customFormat="1" ht="18" customHeight="1">
      <c r="A9" s="1063" t="s">
        <v>8</v>
      </c>
      <c r="B9" s="1189" t="s">
        <v>3010</v>
      </c>
      <c r="C9" s="1190"/>
      <c r="D9" s="1190"/>
      <c r="E9" s="1190"/>
      <c r="F9" s="1448">
        <f>SUM(F10:F16)</f>
        <v>11348</v>
      </c>
      <c r="G9" s="1448">
        <f t="shared" ref="G9:J9" si="0">SUM(G10:G16)</f>
        <v>11348</v>
      </c>
      <c r="H9" s="1448">
        <f t="shared" si="0"/>
        <v>0</v>
      </c>
      <c r="I9" s="1448">
        <f t="shared" si="0"/>
        <v>0</v>
      </c>
      <c r="J9" s="1448">
        <f t="shared" si="0"/>
        <v>11348</v>
      </c>
      <c r="K9" s="1078"/>
    </row>
    <row r="10" spans="1:14" s="656" customFormat="1" ht="18" customHeight="1">
      <c r="A10" s="1065">
        <v>1</v>
      </c>
      <c r="B10" s="1208" t="s">
        <v>3011</v>
      </c>
      <c r="C10" s="1452" t="s">
        <v>3012</v>
      </c>
      <c r="D10" s="1452" t="s">
        <v>3581</v>
      </c>
      <c r="E10" s="1452" t="s">
        <v>118</v>
      </c>
      <c r="F10" s="1449">
        <f>G10+H10+I10</f>
        <v>1800</v>
      </c>
      <c r="G10" s="1449">
        <v>1800</v>
      </c>
      <c r="H10" s="1449"/>
      <c r="I10" s="1449"/>
      <c r="J10" s="1449">
        <v>1800</v>
      </c>
      <c r="K10" s="1078"/>
    </row>
    <row r="11" spans="1:14" s="656" customFormat="1" ht="18" customHeight="1">
      <c r="A11" s="1065">
        <v>2</v>
      </c>
      <c r="B11" s="1208" t="s">
        <v>3013</v>
      </c>
      <c r="C11" s="1452" t="s">
        <v>3012</v>
      </c>
      <c r="D11" s="1452" t="s">
        <v>3582</v>
      </c>
      <c r="E11" s="1452" t="s">
        <v>118</v>
      </c>
      <c r="F11" s="1449">
        <f t="shared" ref="F11:F16" si="1">G11+H11+I11</f>
        <v>1280</v>
      </c>
      <c r="G11" s="1449">
        <v>1280</v>
      </c>
      <c r="H11" s="1449"/>
      <c r="I11" s="1449"/>
      <c r="J11" s="1449">
        <v>1280</v>
      </c>
      <c r="K11" s="1078"/>
    </row>
    <row r="12" spans="1:14" s="656" customFormat="1" ht="18" customHeight="1">
      <c r="A12" s="1065">
        <v>3</v>
      </c>
      <c r="B12" s="1208" t="s">
        <v>3014</v>
      </c>
      <c r="C12" s="1452" t="s">
        <v>3012</v>
      </c>
      <c r="D12" s="1452" t="s">
        <v>3581</v>
      </c>
      <c r="E12" s="1452" t="s">
        <v>118</v>
      </c>
      <c r="F12" s="1449">
        <f t="shared" si="1"/>
        <v>1920</v>
      </c>
      <c r="G12" s="1449">
        <v>1920</v>
      </c>
      <c r="H12" s="1449"/>
      <c r="I12" s="1449"/>
      <c r="J12" s="1449">
        <v>1920</v>
      </c>
      <c r="K12" s="1078"/>
    </row>
    <row r="13" spans="1:14" s="656" customFormat="1" ht="18" customHeight="1">
      <c r="A13" s="1065">
        <v>4</v>
      </c>
      <c r="B13" s="1208" t="s">
        <v>3015</v>
      </c>
      <c r="C13" s="1452" t="s">
        <v>3012</v>
      </c>
      <c r="D13" s="1452" t="s">
        <v>3581</v>
      </c>
      <c r="E13" s="1452" t="s">
        <v>118</v>
      </c>
      <c r="F13" s="1449">
        <f t="shared" si="1"/>
        <v>2748</v>
      </c>
      <c r="G13" s="1449">
        <v>2748</v>
      </c>
      <c r="H13" s="1449"/>
      <c r="I13" s="1449"/>
      <c r="J13" s="1449">
        <v>2748</v>
      </c>
      <c r="K13" s="1078"/>
    </row>
    <row r="14" spans="1:14" s="656" customFormat="1" ht="18" customHeight="1">
      <c r="A14" s="1065">
        <v>5</v>
      </c>
      <c r="B14" s="1208" t="s">
        <v>3016</v>
      </c>
      <c r="C14" s="1452" t="s">
        <v>3012</v>
      </c>
      <c r="D14" s="1452" t="s">
        <v>3583</v>
      </c>
      <c r="E14" s="1452" t="s">
        <v>118</v>
      </c>
      <c r="F14" s="1449">
        <f t="shared" si="1"/>
        <v>600</v>
      </c>
      <c r="G14" s="1449">
        <v>600</v>
      </c>
      <c r="H14" s="1449"/>
      <c r="I14" s="1449"/>
      <c r="J14" s="1449">
        <v>600</v>
      </c>
      <c r="K14" s="1078"/>
    </row>
    <row r="15" spans="1:14" s="656" customFormat="1" ht="18" customHeight="1">
      <c r="A15" s="1065">
        <v>6</v>
      </c>
      <c r="B15" s="1208" t="s">
        <v>3017</v>
      </c>
      <c r="C15" s="1452" t="s">
        <v>3018</v>
      </c>
      <c r="D15" s="1452" t="s">
        <v>3584</v>
      </c>
      <c r="E15" s="1452" t="s">
        <v>118</v>
      </c>
      <c r="F15" s="1449">
        <f t="shared" si="1"/>
        <v>2200</v>
      </c>
      <c r="G15" s="1449">
        <v>2200</v>
      </c>
      <c r="H15" s="1449"/>
      <c r="I15" s="1449"/>
      <c r="J15" s="1449">
        <v>2200</v>
      </c>
      <c r="K15" s="1078"/>
    </row>
    <row r="16" spans="1:14" s="656" customFormat="1" ht="18" customHeight="1">
      <c r="A16" s="1065">
        <v>7</v>
      </c>
      <c r="B16" s="1208" t="s">
        <v>3019</v>
      </c>
      <c r="C16" s="1452" t="s">
        <v>3018</v>
      </c>
      <c r="D16" s="1452" t="s">
        <v>3585</v>
      </c>
      <c r="E16" s="1452" t="s">
        <v>118</v>
      </c>
      <c r="F16" s="1449">
        <f t="shared" si="1"/>
        <v>800</v>
      </c>
      <c r="G16" s="1449">
        <v>800</v>
      </c>
      <c r="H16" s="1449"/>
      <c r="I16" s="1449"/>
      <c r="J16" s="1449">
        <v>800</v>
      </c>
      <c r="K16" s="1078"/>
    </row>
    <row r="17" spans="1:11" s="656" customFormat="1" ht="18" customHeight="1">
      <c r="A17" s="1063" t="s">
        <v>26</v>
      </c>
      <c r="B17" s="1189" t="s">
        <v>2714</v>
      </c>
      <c r="C17" s="1453"/>
      <c r="D17" s="1454"/>
      <c r="E17" s="1454"/>
      <c r="F17" s="1448">
        <f>SUM(F18:F85)</f>
        <v>35947</v>
      </c>
      <c r="G17" s="1448">
        <f t="shared" ref="G17:J17" si="2">SUM(G18:G85)</f>
        <v>32912</v>
      </c>
      <c r="H17" s="1448">
        <f t="shared" si="2"/>
        <v>0</v>
      </c>
      <c r="I17" s="1448">
        <f t="shared" si="2"/>
        <v>3035</v>
      </c>
      <c r="J17" s="1448">
        <f t="shared" si="2"/>
        <v>32912</v>
      </c>
      <c r="K17" s="1078"/>
    </row>
    <row r="18" spans="1:11" s="656" customFormat="1" ht="52">
      <c r="A18" s="1191">
        <v>1</v>
      </c>
      <c r="B18" s="1147" t="s">
        <v>3020</v>
      </c>
      <c r="C18" s="1135" t="s">
        <v>3021</v>
      </c>
      <c r="D18" s="1135" t="s">
        <v>3586</v>
      </c>
      <c r="E18" s="1452" t="s">
        <v>118</v>
      </c>
      <c r="F18" s="1449">
        <f t="shared" ref="F18:F28" si="3">SUM(G18:I18)</f>
        <v>500</v>
      </c>
      <c r="G18" s="1449">
        <v>400</v>
      </c>
      <c r="H18" s="1449"/>
      <c r="I18" s="1449">
        <v>100</v>
      </c>
      <c r="J18" s="1449">
        <v>400</v>
      </c>
      <c r="K18" s="1078"/>
    </row>
    <row r="19" spans="1:11" s="656" customFormat="1" ht="26">
      <c r="A19" s="1191">
        <v>2</v>
      </c>
      <c r="B19" s="1147" t="s">
        <v>3022</v>
      </c>
      <c r="C19" s="1135" t="s">
        <v>3023</v>
      </c>
      <c r="D19" s="1135" t="s">
        <v>3588</v>
      </c>
      <c r="E19" s="1452" t="s">
        <v>118</v>
      </c>
      <c r="F19" s="1449">
        <f t="shared" si="3"/>
        <v>200</v>
      </c>
      <c r="G19" s="1449">
        <v>150</v>
      </c>
      <c r="H19" s="1449"/>
      <c r="I19" s="1449">
        <v>50</v>
      </c>
      <c r="J19" s="1449">
        <v>150</v>
      </c>
      <c r="K19" s="1078"/>
    </row>
    <row r="20" spans="1:11" s="656" customFormat="1" ht="26">
      <c r="A20" s="1191">
        <v>3</v>
      </c>
      <c r="B20" s="1147" t="s">
        <v>3024</v>
      </c>
      <c r="C20" s="1135" t="s">
        <v>3025</v>
      </c>
      <c r="D20" s="1135" t="s">
        <v>3589</v>
      </c>
      <c r="E20" s="1452" t="s">
        <v>118</v>
      </c>
      <c r="F20" s="1449">
        <f t="shared" si="3"/>
        <v>274</v>
      </c>
      <c r="G20" s="1449">
        <v>254</v>
      </c>
      <c r="H20" s="1449"/>
      <c r="I20" s="1449">
        <v>20</v>
      </c>
      <c r="J20" s="1449">
        <v>254</v>
      </c>
      <c r="K20" s="1078"/>
    </row>
    <row r="21" spans="1:11" s="656" customFormat="1" ht="26">
      <c r="A21" s="1191">
        <v>4</v>
      </c>
      <c r="B21" s="1147" t="s">
        <v>3026</v>
      </c>
      <c r="C21" s="1135" t="s">
        <v>3027</v>
      </c>
      <c r="D21" s="1135" t="s">
        <v>3590</v>
      </c>
      <c r="E21" s="1452" t="s">
        <v>118</v>
      </c>
      <c r="F21" s="1449">
        <f t="shared" si="3"/>
        <v>200</v>
      </c>
      <c r="G21" s="1449">
        <v>150</v>
      </c>
      <c r="H21" s="1449"/>
      <c r="I21" s="1449">
        <v>50</v>
      </c>
      <c r="J21" s="1449">
        <v>150</v>
      </c>
      <c r="K21" s="1078"/>
    </row>
    <row r="22" spans="1:11" s="656" customFormat="1" ht="26">
      <c r="A22" s="1191">
        <v>5</v>
      </c>
      <c r="B22" s="1147" t="s">
        <v>3028</v>
      </c>
      <c r="C22" s="1135" t="s">
        <v>3029</v>
      </c>
      <c r="D22" s="1135" t="s">
        <v>3591</v>
      </c>
      <c r="E22" s="1452" t="s">
        <v>118</v>
      </c>
      <c r="F22" s="1449">
        <f t="shared" si="3"/>
        <v>606</v>
      </c>
      <c r="G22" s="1449">
        <v>556</v>
      </c>
      <c r="H22" s="1449"/>
      <c r="I22" s="1449">
        <v>50</v>
      </c>
      <c r="J22" s="1449">
        <v>556</v>
      </c>
      <c r="K22" s="1078"/>
    </row>
    <row r="23" spans="1:11" s="656" customFormat="1" ht="26">
      <c r="A23" s="1191">
        <v>6</v>
      </c>
      <c r="B23" s="1147" t="s">
        <v>3030</v>
      </c>
      <c r="C23" s="1135" t="s">
        <v>3031</v>
      </c>
      <c r="D23" s="1135" t="s">
        <v>3592</v>
      </c>
      <c r="E23" s="1452" t="s">
        <v>118</v>
      </c>
      <c r="F23" s="1449">
        <f t="shared" si="3"/>
        <v>200</v>
      </c>
      <c r="G23" s="1449">
        <v>150</v>
      </c>
      <c r="H23" s="1449"/>
      <c r="I23" s="1449">
        <v>50</v>
      </c>
      <c r="J23" s="1449">
        <v>150</v>
      </c>
      <c r="K23" s="1078"/>
    </row>
    <row r="24" spans="1:11" s="656" customFormat="1" ht="26">
      <c r="A24" s="1191">
        <v>7</v>
      </c>
      <c r="B24" s="1147" t="s">
        <v>3032</v>
      </c>
      <c r="C24" s="1135" t="s">
        <v>3033</v>
      </c>
      <c r="D24" s="1135" t="s">
        <v>3034</v>
      </c>
      <c r="E24" s="1452" t="s">
        <v>118</v>
      </c>
      <c r="F24" s="1449">
        <f t="shared" si="3"/>
        <v>300</v>
      </c>
      <c r="G24" s="1449">
        <v>250</v>
      </c>
      <c r="H24" s="1449"/>
      <c r="I24" s="1449">
        <v>50</v>
      </c>
      <c r="J24" s="1449">
        <v>250</v>
      </c>
      <c r="K24" s="1078"/>
    </row>
    <row r="25" spans="1:11" s="656" customFormat="1" ht="26">
      <c r="A25" s="1191">
        <v>8</v>
      </c>
      <c r="B25" s="1147" t="s">
        <v>3035</v>
      </c>
      <c r="C25" s="1135" t="s">
        <v>3033</v>
      </c>
      <c r="D25" s="1135" t="s">
        <v>3588</v>
      </c>
      <c r="E25" s="1452" t="s">
        <v>118</v>
      </c>
      <c r="F25" s="1449">
        <f t="shared" si="3"/>
        <v>230</v>
      </c>
      <c r="G25" s="1449">
        <v>180</v>
      </c>
      <c r="H25" s="1449"/>
      <c r="I25" s="1449">
        <v>50</v>
      </c>
      <c r="J25" s="1449">
        <v>180</v>
      </c>
      <c r="K25" s="1079"/>
    </row>
    <row r="26" spans="1:11" s="656" customFormat="1" ht="26">
      <c r="A26" s="1191">
        <v>9</v>
      </c>
      <c r="B26" s="1147" t="s">
        <v>3036</v>
      </c>
      <c r="C26" s="1135" t="s">
        <v>3037</v>
      </c>
      <c r="D26" s="1135" t="s">
        <v>3588</v>
      </c>
      <c r="E26" s="1452" t="s">
        <v>118</v>
      </c>
      <c r="F26" s="1449">
        <f t="shared" si="3"/>
        <v>230</v>
      </c>
      <c r="G26" s="1449">
        <v>180</v>
      </c>
      <c r="H26" s="1449"/>
      <c r="I26" s="1449">
        <v>50</v>
      </c>
      <c r="J26" s="1449">
        <v>180</v>
      </c>
      <c r="K26" s="1079"/>
    </row>
    <row r="27" spans="1:11" s="656" customFormat="1" ht="26">
      <c r="A27" s="1191">
        <v>10</v>
      </c>
      <c r="B27" s="1147" t="s">
        <v>3038</v>
      </c>
      <c r="C27" s="1135" t="s">
        <v>3039</v>
      </c>
      <c r="D27" s="1135" t="s">
        <v>3593</v>
      </c>
      <c r="E27" s="1452" t="s">
        <v>118</v>
      </c>
      <c r="F27" s="1449">
        <f t="shared" si="3"/>
        <v>650</v>
      </c>
      <c r="G27" s="1449">
        <v>500</v>
      </c>
      <c r="H27" s="1449"/>
      <c r="I27" s="1449">
        <v>150</v>
      </c>
      <c r="J27" s="1449">
        <v>500</v>
      </c>
      <c r="K27" s="1079"/>
    </row>
    <row r="28" spans="1:11" s="812" customFormat="1" ht="26">
      <c r="A28" s="1191">
        <v>11</v>
      </c>
      <c r="B28" s="1147" t="s">
        <v>3040</v>
      </c>
      <c r="C28" s="1135" t="s">
        <v>3037</v>
      </c>
      <c r="D28" s="1135" t="s">
        <v>3594</v>
      </c>
      <c r="E28" s="1452" t="s">
        <v>118</v>
      </c>
      <c r="F28" s="1449">
        <f t="shared" si="3"/>
        <v>350</v>
      </c>
      <c r="G28" s="1449">
        <v>250</v>
      </c>
      <c r="H28" s="1449"/>
      <c r="I28" s="1449">
        <v>100</v>
      </c>
      <c r="J28" s="1449">
        <v>250</v>
      </c>
      <c r="K28" s="1450"/>
    </row>
    <row r="29" spans="1:11" s="656" customFormat="1" ht="26">
      <c r="A29" s="1191">
        <v>12</v>
      </c>
      <c r="B29" s="1147" t="s">
        <v>3041</v>
      </c>
      <c r="C29" s="1135" t="s">
        <v>3042</v>
      </c>
      <c r="D29" s="1135" t="s">
        <v>3043</v>
      </c>
      <c r="E29" s="1452" t="s">
        <v>118</v>
      </c>
      <c r="F29" s="1449">
        <v>819</v>
      </c>
      <c r="G29" s="1449">
        <v>804</v>
      </c>
      <c r="H29" s="1449"/>
      <c r="I29" s="1449">
        <v>15</v>
      </c>
      <c r="J29" s="1449">
        <v>804</v>
      </c>
      <c r="K29" s="1079"/>
    </row>
    <row r="30" spans="1:11" s="656" customFormat="1" ht="26">
      <c r="A30" s="1191">
        <v>13</v>
      </c>
      <c r="B30" s="1147" t="s">
        <v>3044</v>
      </c>
      <c r="C30" s="1135" t="s">
        <v>3045</v>
      </c>
      <c r="D30" s="1135" t="s">
        <v>3046</v>
      </c>
      <c r="E30" s="1452" t="s">
        <v>118</v>
      </c>
      <c r="F30" s="1449">
        <v>645</v>
      </c>
      <c r="G30" s="1449">
        <v>620</v>
      </c>
      <c r="H30" s="1449"/>
      <c r="I30" s="1449">
        <v>25</v>
      </c>
      <c r="J30" s="1449">
        <v>620</v>
      </c>
      <c r="K30" s="1079"/>
    </row>
    <row r="31" spans="1:11" s="656" customFormat="1" ht="26">
      <c r="A31" s="1191">
        <v>14</v>
      </c>
      <c r="B31" s="1147" t="s">
        <v>3047</v>
      </c>
      <c r="C31" s="1135" t="s">
        <v>3048</v>
      </c>
      <c r="D31" s="1135" t="s">
        <v>3595</v>
      </c>
      <c r="E31" s="1452" t="s">
        <v>118</v>
      </c>
      <c r="F31" s="1449">
        <v>550</v>
      </c>
      <c r="G31" s="1449">
        <v>530</v>
      </c>
      <c r="H31" s="1449"/>
      <c r="I31" s="1449">
        <v>20</v>
      </c>
      <c r="J31" s="1449">
        <v>530</v>
      </c>
      <c r="K31" s="1079"/>
    </row>
    <row r="32" spans="1:11" s="656" customFormat="1" ht="26">
      <c r="A32" s="1191">
        <v>15</v>
      </c>
      <c r="B32" s="1147" t="s">
        <v>3049</v>
      </c>
      <c r="C32" s="1135" t="s">
        <v>3048</v>
      </c>
      <c r="D32" s="1135" t="s">
        <v>3050</v>
      </c>
      <c r="E32" s="1452" t="s">
        <v>118</v>
      </c>
      <c r="F32" s="1449">
        <v>335</v>
      </c>
      <c r="G32" s="1449">
        <v>320</v>
      </c>
      <c r="H32" s="1449"/>
      <c r="I32" s="1449">
        <v>15</v>
      </c>
      <c r="J32" s="1449">
        <v>320</v>
      </c>
      <c r="K32" s="1078"/>
    </row>
    <row r="33" spans="1:11" s="656" customFormat="1" ht="26">
      <c r="A33" s="1191">
        <v>16</v>
      </c>
      <c r="B33" s="1147" t="s">
        <v>3051</v>
      </c>
      <c r="C33" s="1135" t="s">
        <v>3052</v>
      </c>
      <c r="D33" s="1135" t="s">
        <v>3053</v>
      </c>
      <c r="E33" s="1452" t="s">
        <v>118</v>
      </c>
      <c r="F33" s="1449">
        <v>240</v>
      </c>
      <c r="G33" s="1449">
        <v>220</v>
      </c>
      <c r="H33" s="1449"/>
      <c r="I33" s="1449">
        <v>20</v>
      </c>
      <c r="J33" s="1449">
        <v>220</v>
      </c>
      <c r="K33" s="1078"/>
    </row>
    <row r="34" spans="1:11" s="656" customFormat="1" ht="39">
      <c r="A34" s="1191">
        <v>17</v>
      </c>
      <c r="B34" s="1147" t="s">
        <v>2759</v>
      </c>
      <c r="C34" s="1135" t="s">
        <v>3054</v>
      </c>
      <c r="D34" s="1135" t="s">
        <v>3055</v>
      </c>
      <c r="E34" s="1452" t="s">
        <v>118</v>
      </c>
      <c r="F34" s="1449">
        <v>546</v>
      </c>
      <c r="G34" s="1449">
        <v>526</v>
      </c>
      <c r="H34" s="1449"/>
      <c r="I34" s="1449">
        <v>20</v>
      </c>
      <c r="J34" s="1449">
        <v>526</v>
      </c>
      <c r="K34" s="1079"/>
    </row>
    <row r="35" spans="1:11" s="656" customFormat="1">
      <c r="A35" s="1191">
        <v>18</v>
      </c>
      <c r="B35" s="1147" t="s">
        <v>3056</v>
      </c>
      <c r="C35" s="1135" t="s">
        <v>459</v>
      </c>
      <c r="D35" s="1135" t="s">
        <v>3596</v>
      </c>
      <c r="E35" s="1452" t="s">
        <v>118</v>
      </c>
      <c r="F35" s="1449">
        <v>804</v>
      </c>
      <c r="G35" s="1449">
        <v>804</v>
      </c>
      <c r="H35" s="1449"/>
      <c r="I35" s="1449"/>
      <c r="J35" s="1449">
        <v>804</v>
      </c>
      <c r="K35" s="1079"/>
    </row>
    <row r="36" spans="1:11" s="656" customFormat="1">
      <c r="A36" s="1191">
        <v>19</v>
      </c>
      <c r="B36" s="1147" t="s">
        <v>3057</v>
      </c>
      <c r="C36" s="1135" t="s">
        <v>459</v>
      </c>
      <c r="D36" s="1135" t="s">
        <v>3058</v>
      </c>
      <c r="E36" s="1452" t="s">
        <v>118</v>
      </c>
      <c r="F36" s="1449">
        <v>300</v>
      </c>
      <c r="G36" s="1449">
        <v>150</v>
      </c>
      <c r="H36" s="1449"/>
      <c r="I36" s="1449">
        <v>150</v>
      </c>
      <c r="J36" s="1449">
        <v>150</v>
      </c>
      <c r="K36" s="1079"/>
    </row>
    <row r="37" spans="1:11" s="812" customFormat="1" ht="13.5">
      <c r="A37" s="1191">
        <v>20</v>
      </c>
      <c r="B37" s="1147" t="s">
        <v>3059</v>
      </c>
      <c r="C37" s="1135" t="s">
        <v>459</v>
      </c>
      <c r="D37" s="1135" t="s">
        <v>3597</v>
      </c>
      <c r="E37" s="1452" t="s">
        <v>118</v>
      </c>
      <c r="F37" s="1449">
        <v>2066</v>
      </c>
      <c r="G37" s="1449">
        <v>2066</v>
      </c>
      <c r="H37" s="1449"/>
      <c r="I37" s="1449"/>
      <c r="J37" s="1449">
        <v>2066</v>
      </c>
      <c r="K37" s="1450"/>
    </row>
    <row r="38" spans="1:11" s="656" customFormat="1" ht="26">
      <c r="A38" s="1191">
        <v>21</v>
      </c>
      <c r="B38" s="1147" t="s">
        <v>3060</v>
      </c>
      <c r="C38" s="1455" t="s">
        <v>3061</v>
      </c>
      <c r="D38" s="1456" t="s">
        <v>3598</v>
      </c>
      <c r="E38" s="1452" t="s">
        <v>118</v>
      </c>
      <c r="F38" s="1457">
        <f>404+1100</f>
        <v>1504</v>
      </c>
      <c r="G38" s="1457">
        <v>1504</v>
      </c>
      <c r="H38" s="1457"/>
      <c r="I38" s="1457"/>
      <c r="J38" s="1457">
        <v>1504</v>
      </c>
      <c r="K38" s="1079"/>
    </row>
    <row r="39" spans="1:11" s="656" customFormat="1" ht="26">
      <c r="A39" s="1191">
        <v>22</v>
      </c>
      <c r="B39" s="1147" t="s">
        <v>3062</v>
      </c>
      <c r="C39" s="1455" t="s">
        <v>3063</v>
      </c>
      <c r="D39" s="1456" t="s">
        <v>3599</v>
      </c>
      <c r="E39" s="1452" t="s">
        <v>118</v>
      </c>
      <c r="F39" s="1457">
        <f>400+1316</f>
        <v>1716</v>
      </c>
      <c r="G39" s="1457">
        <f>400+1116</f>
        <v>1516</v>
      </c>
      <c r="H39" s="1457"/>
      <c r="I39" s="1457">
        <v>200</v>
      </c>
      <c r="J39" s="1457">
        <f>400+1116</f>
        <v>1516</v>
      </c>
      <c r="K39" s="1079"/>
    </row>
    <row r="40" spans="1:11" s="656" customFormat="1" ht="26">
      <c r="A40" s="1191">
        <v>23</v>
      </c>
      <c r="B40" s="1147" t="s">
        <v>3064</v>
      </c>
      <c r="C40" s="1135" t="s">
        <v>3065</v>
      </c>
      <c r="D40" s="1135" t="s">
        <v>3600</v>
      </c>
      <c r="E40" s="1452" t="s">
        <v>118</v>
      </c>
      <c r="F40" s="1449">
        <v>300</v>
      </c>
      <c r="G40" s="1449">
        <v>250</v>
      </c>
      <c r="H40" s="1449"/>
      <c r="I40" s="1449">
        <v>50</v>
      </c>
      <c r="J40" s="1449">
        <v>250</v>
      </c>
      <c r="K40" s="1079"/>
    </row>
    <row r="41" spans="1:11" s="656" customFormat="1" ht="26">
      <c r="A41" s="1191">
        <v>24</v>
      </c>
      <c r="B41" s="1147" t="s">
        <v>3066</v>
      </c>
      <c r="C41" s="1135" t="s">
        <v>3067</v>
      </c>
      <c r="D41" s="1135" t="s">
        <v>3600</v>
      </c>
      <c r="E41" s="1452" t="s">
        <v>118</v>
      </c>
      <c r="F41" s="1449">
        <v>300</v>
      </c>
      <c r="G41" s="1449">
        <v>250</v>
      </c>
      <c r="H41" s="1449"/>
      <c r="I41" s="1449">
        <v>50</v>
      </c>
      <c r="J41" s="1449">
        <v>250</v>
      </c>
      <c r="K41" s="1079"/>
    </row>
    <row r="42" spans="1:11" s="656" customFormat="1" ht="26">
      <c r="A42" s="1191">
        <v>25</v>
      </c>
      <c r="B42" s="1147" t="s">
        <v>3068</v>
      </c>
      <c r="C42" s="1135" t="s">
        <v>3069</v>
      </c>
      <c r="D42" s="1135" t="s">
        <v>3600</v>
      </c>
      <c r="E42" s="1452" t="s">
        <v>118</v>
      </c>
      <c r="F42" s="1449">
        <v>300</v>
      </c>
      <c r="G42" s="1449">
        <v>250</v>
      </c>
      <c r="H42" s="1449"/>
      <c r="I42" s="1449">
        <v>50</v>
      </c>
      <c r="J42" s="1449">
        <v>250</v>
      </c>
      <c r="K42" s="1079"/>
    </row>
    <row r="43" spans="1:11" s="656" customFormat="1" ht="26">
      <c r="A43" s="1191">
        <v>26</v>
      </c>
      <c r="B43" s="1147" t="s">
        <v>3070</v>
      </c>
      <c r="C43" s="1135" t="s">
        <v>3071</v>
      </c>
      <c r="D43" s="1135" t="s">
        <v>3600</v>
      </c>
      <c r="E43" s="1452" t="s">
        <v>118</v>
      </c>
      <c r="F43" s="1449">
        <v>300</v>
      </c>
      <c r="G43" s="1449">
        <v>250</v>
      </c>
      <c r="H43" s="1449"/>
      <c r="I43" s="1449">
        <v>50</v>
      </c>
      <c r="J43" s="1449">
        <v>250</v>
      </c>
      <c r="K43" s="1079"/>
    </row>
    <row r="44" spans="1:11" s="656" customFormat="1" ht="26">
      <c r="A44" s="1191">
        <v>27</v>
      </c>
      <c r="B44" s="1147" t="s">
        <v>3072</v>
      </c>
      <c r="C44" s="1135" t="s">
        <v>3073</v>
      </c>
      <c r="D44" s="1135" t="s">
        <v>3600</v>
      </c>
      <c r="E44" s="1452" t="s">
        <v>118</v>
      </c>
      <c r="F44" s="1449">
        <v>300</v>
      </c>
      <c r="G44" s="1449">
        <v>250</v>
      </c>
      <c r="H44" s="1449"/>
      <c r="I44" s="1449">
        <v>50</v>
      </c>
      <c r="J44" s="1449">
        <v>250</v>
      </c>
      <c r="K44" s="1079"/>
    </row>
    <row r="45" spans="1:11" s="656" customFormat="1" ht="26">
      <c r="A45" s="1191">
        <v>28</v>
      </c>
      <c r="B45" s="1147" t="s">
        <v>3074</v>
      </c>
      <c r="C45" s="1135" t="s">
        <v>3075</v>
      </c>
      <c r="D45" s="1135" t="s">
        <v>3601</v>
      </c>
      <c r="E45" s="1452" t="s">
        <v>118</v>
      </c>
      <c r="F45" s="1449">
        <v>130</v>
      </c>
      <c r="G45" s="1449">
        <v>100</v>
      </c>
      <c r="H45" s="1449"/>
      <c r="I45" s="1449">
        <v>30</v>
      </c>
      <c r="J45" s="1449">
        <v>100</v>
      </c>
      <c r="K45" s="1079"/>
    </row>
    <row r="46" spans="1:11" s="1072" customFormat="1" ht="26">
      <c r="A46" s="1191">
        <v>29</v>
      </c>
      <c r="B46" s="1147" t="s">
        <v>3076</v>
      </c>
      <c r="C46" s="1135" t="s">
        <v>3077</v>
      </c>
      <c r="D46" s="1135" t="s">
        <v>3601</v>
      </c>
      <c r="E46" s="1452" t="s">
        <v>118</v>
      </c>
      <c r="F46" s="1449">
        <v>130</v>
      </c>
      <c r="G46" s="1449">
        <v>100</v>
      </c>
      <c r="H46" s="1449"/>
      <c r="I46" s="1449">
        <v>30</v>
      </c>
      <c r="J46" s="1449">
        <v>100</v>
      </c>
      <c r="K46" s="1458"/>
    </row>
    <row r="47" spans="1:11" s="1072" customFormat="1" ht="26">
      <c r="A47" s="1191">
        <v>30</v>
      </c>
      <c r="B47" s="1147" t="s">
        <v>3078</v>
      </c>
      <c r="C47" s="1135" t="s">
        <v>3073</v>
      </c>
      <c r="D47" s="1135" t="s">
        <v>3602</v>
      </c>
      <c r="E47" s="1452" t="s">
        <v>118</v>
      </c>
      <c r="F47" s="1449">
        <v>336</v>
      </c>
      <c r="G47" s="1449">
        <v>286</v>
      </c>
      <c r="H47" s="1449"/>
      <c r="I47" s="1449">
        <v>50</v>
      </c>
      <c r="J47" s="1449">
        <v>286</v>
      </c>
      <c r="K47" s="1458"/>
    </row>
    <row r="48" spans="1:11" s="1072" customFormat="1" ht="39">
      <c r="A48" s="1191">
        <v>31</v>
      </c>
      <c r="B48" s="1147" t="s">
        <v>3079</v>
      </c>
      <c r="C48" s="1455" t="s">
        <v>3080</v>
      </c>
      <c r="D48" s="1135" t="s">
        <v>3603</v>
      </c>
      <c r="E48" s="1452" t="s">
        <v>118</v>
      </c>
      <c r="F48" s="1457">
        <v>856</v>
      </c>
      <c r="G48" s="1457">
        <v>806</v>
      </c>
      <c r="H48" s="1457"/>
      <c r="I48" s="1457">
        <v>50</v>
      </c>
      <c r="J48" s="1457">
        <v>806</v>
      </c>
      <c r="K48" s="1458"/>
    </row>
    <row r="49" spans="1:11" s="1072" customFormat="1" ht="26">
      <c r="A49" s="1191">
        <v>32</v>
      </c>
      <c r="B49" s="1147" t="s">
        <v>3081</v>
      </c>
      <c r="C49" s="1455" t="s">
        <v>2753</v>
      </c>
      <c r="D49" s="1135" t="s">
        <v>3601</v>
      </c>
      <c r="E49" s="1452" t="s">
        <v>118</v>
      </c>
      <c r="F49" s="1457">
        <v>180</v>
      </c>
      <c r="G49" s="1457">
        <v>150</v>
      </c>
      <c r="H49" s="1457"/>
      <c r="I49" s="1457">
        <v>30</v>
      </c>
      <c r="J49" s="1457">
        <v>150</v>
      </c>
      <c r="K49" s="1458"/>
    </row>
    <row r="50" spans="1:11" s="1072" customFormat="1" ht="26">
      <c r="A50" s="1191">
        <v>33</v>
      </c>
      <c r="B50" s="1147" t="s">
        <v>3082</v>
      </c>
      <c r="C50" s="1455" t="s">
        <v>2753</v>
      </c>
      <c r="D50" s="1135" t="s">
        <v>3604</v>
      </c>
      <c r="E50" s="1452" t="s">
        <v>118</v>
      </c>
      <c r="F50" s="1457">
        <v>230</v>
      </c>
      <c r="G50" s="1457">
        <v>180</v>
      </c>
      <c r="H50" s="1457"/>
      <c r="I50" s="1457">
        <v>50</v>
      </c>
      <c r="J50" s="1457">
        <v>180</v>
      </c>
      <c r="K50" s="1458"/>
    </row>
    <row r="51" spans="1:11" s="1072" customFormat="1" ht="26">
      <c r="A51" s="1191">
        <v>34</v>
      </c>
      <c r="B51" s="1147" t="s">
        <v>3083</v>
      </c>
      <c r="C51" s="1455" t="s">
        <v>2753</v>
      </c>
      <c r="D51" s="1135" t="s">
        <v>3084</v>
      </c>
      <c r="E51" s="1452" t="s">
        <v>118</v>
      </c>
      <c r="F51" s="1457">
        <v>250</v>
      </c>
      <c r="G51" s="1457">
        <v>150</v>
      </c>
      <c r="H51" s="1457"/>
      <c r="I51" s="1457">
        <v>100</v>
      </c>
      <c r="J51" s="1457">
        <v>150</v>
      </c>
      <c r="K51" s="1458"/>
    </row>
    <row r="52" spans="1:11" s="1072" customFormat="1" ht="26">
      <c r="A52" s="1191">
        <v>35</v>
      </c>
      <c r="B52" s="1147" t="s">
        <v>3085</v>
      </c>
      <c r="C52" s="1455" t="s">
        <v>2753</v>
      </c>
      <c r="D52" s="1135" t="s">
        <v>3601</v>
      </c>
      <c r="E52" s="1452" t="s">
        <v>118</v>
      </c>
      <c r="F52" s="1457">
        <v>450</v>
      </c>
      <c r="G52" s="1457">
        <v>450</v>
      </c>
      <c r="H52" s="1457"/>
      <c r="I52" s="1457">
        <v>0</v>
      </c>
      <c r="J52" s="1457">
        <v>450</v>
      </c>
      <c r="K52" s="1458"/>
    </row>
    <row r="53" spans="1:11" s="1072" customFormat="1" ht="26">
      <c r="A53" s="1191">
        <v>36</v>
      </c>
      <c r="B53" s="1147" t="s">
        <v>3086</v>
      </c>
      <c r="C53" s="1455" t="s">
        <v>3087</v>
      </c>
      <c r="D53" s="1456" t="s">
        <v>3088</v>
      </c>
      <c r="E53" s="1452" t="s">
        <v>118</v>
      </c>
      <c r="F53" s="1457">
        <v>500</v>
      </c>
      <c r="G53" s="1457">
        <v>400</v>
      </c>
      <c r="H53" s="1457"/>
      <c r="I53" s="1457">
        <v>100</v>
      </c>
      <c r="J53" s="1457">
        <v>400</v>
      </c>
      <c r="K53" s="1458"/>
    </row>
    <row r="54" spans="1:11" s="1072" customFormat="1" ht="26">
      <c r="A54" s="1191">
        <v>37</v>
      </c>
      <c r="B54" s="1147" t="s">
        <v>3089</v>
      </c>
      <c r="C54" s="1455" t="s">
        <v>3090</v>
      </c>
      <c r="D54" s="1135" t="s">
        <v>3605</v>
      </c>
      <c r="E54" s="1452" t="s">
        <v>118</v>
      </c>
      <c r="F54" s="1457">
        <v>1336</v>
      </c>
      <c r="G54" s="1457">
        <v>1336</v>
      </c>
      <c r="H54" s="1457"/>
      <c r="I54" s="1457"/>
      <c r="J54" s="1457">
        <v>1336</v>
      </c>
      <c r="K54" s="1458"/>
    </row>
    <row r="55" spans="1:11" s="1072" customFormat="1" ht="26">
      <c r="A55" s="1191">
        <v>38</v>
      </c>
      <c r="B55" s="1147" t="s">
        <v>3091</v>
      </c>
      <c r="C55" s="1455" t="s">
        <v>3092</v>
      </c>
      <c r="D55" s="1135" t="s">
        <v>3602</v>
      </c>
      <c r="E55" s="1452" t="s">
        <v>118</v>
      </c>
      <c r="F55" s="1457">
        <v>1386</v>
      </c>
      <c r="G55" s="1457">
        <v>1336</v>
      </c>
      <c r="H55" s="1457"/>
      <c r="I55" s="1457">
        <v>50</v>
      </c>
      <c r="J55" s="1457">
        <v>1336</v>
      </c>
      <c r="K55" s="1458"/>
    </row>
    <row r="56" spans="1:11" s="1072" customFormat="1" ht="26">
      <c r="A56" s="1191">
        <v>39</v>
      </c>
      <c r="B56" s="1147" t="s">
        <v>3093</v>
      </c>
      <c r="C56" s="1455" t="s">
        <v>3094</v>
      </c>
      <c r="D56" s="1135" t="s">
        <v>3601</v>
      </c>
      <c r="E56" s="1452" t="s">
        <v>118</v>
      </c>
      <c r="F56" s="1457">
        <v>100</v>
      </c>
      <c r="G56" s="1457">
        <v>100</v>
      </c>
      <c r="H56" s="1457"/>
      <c r="I56" s="1457"/>
      <c r="J56" s="1457">
        <v>100</v>
      </c>
      <c r="K56" s="1458"/>
    </row>
    <row r="57" spans="1:11" s="1072" customFormat="1" ht="26">
      <c r="A57" s="1191">
        <v>40</v>
      </c>
      <c r="B57" s="1147" t="s">
        <v>3095</v>
      </c>
      <c r="C57" s="1455" t="s">
        <v>3096</v>
      </c>
      <c r="D57" s="1135" t="s">
        <v>3601</v>
      </c>
      <c r="E57" s="1452" t="s">
        <v>118</v>
      </c>
      <c r="F57" s="1457">
        <v>100</v>
      </c>
      <c r="G57" s="1457">
        <v>100</v>
      </c>
      <c r="H57" s="1457"/>
      <c r="I57" s="1457"/>
      <c r="J57" s="1457">
        <v>100</v>
      </c>
      <c r="K57" s="1458"/>
    </row>
    <row r="58" spans="1:11" s="1072" customFormat="1" ht="26">
      <c r="A58" s="1191">
        <v>41</v>
      </c>
      <c r="B58" s="1147" t="s">
        <v>3097</v>
      </c>
      <c r="C58" s="1455" t="s">
        <v>3098</v>
      </c>
      <c r="D58" s="1459" t="s">
        <v>3606</v>
      </c>
      <c r="E58" s="1452" t="s">
        <v>118</v>
      </c>
      <c r="F58" s="1457">
        <v>230</v>
      </c>
      <c r="G58" s="1457">
        <v>200</v>
      </c>
      <c r="H58" s="1457"/>
      <c r="I58" s="1457">
        <v>30</v>
      </c>
      <c r="J58" s="1457">
        <v>200</v>
      </c>
      <c r="K58" s="1458"/>
    </row>
    <row r="59" spans="1:11" s="1072" customFormat="1" ht="26">
      <c r="A59" s="1191">
        <v>42</v>
      </c>
      <c r="B59" s="1147" t="s">
        <v>3099</v>
      </c>
      <c r="C59" s="1455" t="s">
        <v>286</v>
      </c>
      <c r="D59" s="1135" t="s">
        <v>3607</v>
      </c>
      <c r="E59" s="1452" t="s">
        <v>118</v>
      </c>
      <c r="F59" s="1457">
        <v>1736</v>
      </c>
      <c r="G59" s="1457">
        <v>1736</v>
      </c>
      <c r="H59" s="1457"/>
      <c r="I59" s="1457">
        <v>0</v>
      </c>
      <c r="J59" s="1457">
        <v>1736</v>
      </c>
      <c r="K59" s="1458"/>
    </row>
    <row r="60" spans="1:11" s="1072" customFormat="1" ht="39">
      <c r="A60" s="1191">
        <v>43</v>
      </c>
      <c r="B60" s="1147" t="s">
        <v>3100</v>
      </c>
      <c r="C60" s="1455" t="s">
        <v>283</v>
      </c>
      <c r="D60" s="1456" t="s">
        <v>3608</v>
      </c>
      <c r="E60" s="1452" t="s">
        <v>118</v>
      </c>
      <c r="F60" s="1457">
        <v>1736</v>
      </c>
      <c r="G60" s="1457">
        <v>1736</v>
      </c>
      <c r="H60" s="1457"/>
      <c r="I60" s="1457">
        <v>0</v>
      </c>
      <c r="J60" s="1457">
        <v>1736</v>
      </c>
      <c r="K60" s="1458"/>
    </row>
    <row r="61" spans="1:11" s="1072" customFormat="1" ht="26">
      <c r="A61" s="1191">
        <v>44</v>
      </c>
      <c r="B61" s="1147" t="s">
        <v>3101</v>
      </c>
      <c r="C61" s="1455" t="s">
        <v>3102</v>
      </c>
      <c r="D61" s="1135" t="s">
        <v>3103</v>
      </c>
      <c r="E61" s="1452" t="s">
        <v>118</v>
      </c>
      <c r="F61" s="1457">
        <f t="shared" ref="F61:F63" si="4">G61+I61+H61</f>
        <v>350</v>
      </c>
      <c r="G61" s="1457">
        <v>300</v>
      </c>
      <c r="H61" s="1457"/>
      <c r="I61" s="1457">
        <v>50</v>
      </c>
      <c r="J61" s="1457">
        <v>300</v>
      </c>
      <c r="K61" s="1458"/>
    </row>
    <row r="62" spans="1:11" s="1072" customFormat="1">
      <c r="A62" s="1191">
        <v>45</v>
      </c>
      <c r="B62" s="1147" t="s">
        <v>3104</v>
      </c>
      <c r="C62" s="1455" t="s">
        <v>302</v>
      </c>
      <c r="D62" s="1135" t="s">
        <v>3103</v>
      </c>
      <c r="E62" s="1452" t="s">
        <v>118</v>
      </c>
      <c r="F62" s="1457">
        <f t="shared" si="4"/>
        <v>350</v>
      </c>
      <c r="G62" s="1457">
        <v>300</v>
      </c>
      <c r="H62" s="1457"/>
      <c r="I62" s="1457">
        <v>50</v>
      </c>
      <c r="J62" s="1457">
        <v>300</v>
      </c>
      <c r="K62" s="1458"/>
    </row>
    <row r="63" spans="1:11" s="1072" customFormat="1" ht="26">
      <c r="A63" s="1191">
        <v>46</v>
      </c>
      <c r="B63" s="1147" t="s">
        <v>3105</v>
      </c>
      <c r="C63" s="1455" t="s">
        <v>302</v>
      </c>
      <c r="D63" s="1456" t="s">
        <v>3609</v>
      </c>
      <c r="E63" s="1452" t="s">
        <v>118</v>
      </c>
      <c r="F63" s="1457">
        <f t="shared" si="4"/>
        <v>400</v>
      </c>
      <c r="G63" s="1457">
        <v>350</v>
      </c>
      <c r="H63" s="1457"/>
      <c r="I63" s="1457">
        <v>50</v>
      </c>
      <c r="J63" s="1457">
        <v>350</v>
      </c>
      <c r="K63" s="1458"/>
    </row>
    <row r="64" spans="1:11" s="1072" customFormat="1">
      <c r="A64" s="1191">
        <v>47</v>
      </c>
      <c r="B64" s="1147" t="s">
        <v>3106</v>
      </c>
      <c r="C64" s="1455" t="s">
        <v>302</v>
      </c>
      <c r="D64" s="1456" t="s">
        <v>3610</v>
      </c>
      <c r="E64" s="1452" t="s">
        <v>118</v>
      </c>
      <c r="F64" s="1457">
        <f>G64+I64+H64</f>
        <v>786</v>
      </c>
      <c r="G64" s="1457">
        <v>786</v>
      </c>
      <c r="H64" s="1457"/>
      <c r="I64" s="1457"/>
      <c r="J64" s="1457">
        <v>786</v>
      </c>
      <c r="K64" s="1458"/>
    </row>
    <row r="65" spans="1:11" s="1072" customFormat="1" ht="26">
      <c r="A65" s="1191">
        <v>48</v>
      </c>
      <c r="B65" s="1147" t="s">
        <v>3107</v>
      </c>
      <c r="C65" s="1455" t="s">
        <v>3108</v>
      </c>
      <c r="D65" s="1135" t="s">
        <v>3611</v>
      </c>
      <c r="E65" s="1452" t="s">
        <v>118</v>
      </c>
      <c r="F65" s="1457">
        <f t="shared" ref="F65:F70" si="5">G65+H65+I65</f>
        <v>536</v>
      </c>
      <c r="G65" s="1457">
        <v>536</v>
      </c>
      <c r="H65" s="1457"/>
      <c r="I65" s="1457">
        <v>0</v>
      </c>
      <c r="J65" s="1457">
        <v>536</v>
      </c>
      <c r="K65" s="1458"/>
    </row>
    <row r="66" spans="1:11" s="1072" customFormat="1" ht="26">
      <c r="A66" s="1191">
        <v>49</v>
      </c>
      <c r="B66" s="1147" t="s">
        <v>3109</v>
      </c>
      <c r="C66" s="1455" t="s">
        <v>3108</v>
      </c>
      <c r="D66" s="1135" t="s">
        <v>3606</v>
      </c>
      <c r="E66" s="1452" t="s">
        <v>118</v>
      </c>
      <c r="F66" s="1457">
        <f t="shared" si="5"/>
        <v>250</v>
      </c>
      <c r="G66" s="1457">
        <v>200</v>
      </c>
      <c r="H66" s="1457"/>
      <c r="I66" s="1457">
        <v>50</v>
      </c>
      <c r="J66" s="1457">
        <v>200</v>
      </c>
      <c r="K66" s="1458"/>
    </row>
    <row r="67" spans="1:11" s="1072" customFormat="1" ht="26">
      <c r="A67" s="1191">
        <v>50</v>
      </c>
      <c r="B67" s="1147" t="s">
        <v>3110</v>
      </c>
      <c r="C67" s="1455" t="s">
        <v>3111</v>
      </c>
      <c r="D67" s="1135" t="s">
        <v>3606</v>
      </c>
      <c r="E67" s="1452" t="s">
        <v>118</v>
      </c>
      <c r="F67" s="1457">
        <f t="shared" si="5"/>
        <v>250</v>
      </c>
      <c r="G67" s="1460">
        <v>200</v>
      </c>
      <c r="H67" s="1460"/>
      <c r="I67" s="1460">
        <v>50</v>
      </c>
      <c r="J67" s="1460">
        <v>200</v>
      </c>
      <c r="K67" s="1458"/>
    </row>
    <row r="68" spans="1:11" s="1072" customFormat="1" ht="26">
      <c r="A68" s="1191">
        <v>51</v>
      </c>
      <c r="B68" s="1147" t="s">
        <v>3112</v>
      </c>
      <c r="C68" s="1455" t="s">
        <v>3113</v>
      </c>
      <c r="D68" s="1135" t="s">
        <v>3606</v>
      </c>
      <c r="E68" s="1452" t="s">
        <v>118</v>
      </c>
      <c r="F68" s="1457">
        <f t="shared" si="5"/>
        <v>250</v>
      </c>
      <c r="G68" s="1460">
        <v>200</v>
      </c>
      <c r="H68" s="1460"/>
      <c r="I68" s="1460">
        <v>50</v>
      </c>
      <c r="J68" s="1460">
        <v>200</v>
      </c>
      <c r="K68" s="1458"/>
    </row>
    <row r="69" spans="1:11" s="1072" customFormat="1" ht="26">
      <c r="A69" s="1191">
        <v>52</v>
      </c>
      <c r="B69" s="1147" t="s">
        <v>3114</v>
      </c>
      <c r="C69" s="1455" t="s">
        <v>3115</v>
      </c>
      <c r="D69" s="1135" t="s">
        <v>3612</v>
      </c>
      <c r="E69" s="1452" t="s">
        <v>118</v>
      </c>
      <c r="F69" s="1457">
        <f t="shared" si="5"/>
        <v>250</v>
      </c>
      <c r="G69" s="1460">
        <v>200</v>
      </c>
      <c r="H69" s="1460"/>
      <c r="I69" s="1460">
        <v>50</v>
      </c>
      <c r="J69" s="1460">
        <v>200</v>
      </c>
      <c r="K69" s="1458"/>
    </row>
    <row r="70" spans="1:11" s="1072" customFormat="1" ht="26">
      <c r="A70" s="1191">
        <v>53</v>
      </c>
      <c r="B70" s="1147" t="s">
        <v>3116</v>
      </c>
      <c r="C70" s="1455" t="s">
        <v>3117</v>
      </c>
      <c r="D70" s="1135" t="s">
        <v>3606</v>
      </c>
      <c r="E70" s="1452" t="s">
        <v>118</v>
      </c>
      <c r="F70" s="1457">
        <f t="shared" si="5"/>
        <v>250</v>
      </c>
      <c r="G70" s="1460">
        <v>200</v>
      </c>
      <c r="H70" s="1460"/>
      <c r="I70" s="1460">
        <v>50</v>
      </c>
      <c r="J70" s="1460">
        <v>200</v>
      </c>
      <c r="K70" s="1458"/>
    </row>
    <row r="71" spans="1:11" s="1072" customFormat="1" ht="26">
      <c r="A71" s="1191">
        <v>54</v>
      </c>
      <c r="B71" s="1147" t="s">
        <v>3118</v>
      </c>
      <c r="C71" s="1455" t="s">
        <v>3119</v>
      </c>
      <c r="D71" s="1135" t="s">
        <v>3606</v>
      </c>
      <c r="E71" s="1452" t="s">
        <v>118</v>
      </c>
      <c r="F71" s="1457">
        <f>G71+H71+I71</f>
        <v>250</v>
      </c>
      <c r="G71" s="1460">
        <v>200</v>
      </c>
      <c r="H71" s="1460"/>
      <c r="I71" s="1460">
        <v>50</v>
      </c>
      <c r="J71" s="1460">
        <v>200</v>
      </c>
      <c r="K71" s="1458"/>
    </row>
    <row r="72" spans="1:11" s="1072" customFormat="1" ht="26">
      <c r="A72" s="1191">
        <v>55</v>
      </c>
      <c r="B72" s="1147" t="s">
        <v>3120</v>
      </c>
      <c r="C72" s="1455" t="s">
        <v>3121</v>
      </c>
      <c r="D72" s="1135" t="s">
        <v>3613</v>
      </c>
      <c r="E72" s="1452" t="s">
        <v>118</v>
      </c>
      <c r="F72" s="1457">
        <v>520</v>
      </c>
      <c r="G72" s="1457">
        <v>470</v>
      </c>
      <c r="H72" s="1457"/>
      <c r="I72" s="1457">
        <v>50</v>
      </c>
      <c r="J72" s="1457">
        <v>470</v>
      </c>
      <c r="K72" s="1458"/>
    </row>
    <row r="73" spans="1:11" s="1072" customFormat="1" ht="26">
      <c r="A73" s="1191">
        <v>56</v>
      </c>
      <c r="B73" s="1147" t="s">
        <v>3122</v>
      </c>
      <c r="C73" s="1455" t="s">
        <v>3123</v>
      </c>
      <c r="D73" s="1135" t="s">
        <v>3614</v>
      </c>
      <c r="E73" s="1452" t="s">
        <v>118</v>
      </c>
      <c r="F73" s="1457">
        <v>580</v>
      </c>
      <c r="G73" s="1457">
        <v>530</v>
      </c>
      <c r="H73" s="1457"/>
      <c r="I73" s="1457">
        <v>50</v>
      </c>
      <c r="J73" s="1457">
        <v>530</v>
      </c>
      <c r="K73" s="1458"/>
    </row>
    <row r="74" spans="1:11" s="1072" customFormat="1" ht="26">
      <c r="A74" s="1191">
        <v>57</v>
      </c>
      <c r="B74" s="1147" t="s">
        <v>3124</v>
      </c>
      <c r="C74" s="1455" t="s">
        <v>3125</v>
      </c>
      <c r="D74" s="1135" t="s">
        <v>3615</v>
      </c>
      <c r="E74" s="1452" t="s">
        <v>118</v>
      </c>
      <c r="F74" s="1457">
        <v>786</v>
      </c>
      <c r="G74" s="1457">
        <v>736</v>
      </c>
      <c r="H74" s="1457"/>
      <c r="I74" s="1457">
        <v>50</v>
      </c>
      <c r="J74" s="1457">
        <v>736</v>
      </c>
      <c r="K74" s="1458"/>
    </row>
    <row r="75" spans="1:11" s="1072" customFormat="1" ht="26">
      <c r="A75" s="1191">
        <v>58</v>
      </c>
      <c r="B75" s="1147" t="s">
        <v>3126</v>
      </c>
      <c r="C75" s="1455" t="s">
        <v>3127</v>
      </c>
      <c r="D75" s="1135" t="s">
        <v>3616</v>
      </c>
      <c r="E75" s="1452" t="s">
        <v>118</v>
      </c>
      <c r="F75" s="1457">
        <v>300</v>
      </c>
      <c r="G75" s="1457">
        <v>250</v>
      </c>
      <c r="H75" s="1457"/>
      <c r="I75" s="1457">
        <v>50</v>
      </c>
      <c r="J75" s="1457">
        <v>250</v>
      </c>
      <c r="K75" s="1458"/>
    </row>
    <row r="76" spans="1:11" s="1072" customFormat="1" ht="26">
      <c r="A76" s="1191">
        <v>59</v>
      </c>
      <c r="B76" s="1147" t="s">
        <v>3128</v>
      </c>
      <c r="C76" s="1455" t="s">
        <v>3129</v>
      </c>
      <c r="D76" s="1135" t="s">
        <v>3616</v>
      </c>
      <c r="E76" s="1452" t="s">
        <v>118</v>
      </c>
      <c r="F76" s="1457">
        <v>300</v>
      </c>
      <c r="G76" s="1457">
        <v>250</v>
      </c>
      <c r="H76" s="1457"/>
      <c r="I76" s="1457">
        <v>50</v>
      </c>
      <c r="J76" s="1457">
        <v>250</v>
      </c>
      <c r="K76" s="1458"/>
    </row>
    <row r="77" spans="1:11" s="1072" customFormat="1" ht="26">
      <c r="A77" s="1191">
        <v>60</v>
      </c>
      <c r="B77" s="1147" t="s">
        <v>3130</v>
      </c>
      <c r="C77" s="1455" t="s">
        <v>3131</v>
      </c>
      <c r="D77" s="1135" t="s">
        <v>3617</v>
      </c>
      <c r="E77" s="1452" t="s">
        <v>118</v>
      </c>
      <c r="F77" s="1457">
        <v>300</v>
      </c>
      <c r="G77" s="1457">
        <v>250</v>
      </c>
      <c r="H77" s="1457"/>
      <c r="I77" s="1457">
        <v>50</v>
      </c>
      <c r="J77" s="1457">
        <v>250</v>
      </c>
      <c r="K77" s="1458"/>
    </row>
    <row r="78" spans="1:11" s="1072" customFormat="1" ht="26">
      <c r="A78" s="1191">
        <v>61</v>
      </c>
      <c r="B78" s="1147" t="s">
        <v>3132</v>
      </c>
      <c r="C78" s="1455" t="s">
        <v>3133</v>
      </c>
      <c r="D78" s="1456" t="s">
        <v>3618</v>
      </c>
      <c r="E78" s="1452" t="s">
        <v>118</v>
      </c>
      <c r="F78" s="1457">
        <v>350</v>
      </c>
      <c r="G78" s="1457">
        <v>300</v>
      </c>
      <c r="H78" s="1457"/>
      <c r="I78" s="1457">
        <v>50</v>
      </c>
      <c r="J78" s="1457">
        <v>300</v>
      </c>
      <c r="K78" s="1458"/>
    </row>
    <row r="79" spans="1:11" s="1072" customFormat="1" ht="26">
      <c r="A79" s="1191">
        <v>62</v>
      </c>
      <c r="B79" s="1147" t="s">
        <v>3134</v>
      </c>
      <c r="C79" s="1455" t="s">
        <v>3135</v>
      </c>
      <c r="D79" s="1135" t="s">
        <v>3619</v>
      </c>
      <c r="E79" s="1452" t="s">
        <v>118</v>
      </c>
      <c r="F79" s="1457">
        <v>300</v>
      </c>
      <c r="G79" s="1457">
        <v>250</v>
      </c>
      <c r="H79" s="1457"/>
      <c r="I79" s="1457">
        <v>50</v>
      </c>
      <c r="J79" s="1457">
        <v>250</v>
      </c>
      <c r="K79" s="1458"/>
    </row>
    <row r="80" spans="1:11" s="1072" customFormat="1" ht="26">
      <c r="A80" s="1191">
        <v>63</v>
      </c>
      <c r="B80" s="1147" t="s">
        <v>3136</v>
      </c>
      <c r="C80" s="1455" t="s">
        <v>3137</v>
      </c>
      <c r="D80" s="1456" t="s">
        <v>3620</v>
      </c>
      <c r="E80" s="1452" t="s">
        <v>118</v>
      </c>
      <c r="F80" s="1457">
        <v>486</v>
      </c>
      <c r="G80" s="1457">
        <v>436</v>
      </c>
      <c r="H80" s="1457"/>
      <c r="I80" s="1457">
        <v>50</v>
      </c>
      <c r="J80" s="1457">
        <v>436</v>
      </c>
      <c r="K80" s="1458"/>
    </row>
    <row r="81" spans="1:11" s="1072" customFormat="1" ht="26">
      <c r="A81" s="1191">
        <v>64</v>
      </c>
      <c r="B81" s="1147" t="s">
        <v>3138</v>
      </c>
      <c r="C81" s="1455" t="s">
        <v>3139</v>
      </c>
      <c r="D81" s="1135" t="s">
        <v>3601</v>
      </c>
      <c r="E81" s="1452" t="s">
        <v>118</v>
      </c>
      <c r="F81" s="1457">
        <v>130</v>
      </c>
      <c r="G81" s="1457">
        <v>100</v>
      </c>
      <c r="H81" s="1457"/>
      <c r="I81" s="1457">
        <v>30</v>
      </c>
      <c r="J81" s="1457">
        <v>100</v>
      </c>
      <c r="K81" s="1458"/>
    </row>
    <row r="82" spans="1:11" s="1072" customFormat="1" ht="26">
      <c r="A82" s="1191">
        <v>65</v>
      </c>
      <c r="B82" s="1147" t="s">
        <v>3140</v>
      </c>
      <c r="C82" s="1455" t="s">
        <v>303</v>
      </c>
      <c r="D82" s="1456" t="s">
        <v>3621</v>
      </c>
      <c r="E82" s="1452" t="s">
        <v>118</v>
      </c>
      <c r="F82" s="1457">
        <v>686</v>
      </c>
      <c r="G82" s="1457">
        <v>636</v>
      </c>
      <c r="H82" s="1457"/>
      <c r="I82" s="1457">
        <v>50</v>
      </c>
      <c r="J82" s="1457">
        <v>636</v>
      </c>
      <c r="K82" s="1458"/>
    </row>
    <row r="83" spans="1:11" s="1072" customFormat="1" ht="26">
      <c r="A83" s="1191">
        <v>66</v>
      </c>
      <c r="B83" s="1147" t="s">
        <v>3141</v>
      </c>
      <c r="C83" s="1455" t="s">
        <v>303</v>
      </c>
      <c r="D83" s="1456" t="s">
        <v>3622</v>
      </c>
      <c r="E83" s="1452" t="s">
        <v>118</v>
      </c>
      <c r="F83" s="1457">
        <v>1000</v>
      </c>
      <c r="G83" s="1457">
        <v>1000</v>
      </c>
      <c r="H83" s="1457"/>
      <c r="I83" s="1457"/>
      <c r="J83" s="1457">
        <v>1000</v>
      </c>
      <c r="K83" s="1458"/>
    </row>
    <row r="84" spans="1:11" s="1072" customFormat="1" ht="26">
      <c r="A84" s="1191">
        <v>67</v>
      </c>
      <c r="B84" s="1147" t="s">
        <v>3142</v>
      </c>
      <c r="C84" s="1455" t="s">
        <v>3143</v>
      </c>
      <c r="D84" s="1456" t="s">
        <v>3623</v>
      </c>
      <c r="E84" s="1452" t="s">
        <v>118</v>
      </c>
      <c r="F84" s="1457">
        <f>G84+H84+I84</f>
        <v>1436</v>
      </c>
      <c r="G84" s="1457">
        <v>1386</v>
      </c>
      <c r="H84" s="1457"/>
      <c r="I84" s="1457">
        <v>50</v>
      </c>
      <c r="J84" s="1457">
        <v>1386</v>
      </c>
      <c r="K84" s="1458"/>
    </row>
    <row r="85" spans="1:11" s="1072" customFormat="1" ht="25.5" customHeight="1">
      <c r="A85" s="1191">
        <v>68</v>
      </c>
      <c r="B85" s="1147" t="s">
        <v>3144</v>
      </c>
      <c r="C85" s="1455" t="s">
        <v>3143</v>
      </c>
      <c r="D85" s="1456" t="s">
        <v>3624</v>
      </c>
      <c r="E85" s="1452" t="s">
        <v>118</v>
      </c>
      <c r="F85" s="1457">
        <f>G85+H85+I85</f>
        <v>400</v>
      </c>
      <c r="G85" s="1457">
        <v>350</v>
      </c>
      <c r="H85" s="1457"/>
      <c r="I85" s="1457">
        <v>50</v>
      </c>
      <c r="J85" s="1457">
        <v>350</v>
      </c>
      <c r="K85" s="1458"/>
    </row>
    <row r="86" spans="1:11" s="1072" customFormat="1" ht="18" customHeight="1">
      <c r="A86" s="1069" t="s">
        <v>28</v>
      </c>
      <c r="B86" s="1189" t="s">
        <v>3145</v>
      </c>
      <c r="C86" s="1461"/>
      <c r="D86" s="1461"/>
      <c r="E86" s="1196"/>
      <c r="F86" s="1448">
        <f>F87+F88+F89+F90+F91+F92+F93+F94+F95+F96+F97+F98+F99+F100+F101+F102+F103+F104+F105+F106+F107+F108+F109+F110+F111+F112+F113+F114+F115+F116</f>
        <v>27180</v>
      </c>
      <c r="G86" s="1448">
        <f>SUM(G87:G116)</f>
        <v>27180</v>
      </c>
      <c r="H86" s="1448">
        <f t="shared" ref="H86:I86" si="6">SUM(H87:H116)</f>
        <v>0</v>
      </c>
      <c r="I86" s="1448">
        <f t="shared" si="6"/>
        <v>0</v>
      </c>
      <c r="J86" s="1448">
        <f>SUM(J87:J116)</f>
        <v>27180</v>
      </c>
      <c r="K86" s="1462"/>
    </row>
    <row r="87" spans="1:11" s="1072" customFormat="1" ht="26">
      <c r="A87" s="1135" t="s">
        <v>10</v>
      </c>
      <c r="B87" s="1147" t="s">
        <v>3146</v>
      </c>
      <c r="C87" s="1135" t="s">
        <v>3147</v>
      </c>
      <c r="D87" s="1135" t="s">
        <v>3601</v>
      </c>
      <c r="E87" s="1452" t="s">
        <v>118</v>
      </c>
      <c r="F87" s="1449">
        <v>500</v>
      </c>
      <c r="G87" s="1449">
        <v>500</v>
      </c>
      <c r="H87" s="1463"/>
      <c r="I87" s="1463"/>
      <c r="J87" s="1449">
        <v>500</v>
      </c>
      <c r="K87" s="1458"/>
    </row>
    <row r="88" spans="1:11" s="1072" customFormat="1" ht="26">
      <c r="A88" s="1499">
        <f>1+A87</f>
        <v>2</v>
      </c>
      <c r="B88" s="1147" t="s">
        <v>3148</v>
      </c>
      <c r="C88" s="1135" t="s">
        <v>3149</v>
      </c>
      <c r="D88" s="1456" t="s">
        <v>3625</v>
      </c>
      <c r="E88" s="1452" t="s">
        <v>118</v>
      </c>
      <c r="F88" s="1449">
        <v>2520</v>
      </c>
      <c r="G88" s="1449">
        <v>2520</v>
      </c>
      <c r="H88" s="1463"/>
      <c r="I88" s="1463"/>
      <c r="J88" s="1449">
        <v>2520</v>
      </c>
      <c r="K88" s="1458"/>
    </row>
    <row r="89" spans="1:11" s="1072" customFormat="1" ht="26">
      <c r="A89" s="1499">
        <f t="shared" ref="A89:A116" si="7">1+A88</f>
        <v>3</v>
      </c>
      <c r="B89" s="1147" t="s">
        <v>3150</v>
      </c>
      <c r="C89" s="1135" t="s">
        <v>3151</v>
      </c>
      <c r="D89" s="1456" t="s">
        <v>3626</v>
      </c>
      <c r="E89" s="1452" t="s">
        <v>118</v>
      </c>
      <c r="F89" s="1449">
        <v>2000</v>
      </c>
      <c r="G89" s="1449">
        <v>2000</v>
      </c>
      <c r="H89" s="1463"/>
      <c r="I89" s="1463"/>
      <c r="J89" s="1449">
        <v>2000</v>
      </c>
      <c r="K89" s="1458"/>
    </row>
    <row r="90" spans="1:11" s="1072" customFormat="1" ht="26">
      <c r="A90" s="1499">
        <f t="shared" si="7"/>
        <v>4</v>
      </c>
      <c r="B90" s="1147" t="s">
        <v>3152</v>
      </c>
      <c r="C90" s="1135" t="s">
        <v>3153</v>
      </c>
      <c r="D90" s="1456" t="s">
        <v>3627</v>
      </c>
      <c r="E90" s="1452" t="s">
        <v>118</v>
      </c>
      <c r="F90" s="1449">
        <v>1020</v>
      </c>
      <c r="G90" s="1449">
        <v>1020</v>
      </c>
      <c r="H90" s="1463"/>
      <c r="I90" s="1463"/>
      <c r="J90" s="1449">
        <v>1020</v>
      </c>
      <c r="K90" s="1458"/>
    </row>
    <row r="91" spans="1:11" s="1072" customFormat="1" ht="26">
      <c r="A91" s="1499">
        <f t="shared" si="7"/>
        <v>5</v>
      </c>
      <c r="B91" s="1147" t="s">
        <v>3154</v>
      </c>
      <c r="C91" s="1135" t="s">
        <v>3155</v>
      </c>
      <c r="D91" s="1135" t="s">
        <v>3628</v>
      </c>
      <c r="E91" s="1452" t="s">
        <v>118</v>
      </c>
      <c r="F91" s="1449">
        <v>500</v>
      </c>
      <c r="G91" s="1449">
        <v>500</v>
      </c>
      <c r="H91" s="1463"/>
      <c r="I91" s="1463"/>
      <c r="J91" s="1449">
        <v>500</v>
      </c>
      <c r="K91" s="1458"/>
    </row>
    <row r="92" spans="1:11" s="1072" customFormat="1" ht="26">
      <c r="A92" s="1499">
        <f t="shared" si="7"/>
        <v>6</v>
      </c>
      <c r="B92" s="1147" t="s">
        <v>3156</v>
      </c>
      <c r="C92" s="1135" t="s">
        <v>3157</v>
      </c>
      <c r="D92" s="1456" t="s">
        <v>3629</v>
      </c>
      <c r="E92" s="1452" t="s">
        <v>118</v>
      </c>
      <c r="F92" s="1449">
        <v>2020</v>
      </c>
      <c r="G92" s="1449">
        <v>2020</v>
      </c>
      <c r="H92" s="1463"/>
      <c r="I92" s="1463"/>
      <c r="J92" s="1449">
        <v>2020</v>
      </c>
      <c r="K92" s="1458"/>
    </row>
    <row r="93" spans="1:11" s="1072" customFormat="1" ht="26">
      <c r="A93" s="1499">
        <f t="shared" si="7"/>
        <v>7</v>
      </c>
      <c r="B93" s="1147" t="s">
        <v>3158</v>
      </c>
      <c r="C93" s="1135" t="s">
        <v>3159</v>
      </c>
      <c r="D93" s="1135" t="s">
        <v>3601</v>
      </c>
      <c r="E93" s="1452" t="s">
        <v>118</v>
      </c>
      <c r="F93" s="1449">
        <v>500</v>
      </c>
      <c r="G93" s="1449">
        <v>500</v>
      </c>
      <c r="H93" s="1463"/>
      <c r="I93" s="1463"/>
      <c r="J93" s="1449">
        <v>500</v>
      </c>
      <c r="K93" s="1458"/>
    </row>
    <row r="94" spans="1:11" s="1072" customFormat="1" ht="26">
      <c r="A94" s="1499">
        <f t="shared" si="7"/>
        <v>8</v>
      </c>
      <c r="B94" s="1147" t="s">
        <v>3160</v>
      </c>
      <c r="C94" s="1135" t="s">
        <v>3161</v>
      </c>
      <c r="D94" s="1456" t="s">
        <v>3630</v>
      </c>
      <c r="E94" s="1452" t="s">
        <v>118</v>
      </c>
      <c r="F94" s="1449">
        <v>500</v>
      </c>
      <c r="G94" s="1449">
        <v>500</v>
      </c>
      <c r="H94" s="1463"/>
      <c r="I94" s="1463"/>
      <c r="J94" s="1449">
        <v>500</v>
      </c>
      <c r="K94" s="1458"/>
    </row>
    <row r="95" spans="1:11" s="1072" customFormat="1" ht="26">
      <c r="A95" s="1499">
        <f t="shared" si="7"/>
        <v>9</v>
      </c>
      <c r="B95" s="1147" t="s">
        <v>3162</v>
      </c>
      <c r="C95" s="1135" t="s">
        <v>3163</v>
      </c>
      <c r="D95" s="1456" t="s">
        <v>3631</v>
      </c>
      <c r="E95" s="1452" t="s">
        <v>118</v>
      </c>
      <c r="F95" s="1449">
        <v>700</v>
      </c>
      <c r="G95" s="1449">
        <v>700</v>
      </c>
      <c r="H95" s="1463"/>
      <c r="I95" s="1463"/>
      <c r="J95" s="1449">
        <v>700</v>
      </c>
      <c r="K95" s="1458"/>
    </row>
    <row r="96" spans="1:11" s="1072" customFormat="1" ht="26">
      <c r="A96" s="1499">
        <f t="shared" si="7"/>
        <v>10</v>
      </c>
      <c r="B96" s="1147" t="s">
        <v>3164</v>
      </c>
      <c r="C96" s="1135" t="s">
        <v>3165</v>
      </c>
      <c r="D96" s="1135" t="s">
        <v>3632</v>
      </c>
      <c r="E96" s="1452" t="s">
        <v>118</v>
      </c>
      <c r="F96" s="1449">
        <v>600</v>
      </c>
      <c r="G96" s="1449">
        <v>600</v>
      </c>
      <c r="H96" s="1463"/>
      <c r="I96" s="1463"/>
      <c r="J96" s="1449">
        <v>600</v>
      </c>
      <c r="K96" s="1458"/>
    </row>
    <row r="97" spans="1:11" s="1072" customFormat="1" ht="26">
      <c r="A97" s="1499">
        <f t="shared" si="7"/>
        <v>11</v>
      </c>
      <c r="B97" s="1147" t="s">
        <v>3166</v>
      </c>
      <c r="C97" s="1135" t="s">
        <v>3167</v>
      </c>
      <c r="D97" s="1135" t="s">
        <v>3633</v>
      </c>
      <c r="E97" s="1452" t="s">
        <v>118</v>
      </c>
      <c r="F97" s="1449">
        <v>500</v>
      </c>
      <c r="G97" s="1449">
        <v>500</v>
      </c>
      <c r="H97" s="1463"/>
      <c r="I97" s="1463"/>
      <c r="J97" s="1449">
        <v>500</v>
      </c>
      <c r="K97" s="1458"/>
    </row>
    <row r="98" spans="1:11" s="1072" customFormat="1" ht="26">
      <c r="A98" s="1499">
        <f t="shared" si="7"/>
        <v>12</v>
      </c>
      <c r="B98" s="1147" t="s">
        <v>3168</v>
      </c>
      <c r="C98" s="1135" t="s">
        <v>3169</v>
      </c>
      <c r="D98" s="1135" t="s">
        <v>3634</v>
      </c>
      <c r="E98" s="1452" t="s">
        <v>118</v>
      </c>
      <c r="F98" s="1449">
        <v>400</v>
      </c>
      <c r="G98" s="1449">
        <v>400</v>
      </c>
      <c r="H98" s="1463"/>
      <c r="I98" s="1463"/>
      <c r="J98" s="1449">
        <v>400</v>
      </c>
      <c r="K98" s="1458"/>
    </row>
    <row r="99" spans="1:11" s="1072" customFormat="1" ht="26">
      <c r="A99" s="1499">
        <f t="shared" si="7"/>
        <v>13</v>
      </c>
      <c r="B99" s="1147" t="s">
        <v>3170</v>
      </c>
      <c r="C99" s="1135" t="s">
        <v>3171</v>
      </c>
      <c r="D99" s="1456" t="s">
        <v>3635</v>
      </c>
      <c r="E99" s="1452" t="s">
        <v>118</v>
      </c>
      <c r="F99" s="1449">
        <v>320</v>
      </c>
      <c r="G99" s="1449">
        <v>320</v>
      </c>
      <c r="H99" s="1463"/>
      <c r="I99" s="1463"/>
      <c r="J99" s="1449">
        <v>320</v>
      </c>
      <c r="K99" s="1458"/>
    </row>
    <row r="100" spans="1:11" s="1072" customFormat="1" ht="26">
      <c r="A100" s="1499">
        <f t="shared" si="7"/>
        <v>14</v>
      </c>
      <c r="B100" s="1147" t="s">
        <v>3172</v>
      </c>
      <c r="C100" s="1135" t="s">
        <v>3173</v>
      </c>
      <c r="D100" s="1456" t="s">
        <v>3636</v>
      </c>
      <c r="E100" s="1452" t="s">
        <v>118</v>
      </c>
      <c r="F100" s="1449">
        <v>1600</v>
      </c>
      <c r="G100" s="1449">
        <v>1600</v>
      </c>
      <c r="H100" s="1463"/>
      <c r="I100" s="1463"/>
      <c r="J100" s="1449">
        <v>1600</v>
      </c>
      <c r="K100" s="1458"/>
    </row>
    <row r="101" spans="1:11" s="1072" customFormat="1" ht="26">
      <c r="A101" s="1499">
        <f t="shared" si="7"/>
        <v>15</v>
      </c>
      <c r="B101" s="1147" t="s">
        <v>3174</v>
      </c>
      <c r="C101" s="1135" t="s">
        <v>176</v>
      </c>
      <c r="D101" s="1456" t="s">
        <v>3637</v>
      </c>
      <c r="E101" s="1452" t="s">
        <v>118</v>
      </c>
      <c r="F101" s="1449">
        <v>1000</v>
      </c>
      <c r="G101" s="1449">
        <v>1000</v>
      </c>
      <c r="H101" s="1463"/>
      <c r="I101" s="1463"/>
      <c r="J101" s="1449">
        <v>1000</v>
      </c>
      <c r="K101" s="1458"/>
    </row>
    <row r="102" spans="1:11" s="1072" customFormat="1" ht="26">
      <c r="A102" s="1499">
        <f t="shared" si="7"/>
        <v>16</v>
      </c>
      <c r="B102" s="1147" t="s">
        <v>3175</v>
      </c>
      <c r="C102" s="1135" t="s">
        <v>3176</v>
      </c>
      <c r="D102" s="1456" t="s">
        <v>3635</v>
      </c>
      <c r="E102" s="1452" t="s">
        <v>118</v>
      </c>
      <c r="F102" s="1449">
        <v>420</v>
      </c>
      <c r="G102" s="1449">
        <v>420</v>
      </c>
      <c r="H102" s="1463"/>
      <c r="I102" s="1463"/>
      <c r="J102" s="1449">
        <v>420</v>
      </c>
      <c r="K102" s="1458"/>
    </row>
    <row r="103" spans="1:11" s="1072" customFormat="1" ht="26">
      <c r="A103" s="1499">
        <f t="shared" si="7"/>
        <v>17</v>
      </c>
      <c r="B103" s="1147" t="s">
        <v>3177</v>
      </c>
      <c r="C103" s="1135" t="s">
        <v>3178</v>
      </c>
      <c r="D103" s="1135" t="s">
        <v>3601</v>
      </c>
      <c r="E103" s="1452" t="s">
        <v>118</v>
      </c>
      <c r="F103" s="1449">
        <v>500</v>
      </c>
      <c r="G103" s="1449">
        <v>500</v>
      </c>
      <c r="H103" s="1463"/>
      <c r="I103" s="1463"/>
      <c r="J103" s="1449">
        <v>500</v>
      </c>
      <c r="K103" s="1458"/>
    </row>
    <row r="104" spans="1:11" s="1072" customFormat="1" ht="26">
      <c r="A104" s="1499">
        <f t="shared" si="7"/>
        <v>18</v>
      </c>
      <c r="B104" s="1147" t="s">
        <v>3179</v>
      </c>
      <c r="C104" s="1135" t="s">
        <v>3180</v>
      </c>
      <c r="D104" s="1135" t="s">
        <v>3638</v>
      </c>
      <c r="E104" s="1452" t="s">
        <v>118</v>
      </c>
      <c r="F104" s="1449">
        <v>500</v>
      </c>
      <c r="G104" s="1449">
        <v>500</v>
      </c>
      <c r="H104" s="1463"/>
      <c r="I104" s="1463"/>
      <c r="J104" s="1449">
        <v>500</v>
      </c>
      <c r="K104" s="1458"/>
    </row>
    <row r="105" spans="1:11" s="1072" customFormat="1" ht="26">
      <c r="A105" s="1499">
        <f t="shared" si="7"/>
        <v>19</v>
      </c>
      <c r="B105" s="1147" t="s">
        <v>3181</v>
      </c>
      <c r="C105" s="1135" t="s">
        <v>3182</v>
      </c>
      <c r="D105" s="1456" t="s">
        <v>3639</v>
      </c>
      <c r="E105" s="1452" t="s">
        <v>118</v>
      </c>
      <c r="F105" s="1449">
        <v>700</v>
      </c>
      <c r="G105" s="1449">
        <v>700</v>
      </c>
      <c r="H105" s="1463"/>
      <c r="I105" s="1463"/>
      <c r="J105" s="1449">
        <v>700</v>
      </c>
      <c r="K105" s="1458"/>
    </row>
    <row r="106" spans="1:11" s="1072" customFormat="1" ht="26">
      <c r="A106" s="1499">
        <f t="shared" si="7"/>
        <v>20</v>
      </c>
      <c r="B106" s="1147" t="s">
        <v>3183</v>
      </c>
      <c r="C106" s="1135" t="s">
        <v>3184</v>
      </c>
      <c r="D106" s="1456" t="s">
        <v>3640</v>
      </c>
      <c r="E106" s="1452" t="s">
        <v>118</v>
      </c>
      <c r="F106" s="1449">
        <v>500</v>
      </c>
      <c r="G106" s="1449">
        <v>500</v>
      </c>
      <c r="H106" s="1463"/>
      <c r="I106" s="1463"/>
      <c r="J106" s="1449">
        <v>500</v>
      </c>
      <c r="K106" s="1458"/>
    </row>
    <row r="107" spans="1:11" ht="26">
      <c r="A107" s="1499">
        <f t="shared" si="7"/>
        <v>21</v>
      </c>
      <c r="B107" s="1147" t="s">
        <v>3185</v>
      </c>
      <c r="C107" s="1135" t="s">
        <v>3178</v>
      </c>
      <c r="D107" s="1456" t="s">
        <v>3640</v>
      </c>
      <c r="E107" s="1452" t="s">
        <v>118</v>
      </c>
      <c r="F107" s="1449">
        <v>500</v>
      </c>
      <c r="G107" s="1449">
        <v>500</v>
      </c>
      <c r="H107" s="1464"/>
      <c r="I107" s="1464"/>
      <c r="J107" s="1449">
        <v>500</v>
      </c>
      <c r="K107" s="1465"/>
    </row>
    <row r="108" spans="1:11" ht="26">
      <c r="A108" s="1499">
        <f t="shared" si="7"/>
        <v>22</v>
      </c>
      <c r="B108" s="1147" t="s">
        <v>3186</v>
      </c>
      <c r="C108" s="1135" t="s">
        <v>3187</v>
      </c>
      <c r="D108" s="1456" t="s">
        <v>3641</v>
      </c>
      <c r="E108" s="1452" t="s">
        <v>118</v>
      </c>
      <c r="F108" s="1449">
        <v>320</v>
      </c>
      <c r="G108" s="1449">
        <v>320</v>
      </c>
      <c r="H108" s="1464"/>
      <c r="I108" s="1464"/>
      <c r="J108" s="1449">
        <v>320</v>
      </c>
      <c r="K108" s="1465"/>
    </row>
    <row r="109" spans="1:11" ht="26">
      <c r="A109" s="1499">
        <f t="shared" si="7"/>
        <v>23</v>
      </c>
      <c r="B109" s="1147" t="s">
        <v>3188</v>
      </c>
      <c r="C109" s="1135" t="s">
        <v>3189</v>
      </c>
      <c r="D109" s="1456" t="s">
        <v>3642</v>
      </c>
      <c r="E109" s="1452" t="s">
        <v>118</v>
      </c>
      <c r="F109" s="1449">
        <v>1500</v>
      </c>
      <c r="G109" s="1449">
        <v>1500</v>
      </c>
      <c r="H109" s="1464"/>
      <c r="I109" s="1464"/>
      <c r="J109" s="1449">
        <v>1500</v>
      </c>
      <c r="K109" s="1465"/>
    </row>
    <row r="110" spans="1:11" ht="26">
      <c r="A110" s="1499">
        <f t="shared" si="7"/>
        <v>24</v>
      </c>
      <c r="B110" s="1147" t="s">
        <v>3190</v>
      </c>
      <c r="C110" s="1135" t="s">
        <v>3191</v>
      </c>
      <c r="D110" s="1456" t="s">
        <v>3639</v>
      </c>
      <c r="E110" s="1452" t="s">
        <v>118</v>
      </c>
      <c r="F110" s="1449">
        <v>600</v>
      </c>
      <c r="G110" s="1449">
        <v>600</v>
      </c>
      <c r="H110" s="1464"/>
      <c r="I110" s="1464"/>
      <c r="J110" s="1449">
        <v>600</v>
      </c>
      <c r="K110" s="1465"/>
    </row>
    <row r="111" spans="1:11" ht="26">
      <c r="A111" s="1499">
        <f t="shared" si="7"/>
        <v>25</v>
      </c>
      <c r="B111" s="1147" t="s">
        <v>3643</v>
      </c>
      <c r="C111" s="1135" t="s">
        <v>3192</v>
      </c>
      <c r="D111" s="1135" t="s">
        <v>3644</v>
      </c>
      <c r="E111" s="1452" t="s">
        <v>118</v>
      </c>
      <c r="F111" s="1449">
        <v>500</v>
      </c>
      <c r="G111" s="1449">
        <v>500</v>
      </c>
      <c r="H111" s="1464"/>
      <c r="I111" s="1464"/>
      <c r="J111" s="1449">
        <v>500</v>
      </c>
      <c r="K111" s="1465"/>
    </row>
    <row r="112" spans="1:11" ht="26">
      <c r="A112" s="1499">
        <f t="shared" si="7"/>
        <v>26</v>
      </c>
      <c r="B112" s="1147" t="s">
        <v>3193</v>
      </c>
      <c r="C112" s="1135" t="s">
        <v>3192</v>
      </c>
      <c r="D112" s="1456" t="s">
        <v>3639</v>
      </c>
      <c r="E112" s="1452" t="s">
        <v>118</v>
      </c>
      <c r="F112" s="1449">
        <v>420</v>
      </c>
      <c r="G112" s="1449">
        <v>420</v>
      </c>
      <c r="H112" s="1464"/>
      <c r="I112" s="1464"/>
      <c r="J112" s="1449">
        <v>420</v>
      </c>
      <c r="K112" s="1465"/>
    </row>
    <row r="113" spans="1:11" ht="26">
      <c r="A113" s="1499">
        <f t="shared" si="7"/>
        <v>27</v>
      </c>
      <c r="B113" s="1147" t="s">
        <v>3194</v>
      </c>
      <c r="C113" s="1135" t="s">
        <v>3195</v>
      </c>
      <c r="D113" s="1456" t="s">
        <v>3627</v>
      </c>
      <c r="E113" s="1452" t="s">
        <v>118</v>
      </c>
      <c r="F113" s="1449">
        <v>1520</v>
      </c>
      <c r="G113" s="1449">
        <v>1520</v>
      </c>
      <c r="H113" s="1464"/>
      <c r="I113" s="1464"/>
      <c r="J113" s="1449">
        <v>1520</v>
      </c>
      <c r="K113" s="1465"/>
    </row>
    <row r="114" spans="1:11" ht="26">
      <c r="A114" s="1499">
        <f t="shared" si="7"/>
        <v>28</v>
      </c>
      <c r="B114" s="1147" t="s">
        <v>3196</v>
      </c>
      <c r="C114" s="1135" t="s">
        <v>3195</v>
      </c>
      <c r="D114" s="1456" t="s">
        <v>3645</v>
      </c>
      <c r="E114" s="1452" t="s">
        <v>118</v>
      </c>
      <c r="F114" s="1449">
        <v>1500</v>
      </c>
      <c r="G114" s="1449">
        <v>1500</v>
      </c>
      <c r="H114" s="1464"/>
      <c r="I114" s="1464"/>
      <c r="J114" s="1449">
        <v>1500</v>
      </c>
      <c r="K114" s="1465"/>
    </row>
    <row r="115" spans="1:11" ht="26">
      <c r="A115" s="1499">
        <f t="shared" si="7"/>
        <v>29</v>
      </c>
      <c r="B115" s="1147" t="s">
        <v>3197</v>
      </c>
      <c r="C115" s="1135" t="s">
        <v>3198</v>
      </c>
      <c r="D115" s="1135" t="s">
        <v>3601</v>
      </c>
      <c r="E115" s="1452" t="s">
        <v>118</v>
      </c>
      <c r="F115" s="1079" t="s">
        <v>1636</v>
      </c>
      <c r="G115" s="1449">
        <v>200</v>
      </c>
      <c r="H115" s="1464"/>
      <c r="I115" s="1464"/>
      <c r="J115" s="1449">
        <v>200</v>
      </c>
      <c r="K115" s="1465"/>
    </row>
    <row r="116" spans="1:11" ht="26">
      <c r="A116" s="1499">
        <f t="shared" si="7"/>
        <v>30</v>
      </c>
      <c r="B116" s="1147" t="s">
        <v>3199</v>
      </c>
      <c r="C116" s="1135" t="s">
        <v>3198</v>
      </c>
      <c r="D116" s="1456" t="s">
        <v>3629</v>
      </c>
      <c r="E116" s="1452" t="s">
        <v>118</v>
      </c>
      <c r="F116" s="1449">
        <v>2820</v>
      </c>
      <c r="G116" s="1449">
        <v>2820</v>
      </c>
      <c r="H116" s="1464"/>
      <c r="I116" s="1464"/>
      <c r="J116" s="1449">
        <v>2820</v>
      </c>
      <c r="K116" s="1465"/>
    </row>
    <row r="117" spans="1:11" s="1066" customFormat="1" ht="18" customHeight="1">
      <c r="A117" s="1130" t="s">
        <v>29</v>
      </c>
      <c r="B117" s="1195" t="s">
        <v>3200</v>
      </c>
      <c r="C117" s="1466"/>
      <c r="D117" s="1466"/>
      <c r="E117" s="1197"/>
      <c r="F117" s="1310">
        <f>SUM(F118:F169)</f>
        <v>104684</v>
      </c>
      <c r="G117" s="1310">
        <f>SUM(G118:G169)</f>
        <v>82838</v>
      </c>
      <c r="H117" s="1310">
        <f t="shared" ref="H117:I117" si="8">SUM(H118:H169)</f>
        <v>21846</v>
      </c>
      <c r="I117" s="1310">
        <f t="shared" si="8"/>
        <v>0</v>
      </c>
      <c r="J117" s="1310">
        <f>SUM(J118:J169)</f>
        <v>82838</v>
      </c>
      <c r="K117" s="1310"/>
    </row>
    <row r="118" spans="1:11" ht="39">
      <c r="A118" s="1467">
        <v>1</v>
      </c>
      <c r="B118" s="1147" t="s">
        <v>3201</v>
      </c>
      <c r="C118" s="1135" t="s">
        <v>3202</v>
      </c>
      <c r="D118" s="1135" t="s">
        <v>3646</v>
      </c>
      <c r="E118" s="1452" t="s">
        <v>118</v>
      </c>
      <c r="F118" s="1468">
        <v>804</v>
      </c>
      <c r="G118" s="1468">
        <v>804</v>
      </c>
      <c r="H118" s="1464"/>
      <c r="I118" s="1464"/>
      <c r="J118" s="1468">
        <v>804</v>
      </c>
      <c r="K118" s="1465"/>
    </row>
    <row r="119" spans="1:11" ht="39">
      <c r="A119" s="1467">
        <v>2</v>
      </c>
      <c r="B119" s="1147" t="s">
        <v>3203</v>
      </c>
      <c r="C119" s="1135" t="s">
        <v>3204</v>
      </c>
      <c r="D119" s="1135" t="s">
        <v>3646</v>
      </c>
      <c r="E119" s="1452" t="s">
        <v>118</v>
      </c>
      <c r="F119" s="1468">
        <v>700</v>
      </c>
      <c r="G119" s="1468">
        <v>700</v>
      </c>
      <c r="H119" s="1464"/>
      <c r="I119" s="1464"/>
      <c r="J119" s="1468">
        <v>700</v>
      </c>
      <c r="K119" s="1465"/>
    </row>
    <row r="120" spans="1:11" ht="39">
      <c r="A120" s="1467">
        <v>3</v>
      </c>
      <c r="B120" s="1147" t="s">
        <v>3205</v>
      </c>
      <c r="C120" s="1135" t="s">
        <v>3206</v>
      </c>
      <c r="D120" s="1135" t="s">
        <v>3646</v>
      </c>
      <c r="E120" s="1452" t="s">
        <v>118</v>
      </c>
      <c r="F120" s="1468">
        <v>700</v>
      </c>
      <c r="G120" s="1468">
        <v>700</v>
      </c>
      <c r="H120" s="1464"/>
      <c r="I120" s="1464"/>
      <c r="J120" s="1468">
        <v>700</v>
      </c>
      <c r="K120" s="1465"/>
    </row>
    <row r="121" spans="1:11" ht="65">
      <c r="A121" s="1467">
        <v>4</v>
      </c>
      <c r="B121" s="1147" t="s">
        <v>3207</v>
      </c>
      <c r="C121" s="1135" t="s">
        <v>3208</v>
      </c>
      <c r="D121" s="1141" t="s">
        <v>3647</v>
      </c>
      <c r="E121" s="1452" t="s">
        <v>118</v>
      </c>
      <c r="F121" s="1468">
        <v>816</v>
      </c>
      <c r="G121" s="1468">
        <v>816</v>
      </c>
      <c r="H121" s="1464"/>
      <c r="I121" s="1464"/>
      <c r="J121" s="1468">
        <v>816</v>
      </c>
      <c r="K121" s="1465"/>
    </row>
    <row r="122" spans="1:11" ht="26">
      <c r="A122" s="1467">
        <v>5</v>
      </c>
      <c r="B122" s="1147" t="s">
        <v>3209</v>
      </c>
      <c r="C122" s="1135" t="s">
        <v>3210</v>
      </c>
      <c r="D122" s="1135" t="s">
        <v>3211</v>
      </c>
      <c r="E122" s="1452" t="s">
        <v>118</v>
      </c>
      <c r="F122" s="1468">
        <v>404</v>
      </c>
      <c r="G122" s="1468">
        <v>404</v>
      </c>
      <c r="H122" s="1464"/>
      <c r="I122" s="1464"/>
      <c r="J122" s="1468">
        <v>404</v>
      </c>
      <c r="K122" s="1465"/>
    </row>
    <row r="123" spans="1:11" ht="26">
      <c r="A123" s="1467">
        <v>6</v>
      </c>
      <c r="B123" s="1147" t="s">
        <v>3212</v>
      </c>
      <c r="C123" s="1135" t="s">
        <v>3213</v>
      </c>
      <c r="D123" s="1135" t="s">
        <v>3648</v>
      </c>
      <c r="E123" s="1452" t="s">
        <v>118</v>
      </c>
      <c r="F123" s="1468">
        <v>400</v>
      </c>
      <c r="G123" s="1468">
        <v>400</v>
      </c>
      <c r="H123" s="1464"/>
      <c r="I123" s="1464"/>
      <c r="J123" s="1468">
        <v>400</v>
      </c>
      <c r="K123" s="1465"/>
    </row>
    <row r="124" spans="1:11" ht="39">
      <c r="A124" s="1467">
        <v>7</v>
      </c>
      <c r="B124" s="1147" t="s">
        <v>3214</v>
      </c>
      <c r="C124" s="1135" t="s">
        <v>3215</v>
      </c>
      <c r="D124" s="1135" t="s">
        <v>3649</v>
      </c>
      <c r="E124" s="1452" t="s">
        <v>118</v>
      </c>
      <c r="F124" s="1468">
        <v>2216</v>
      </c>
      <c r="G124" s="1468">
        <v>2216</v>
      </c>
      <c r="H124" s="1464"/>
      <c r="I124" s="1464"/>
      <c r="J124" s="1468">
        <v>2216</v>
      </c>
      <c r="K124" s="1465"/>
    </row>
    <row r="125" spans="1:11" ht="26">
      <c r="A125" s="1467">
        <v>8</v>
      </c>
      <c r="B125" s="1147" t="s">
        <v>3216</v>
      </c>
      <c r="C125" s="1135" t="s">
        <v>3217</v>
      </c>
      <c r="D125" s="1135" t="s">
        <v>3650</v>
      </c>
      <c r="E125" s="1452" t="s">
        <v>118</v>
      </c>
      <c r="F125" s="1468">
        <v>459.4285714285715</v>
      </c>
      <c r="G125" s="1468">
        <v>459.4285714285715</v>
      </c>
      <c r="H125" s="1464"/>
      <c r="I125" s="1464"/>
      <c r="J125" s="1468">
        <v>459.4285714285715</v>
      </c>
      <c r="K125" s="1465"/>
    </row>
    <row r="126" spans="1:11" ht="26">
      <c r="A126" s="1467">
        <v>9</v>
      </c>
      <c r="B126" s="1147" t="s">
        <v>3218</v>
      </c>
      <c r="C126" s="1135" t="s">
        <v>3219</v>
      </c>
      <c r="D126" s="1135" t="s">
        <v>3651</v>
      </c>
      <c r="E126" s="1452" t="s">
        <v>118</v>
      </c>
      <c r="F126" s="1468">
        <v>344.57142857142861</v>
      </c>
      <c r="G126" s="1468">
        <v>344.57142857142861</v>
      </c>
      <c r="H126" s="1464"/>
      <c r="I126" s="1464"/>
      <c r="J126" s="1468">
        <v>344.57142857142861</v>
      </c>
      <c r="K126" s="1465"/>
    </row>
    <row r="127" spans="1:11" ht="26">
      <c r="A127" s="1467">
        <v>10</v>
      </c>
      <c r="B127" s="1147" t="s">
        <v>3220</v>
      </c>
      <c r="C127" s="1135" t="s">
        <v>3221</v>
      </c>
      <c r="D127" s="1135" t="s">
        <v>3652</v>
      </c>
      <c r="E127" s="1452" t="s">
        <v>118</v>
      </c>
      <c r="F127" s="1468">
        <v>1000</v>
      </c>
      <c r="G127" s="1468">
        <v>1000</v>
      </c>
      <c r="H127" s="1464"/>
      <c r="I127" s="1464"/>
      <c r="J127" s="1468">
        <v>1000</v>
      </c>
      <c r="K127" s="1465"/>
    </row>
    <row r="128" spans="1:11" ht="26">
      <c r="A128" s="1467">
        <v>11</v>
      </c>
      <c r="B128" s="1147" t="s">
        <v>3222</v>
      </c>
      <c r="C128" s="1135" t="s">
        <v>3223</v>
      </c>
      <c r="D128" s="1135" t="s">
        <v>3653</v>
      </c>
      <c r="E128" s="1452" t="s">
        <v>118</v>
      </c>
      <c r="F128" s="1468">
        <v>1216</v>
      </c>
      <c r="G128" s="1468">
        <v>1216</v>
      </c>
      <c r="H128" s="1464"/>
      <c r="I128" s="1464"/>
      <c r="J128" s="1468">
        <v>1216</v>
      </c>
      <c r="K128" s="1465"/>
    </row>
    <row r="129" spans="1:11" ht="26">
      <c r="A129" s="1467">
        <v>12</v>
      </c>
      <c r="B129" s="1147" t="s">
        <v>3224</v>
      </c>
      <c r="C129" s="1135" t="s">
        <v>3225</v>
      </c>
      <c r="D129" s="1135" t="s">
        <v>3654</v>
      </c>
      <c r="E129" s="1452" t="s">
        <v>118</v>
      </c>
      <c r="F129" s="1468">
        <v>204</v>
      </c>
      <c r="G129" s="1468">
        <v>204</v>
      </c>
      <c r="H129" s="1464"/>
      <c r="I129" s="1464"/>
      <c r="J129" s="1468">
        <v>204</v>
      </c>
      <c r="K129" s="1465"/>
    </row>
    <row r="130" spans="1:11" ht="26">
      <c r="A130" s="1467">
        <v>13</v>
      </c>
      <c r="B130" s="1147" t="s">
        <v>3226</v>
      </c>
      <c r="C130" s="1135" t="s">
        <v>3227</v>
      </c>
      <c r="D130" s="1135" t="s">
        <v>3655</v>
      </c>
      <c r="E130" s="1452" t="s">
        <v>118</v>
      </c>
      <c r="F130" s="1468">
        <v>200</v>
      </c>
      <c r="G130" s="1468">
        <v>200</v>
      </c>
      <c r="H130" s="1464"/>
      <c r="I130" s="1464"/>
      <c r="J130" s="1468">
        <v>200</v>
      </c>
      <c r="K130" s="1465"/>
    </row>
    <row r="131" spans="1:11" ht="26">
      <c r="A131" s="1467">
        <v>14</v>
      </c>
      <c r="B131" s="1147" t="s">
        <v>3228</v>
      </c>
      <c r="C131" s="1135" t="s">
        <v>3229</v>
      </c>
      <c r="D131" s="1135" t="s">
        <v>3655</v>
      </c>
      <c r="E131" s="1452" t="s">
        <v>118</v>
      </c>
      <c r="F131" s="1468">
        <v>200</v>
      </c>
      <c r="G131" s="1468">
        <v>200</v>
      </c>
      <c r="H131" s="1464"/>
      <c r="I131" s="1464"/>
      <c r="J131" s="1468">
        <v>200</v>
      </c>
      <c r="K131" s="1465"/>
    </row>
    <row r="132" spans="1:11" ht="26">
      <c r="A132" s="1467">
        <v>15</v>
      </c>
      <c r="B132" s="1147" t="s">
        <v>3230</v>
      </c>
      <c r="C132" s="1135" t="s">
        <v>3227</v>
      </c>
      <c r="D132" s="1135" t="s">
        <v>3655</v>
      </c>
      <c r="E132" s="1452" t="s">
        <v>118</v>
      </c>
      <c r="F132" s="1468">
        <v>200</v>
      </c>
      <c r="G132" s="1468">
        <v>200</v>
      </c>
      <c r="H132" s="1464"/>
      <c r="I132" s="1464"/>
      <c r="J132" s="1468">
        <v>200</v>
      </c>
      <c r="K132" s="1465"/>
    </row>
    <row r="133" spans="1:11" ht="26">
      <c r="A133" s="1467">
        <v>16</v>
      </c>
      <c r="B133" s="1147" t="s">
        <v>3231</v>
      </c>
      <c r="C133" s="1135" t="s">
        <v>3229</v>
      </c>
      <c r="D133" s="1135" t="s">
        <v>3656</v>
      </c>
      <c r="E133" s="1452" t="s">
        <v>118</v>
      </c>
      <c r="F133" s="1468">
        <v>800</v>
      </c>
      <c r="G133" s="1468">
        <v>800</v>
      </c>
      <c r="H133" s="1464"/>
      <c r="I133" s="1464"/>
      <c r="J133" s="1468">
        <v>800</v>
      </c>
      <c r="K133" s="1465"/>
    </row>
    <row r="134" spans="1:11" ht="26">
      <c r="A134" s="1467">
        <v>17</v>
      </c>
      <c r="B134" s="1147" t="s">
        <v>3232</v>
      </c>
      <c r="C134" s="1135" t="s">
        <v>3233</v>
      </c>
      <c r="D134" s="1135" t="s">
        <v>3657</v>
      </c>
      <c r="E134" s="1452" t="s">
        <v>118</v>
      </c>
      <c r="F134" s="1468">
        <v>1000</v>
      </c>
      <c r="G134" s="1468">
        <v>1000</v>
      </c>
      <c r="H134" s="1464"/>
      <c r="I134" s="1464"/>
      <c r="J134" s="1468">
        <v>1000</v>
      </c>
      <c r="K134" s="1465"/>
    </row>
    <row r="135" spans="1:11" ht="94.5" customHeight="1">
      <c r="A135" s="1467">
        <v>18</v>
      </c>
      <c r="B135" s="1147" t="s">
        <v>3234</v>
      </c>
      <c r="C135" s="1135" t="s">
        <v>3235</v>
      </c>
      <c r="D135" s="1135" t="s">
        <v>3658</v>
      </c>
      <c r="E135" s="1452" t="s">
        <v>118</v>
      </c>
      <c r="F135" s="1468">
        <f>370+46</f>
        <v>416</v>
      </c>
      <c r="G135" s="1468">
        <f>370+46</f>
        <v>416</v>
      </c>
      <c r="H135" s="1464"/>
      <c r="I135" s="1464"/>
      <c r="J135" s="1468">
        <f>370+46</f>
        <v>416</v>
      </c>
      <c r="K135" s="1465"/>
    </row>
    <row r="136" spans="1:11" ht="26">
      <c r="A136" s="1467">
        <v>19</v>
      </c>
      <c r="B136" s="1147" t="s">
        <v>3236</v>
      </c>
      <c r="C136" s="1135" t="s">
        <v>3237</v>
      </c>
      <c r="D136" s="1135" t="s">
        <v>3659</v>
      </c>
      <c r="E136" s="1452" t="s">
        <v>118</v>
      </c>
      <c r="F136" s="1468">
        <v>350</v>
      </c>
      <c r="G136" s="1468">
        <v>350</v>
      </c>
      <c r="H136" s="1464"/>
      <c r="I136" s="1464"/>
      <c r="J136" s="1468">
        <v>350</v>
      </c>
      <c r="K136" s="1465"/>
    </row>
    <row r="137" spans="1:11" ht="26">
      <c r="A137" s="1467">
        <v>20</v>
      </c>
      <c r="B137" s="1147" t="s">
        <v>3238</v>
      </c>
      <c r="C137" s="1135" t="s">
        <v>3239</v>
      </c>
      <c r="D137" s="1135" t="s">
        <v>3601</v>
      </c>
      <c r="E137" s="1452" t="s">
        <v>118</v>
      </c>
      <c r="F137" s="1468">
        <v>90</v>
      </c>
      <c r="G137" s="1468">
        <v>90</v>
      </c>
      <c r="H137" s="1464"/>
      <c r="I137" s="1464"/>
      <c r="J137" s="1468">
        <v>90</v>
      </c>
      <c r="K137" s="1465"/>
    </row>
    <row r="138" spans="1:11" ht="26">
      <c r="A138" s="1467">
        <v>21</v>
      </c>
      <c r="B138" s="1147" t="s">
        <v>3240</v>
      </c>
      <c r="C138" s="1135" t="s">
        <v>3241</v>
      </c>
      <c r="D138" s="1141" t="s">
        <v>3660</v>
      </c>
      <c r="E138" s="1452" t="s">
        <v>118</v>
      </c>
      <c r="F138" s="1468">
        <v>364</v>
      </c>
      <c r="G138" s="1468">
        <v>364</v>
      </c>
      <c r="H138" s="1464"/>
      <c r="I138" s="1464"/>
      <c r="J138" s="1468">
        <v>364</v>
      </c>
      <c r="K138" s="1465"/>
    </row>
    <row r="139" spans="1:11" ht="26">
      <c r="A139" s="1467">
        <v>22</v>
      </c>
      <c r="B139" s="1147" t="s">
        <v>3242</v>
      </c>
      <c r="C139" s="1135" t="s">
        <v>3243</v>
      </c>
      <c r="D139" s="1141" t="s">
        <v>3661</v>
      </c>
      <c r="E139" s="1452" t="s">
        <v>118</v>
      </c>
      <c r="F139" s="1468">
        <v>290</v>
      </c>
      <c r="G139" s="1468">
        <v>290</v>
      </c>
      <c r="H139" s="1464"/>
      <c r="I139" s="1464"/>
      <c r="J139" s="1468">
        <v>290</v>
      </c>
      <c r="K139" s="1465"/>
    </row>
    <row r="140" spans="1:11" ht="26">
      <c r="A140" s="1467">
        <v>23</v>
      </c>
      <c r="B140" s="1147" t="s">
        <v>3244</v>
      </c>
      <c r="C140" s="1135" t="s">
        <v>3245</v>
      </c>
      <c r="D140" s="1135" t="s">
        <v>3601</v>
      </c>
      <c r="E140" s="1452" t="s">
        <v>118</v>
      </c>
      <c r="F140" s="1468">
        <v>76</v>
      </c>
      <c r="G140" s="1468">
        <v>76</v>
      </c>
      <c r="H140" s="1464"/>
      <c r="I140" s="1464"/>
      <c r="J140" s="1468">
        <v>76</v>
      </c>
      <c r="K140" s="1465"/>
    </row>
    <row r="141" spans="1:11" ht="18" customHeight="1">
      <c r="A141" s="1467">
        <v>24</v>
      </c>
      <c r="B141" s="1147" t="s">
        <v>3246</v>
      </c>
      <c r="C141" s="1135" t="s">
        <v>3247</v>
      </c>
      <c r="D141" s="1141" t="s">
        <v>3662</v>
      </c>
      <c r="E141" s="1452" t="s">
        <v>118</v>
      </c>
      <c r="F141" s="1468">
        <v>1500</v>
      </c>
      <c r="G141" s="1468">
        <v>1500</v>
      </c>
      <c r="H141" s="1464"/>
      <c r="I141" s="1464"/>
      <c r="J141" s="1468">
        <v>1500</v>
      </c>
      <c r="K141" s="1465"/>
    </row>
    <row r="142" spans="1:11" ht="18" customHeight="1">
      <c r="A142" s="1467">
        <v>25</v>
      </c>
      <c r="B142" s="1147" t="s">
        <v>3248</v>
      </c>
      <c r="C142" s="1135" t="s">
        <v>3249</v>
      </c>
      <c r="D142" s="1141" t="s">
        <v>3659</v>
      </c>
      <c r="E142" s="1452" t="s">
        <v>118</v>
      </c>
      <c r="F142" s="1468">
        <v>350</v>
      </c>
      <c r="G142" s="1468">
        <v>350</v>
      </c>
      <c r="H142" s="1464"/>
      <c r="I142" s="1464"/>
      <c r="J142" s="1468">
        <v>350</v>
      </c>
      <c r="K142" s="1465"/>
    </row>
    <row r="143" spans="1:11" ht="39">
      <c r="A143" s="1467">
        <v>26</v>
      </c>
      <c r="B143" s="1147" t="s">
        <v>3250</v>
      </c>
      <c r="C143" s="1135" t="s">
        <v>3251</v>
      </c>
      <c r="D143" s="1141" t="s">
        <v>3663</v>
      </c>
      <c r="E143" s="1452" t="s">
        <v>118</v>
      </c>
      <c r="F143" s="1468">
        <v>804</v>
      </c>
      <c r="G143" s="1468">
        <v>804</v>
      </c>
      <c r="H143" s="1464"/>
      <c r="I143" s="1464"/>
      <c r="J143" s="1468">
        <v>804</v>
      </c>
      <c r="K143" s="1465"/>
    </row>
    <row r="144" spans="1:11" ht="26">
      <c r="A144" s="1467">
        <v>27</v>
      </c>
      <c r="B144" s="1147" t="s">
        <v>3252</v>
      </c>
      <c r="C144" s="1135" t="s">
        <v>3253</v>
      </c>
      <c r="D144" s="1141" t="s">
        <v>3664</v>
      </c>
      <c r="E144" s="1452" t="s">
        <v>118</v>
      </c>
      <c r="F144" s="1468">
        <v>370</v>
      </c>
      <c r="G144" s="1468">
        <v>370</v>
      </c>
      <c r="H144" s="1464"/>
      <c r="I144" s="1464"/>
      <c r="J144" s="1468">
        <v>370</v>
      </c>
      <c r="K144" s="1465"/>
    </row>
    <row r="145" spans="1:11" ht="26">
      <c r="A145" s="1467">
        <v>28</v>
      </c>
      <c r="B145" s="1147" t="s">
        <v>3254</v>
      </c>
      <c r="C145" s="1135" t="s">
        <v>3255</v>
      </c>
      <c r="D145" s="1141" t="s">
        <v>3665</v>
      </c>
      <c r="E145" s="1452" t="s">
        <v>118</v>
      </c>
      <c r="F145" s="1468">
        <v>1246</v>
      </c>
      <c r="G145" s="1468">
        <v>1246</v>
      </c>
      <c r="H145" s="1464"/>
      <c r="I145" s="1464"/>
      <c r="J145" s="1468">
        <v>1246</v>
      </c>
      <c r="K145" s="1465"/>
    </row>
    <row r="146" spans="1:11" ht="26">
      <c r="A146" s="1467">
        <v>29</v>
      </c>
      <c r="B146" s="1147" t="s">
        <v>3256</v>
      </c>
      <c r="C146" s="1135" t="s">
        <v>3257</v>
      </c>
      <c r="D146" s="1141" t="s">
        <v>3666</v>
      </c>
      <c r="E146" s="1452" t="s">
        <v>118</v>
      </c>
      <c r="F146" s="1468">
        <v>600</v>
      </c>
      <c r="G146" s="1468">
        <v>600</v>
      </c>
      <c r="H146" s="1464"/>
      <c r="I146" s="1464"/>
      <c r="J146" s="1468">
        <v>600</v>
      </c>
      <c r="K146" s="1465"/>
    </row>
    <row r="147" spans="1:11" ht="26">
      <c r="A147" s="1467">
        <v>30</v>
      </c>
      <c r="B147" s="1147" t="s">
        <v>3258</v>
      </c>
      <c r="C147" s="1135" t="s">
        <v>3259</v>
      </c>
      <c r="D147" s="1135" t="s">
        <v>3667</v>
      </c>
      <c r="E147" s="1452" t="s">
        <v>118</v>
      </c>
      <c r="F147" s="1468">
        <v>804</v>
      </c>
      <c r="G147" s="1468">
        <v>804</v>
      </c>
      <c r="H147" s="1464"/>
      <c r="I147" s="1464"/>
      <c r="J147" s="1468">
        <v>804</v>
      </c>
      <c r="K147" s="1465"/>
    </row>
    <row r="148" spans="1:11" ht="26">
      <c r="A148" s="1467">
        <v>31</v>
      </c>
      <c r="B148" s="1147" t="s">
        <v>3260</v>
      </c>
      <c r="C148" s="1135" t="s">
        <v>3261</v>
      </c>
      <c r="D148" s="1135" t="s">
        <v>3668</v>
      </c>
      <c r="E148" s="1452" t="s">
        <v>118</v>
      </c>
      <c r="F148" s="1468">
        <v>600</v>
      </c>
      <c r="G148" s="1468">
        <v>600</v>
      </c>
      <c r="H148" s="1464"/>
      <c r="I148" s="1464"/>
      <c r="J148" s="1468">
        <v>600</v>
      </c>
      <c r="K148" s="1465"/>
    </row>
    <row r="149" spans="1:11" ht="26">
      <c r="A149" s="1467">
        <v>32</v>
      </c>
      <c r="B149" s="1147" t="s">
        <v>3262</v>
      </c>
      <c r="C149" s="1135" t="s">
        <v>3263</v>
      </c>
      <c r="D149" s="1135" t="s">
        <v>3669</v>
      </c>
      <c r="E149" s="1452" t="s">
        <v>118</v>
      </c>
      <c r="F149" s="1468">
        <v>500</v>
      </c>
      <c r="G149" s="1468">
        <v>500</v>
      </c>
      <c r="H149" s="1464"/>
      <c r="I149" s="1464"/>
      <c r="J149" s="1468">
        <v>500</v>
      </c>
      <c r="K149" s="1465"/>
    </row>
    <row r="150" spans="1:11" ht="26">
      <c r="A150" s="1467">
        <v>33</v>
      </c>
      <c r="B150" s="1147" t="s">
        <v>3264</v>
      </c>
      <c r="C150" s="1135" t="s">
        <v>3265</v>
      </c>
      <c r="D150" s="1135" t="s">
        <v>3667</v>
      </c>
      <c r="E150" s="1452" t="s">
        <v>118</v>
      </c>
      <c r="F150" s="1468">
        <v>716</v>
      </c>
      <c r="G150" s="1468">
        <v>716</v>
      </c>
      <c r="H150" s="1464"/>
      <c r="I150" s="1464"/>
      <c r="J150" s="1468">
        <v>716</v>
      </c>
      <c r="K150" s="1465"/>
    </row>
    <row r="151" spans="1:11" ht="18" customHeight="1">
      <c r="A151" s="1467">
        <v>34</v>
      </c>
      <c r="B151" s="1147" t="s">
        <v>3266</v>
      </c>
      <c r="C151" s="1135" t="s">
        <v>3267</v>
      </c>
      <c r="D151" s="1141" t="s">
        <v>3662</v>
      </c>
      <c r="E151" s="1452" t="s">
        <v>118</v>
      </c>
      <c r="F151" s="1468">
        <v>400</v>
      </c>
      <c r="G151" s="1468">
        <v>400</v>
      </c>
      <c r="H151" s="1464"/>
      <c r="I151" s="1464"/>
      <c r="J151" s="1468">
        <v>400</v>
      </c>
      <c r="K151" s="1465"/>
    </row>
    <row r="152" spans="1:11" ht="26">
      <c r="A152" s="1467">
        <v>35</v>
      </c>
      <c r="B152" s="1147" t="s">
        <v>3268</v>
      </c>
      <c r="C152" s="1135" t="s">
        <v>3269</v>
      </c>
      <c r="D152" s="1135" t="s">
        <v>3652</v>
      </c>
      <c r="E152" s="1452" t="s">
        <v>118</v>
      </c>
      <c r="F152" s="1468">
        <v>804</v>
      </c>
      <c r="G152" s="1468">
        <v>804</v>
      </c>
      <c r="H152" s="1464"/>
      <c r="I152" s="1464"/>
      <c r="J152" s="1468">
        <v>804</v>
      </c>
      <c r="K152" s="1465"/>
    </row>
    <row r="153" spans="1:11" ht="39">
      <c r="A153" s="1467">
        <v>36</v>
      </c>
      <c r="B153" s="1147" t="s">
        <v>3270</v>
      </c>
      <c r="C153" s="1135" t="s">
        <v>3271</v>
      </c>
      <c r="D153" s="1135" t="s">
        <v>3670</v>
      </c>
      <c r="E153" s="1452" t="s">
        <v>118</v>
      </c>
      <c r="F153" s="1468">
        <v>2216</v>
      </c>
      <c r="G153" s="1468">
        <v>2216</v>
      </c>
      <c r="H153" s="1464"/>
      <c r="I153" s="1464"/>
      <c r="J153" s="1468">
        <v>2216</v>
      </c>
      <c r="K153" s="1465"/>
    </row>
    <row r="154" spans="1:11" ht="26">
      <c r="A154" s="1467">
        <v>37</v>
      </c>
      <c r="B154" s="1147" t="s">
        <v>3272</v>
      </c>
      <c r="C154" s="1703" t="s">
        <v>3273</v>
      </c>
      <c r="D154" s="1135" t="s">
        <v>3668</v>
      </c>
      <c r="E154" s="1452" t="s">
        <v>118</v>
      </c>
      <c r="F154" s="1469">
        <v>550</v>
      </c>
      <c r="G154" s="1469">
        <v>550</v>
      </c>
      <c r="H154" s="1464"/>
      <c r="I154" s="1464"/>
      <c r="J154" s="1469">
        <v>550</v>
      </c>
      <c r="K154" s="1465"/>
    </row>
    <row r="155" spans="1:11" ht="26">
      <c r="A155" s="1467">
        <v>38</v>
      </c>
      <c r="B155" s="1147" t="s">
        <v>3274</v>
      </c>
      <c r="C155" s="1703"/>
      <c r="D155" s="1135" t="s">
        <v>3671</v>
      </c>
      <c r="E155" s="1452" t="s">
        <v>118</v>
      </c>
      <c r="F155" s="1469">
        <v>1186</v>
      </c>
      <c r="G155" s="1469">
        <v>1186</v>
      </c>
      <c r="H155" s="1464"/>
      <c r="I155" s="1464"/>
      <c r="J155" s="1469">
        <v>1186</v>
      </c>
      <c r="K155" s="1465"/>
    </row>
    <row r="156" spans="1:11" ht="26">
      <c r="A156" s="1467">
        <v>39</v>
      </c>
      <c r="B156" s="1147" t="s">
        <v>3275</v>
      </c>
      <c r="C156" s="1470" t="s">
        <v>3276</v>
      </c>
      <c r="D156" s="1135" t="s">
        <v>3672</v>
      </c>
      <c r="E156" s="1452" t="s">
        <v>118</v>
      </c>
      <c r="F156" s="1471">
        <v>836</v>
      </c>
      <c r="G156" s="1471">
        <v>836</v>
      </c>
      <c r="H156" s="1464"/>
      <c r="I156" s="1464"/>
      <c r="J156" s="1471">
        <v>836</v>
      </c>
      <c r="K156" s="1465"/>
    </row>
    <row r="157" spans="1:11" ht="26">
      <c r="A157" s="1467">
        <v>40</v>
      </c>
      <c r="B157" s="1147" t="s">
        <v>3277</v>
      </c>
      <c r="C157" s="1470" t="s">
        <v>3278</v>
      </c>
      <c r="D157" s="1135" t="s">
        <v>3673</v>
      </c>
      <c r="E157" s="1452" t="s">
        <v>118</v>
      </c>
      <c r="F157" s="1471">
        <v>900</v>
      </c>
      <c r="G157" s="1471">
        <v>900</v>
      </c>
      <c r="H157" s="1464"/>
      <c r="I157" s="1464"/>
      <c r="J157" s="1471">
        <v>900</v>
      </c>
      <c r="K157" s="1465"/>
    </row>
    <row r="158" spans="1:11" ht="26">
      <c r="A158" s="1467">
        <v>41</v>
      </c>
      <c r="B158" s="1147" t="s">
        <v>3279</v>
      </c>
      <c r="C158" s="1703" t="s">
        <v>3280</v>
      </c>
      <c r="D158" s="1141" t="s">
        <v>3674</v>
      </c>
      <c r="E158" s="1452" t="s">
        <v>118</v>
      </c>
      <c r="F158" s="1468">
        <v>1306</v>
      </c>
      <c r="G158" s="1468">
        <v>1306</v>
      </c>
      <c r="H158" s="1464"/>
      <c r="I158" s="1464"/>
      <c r="J158" s="1468">
        <v>1306</v>
      </c>
      <c r="K158" s="1465"/>
    </row>
    <row r="159" spans="1:11" ht="26">
      <c r="A159" s="1467">
        <v>42</v>
      </c>
      <c r="B159" s="1147" t="s">
        <v>3281</v>
      </c>
      <c r="C159" s="1703"/>
      <c r="D159" s="1135" t="s">
        <v>3675</v>
      </c>
      <c r="E159" s="1452" t="s">
        <v>118</v>
      </c>
      <c r="F159" s="1468">
        <v>430</v>
      </c>
      <c r="G159" s="1468">
        <v>430</v>
      </c>
      <c r="H159" s="1464"/>
      <c r="I159" s="1464"/>
      <c r="J159" s="1468">
        <v>430</v>
      </c>
      <c r="K159" s="1465"/>
    </row>
    <row r="160" spans="1:11" ht="52">
      <c r="A160" s="1467">
        <v>43</v>
      </c>
      <c r="B160" s="1142" t="s">
        <v>3282</v>
      </c>
      <c r="C160" s="1135" t="s">
        <v>3283</v>
      </c>
      <c r="D160" s="1135" t="s">
        <v>3676</v>
      </c>
      <c r="E160" s="1452" t="s">
        <v>118</v>
      </c>
      <c r="F160" s="1468">
        <v>250</v>
      </c>
      <c r="G160" s="1468">
        <v>250</v>
      </c>
      <c r="H160" s="1464"/>
      <c r="I160" s="1464"/>
      <c r="J160" s="1468">
        <v>250</v>
      </c>
      <c r="K160" s="1465"/>
    </row>
    <row r="161" spans="1:13" ht="39">
      <c r="A161" s="1467">
        <v>44</v>
      </c>
      <c r="B161" s="1147" t="s">
        <v>3284</v>
      </c>
      <c r="C161" s="1135" t="s">
        <v>3285</v>
      </c>
      <c r="D161" s="1135" t="s">
        <v>3677</v>
      </c>
      <c r="E161" s="1452" t="s">
        <v>118</v>
      </c>
      <c r="F161" s="1468">
        <v>135</v>
      </c>
      <c r="G161" s="1468">
        <v>135</v>
      </c>
      <c r="H161" s="1464"/>
      <c r="I161" s="1464"/>
      <c r="J161" s="1468">
        <v>135</v>
      </c>
      <c r="K161" s="1465"/>
    </row>
    <row r="162" spans="1:13" ht="26">
      <c r="A162" s="1467">
        <v>45</v>
      </c>
      <c r="B162" s="1147" t="s">
        <v>3286</v>
      </c>
      <c r="C162" s="1135" t="s">
        <v>3287</v>
      </c>
      <c r="D162" s="1135" t="s">
        <v>3678</v>
      </c>
      <c r="E162" s="1452" t="s">
        <v>118</v>
      </c>
      <c r="F162" s="1468">
        <v>821</v>
      </c>
      <c r="G162" s="1468">
        <v>821</v>
      </c>
      <c r="H162" s="1464"/>
      <c r="I162" s="1464"/>
      <c r="J162" s="1468">
        <v>821</v>
      </c>
      <c r="K162" s="1465"/>
    </row>
    <row r="163" spans="1:13" ht="26">
      <c r="A163" s="1467">
        <v>46</v>
      </c>
      <c r="B163" s="1147" t="s">
        <v>3288</v>
      </c>
      <c r="C163" s="1135" t="s">
        <v>3289</v>
      </c>
      <c r="D163" s="1135" t="s">
        <v>3679</v>
      </c>
      <c r="E163" s="1452" t="s">
        <v>118</v>
      </c>
      <c r="F163" s="1468">
        <v>530</v>
      </c>
      <c r="G163" s="1468">
        <v>530</v>
      </c>
      <c r="H163" s="1464"/>
      <c r="I163" s="1464"/>
      <c r="J163" s="1468">
        <v>530</v>
      </c>
      <c r="K163" s="1465"/>
    </row>
    <row r="164" spans="1:13" ht="39">
      <c r="A164" s="1467">
        <v>47</v>
      </c>
      <c r="B164" s="1147" t="s">
        <v>3290</v>
      </c>
      <c r="C164" s="1135" t="s">
        <v>3291</v>
      </c>
      <c r="D164" s="1135" t="s">
        <v>3680</v>
      </c>
      <c r="E164" s="1452" t="s">
        <v>118</v>
      </c>
      <c r="F164" s="1469">
        <f t="shared" ref="F164:F169" si="9">G164+H164</f>
        <v>10380</v>
      </c>
      <c r="G164" s="1468">
        <v>7380</v>
      </c>
      <c r="H164" s="1468">
        <v>3000</v>
      </c>
      <c r="I164" s="1464"/>
      <c r="J164" s="1468">
        <v>7380</v>
      </c>
      <c r="K164" s="1465"/>
    </row>
    <row r="165" spans="1:13" ht="65">
      <c r="A165" s="1467">
        <v>48</v>
      </c>
      <c r="B165" s="1147" t="s">
        <v>3292</v>
      </c>
      <c r="C165" s="1135" t="s">
        <v>3291</v>
      </c>
      <c r="D165" s="1135" t="s">
        <v>3681</v>
      </c>
      <c r="E165" s="1452" t="s">
        <v>118</v>
      </c>
      <c r="F165" s="1472">
        <f t="shared" si="9"/>
        <v>25000</v>
      </c>
      <c r="G165" s="1473">
        <v>17354</v>
      </c>
      <c r="H165" s="1473">
        <v>7646</v>
      </c>
      <c r="I165" s="1464"/>
      <c r="J165" s="1473">
        <v>17354</v>
      </c>
      <c r="K165" s="1465"/>
    </row>
    <row r="166" spans="1:13" ht="52">
      <c r="A166" s="1467">
        <v>49</v>
      </c>
      <c r="B166" s="1147" t="s">
        <v>3293</v>
      </c>
      <c r="C166" s="1135" t="s">
        <v>3291</v>
      </c>
      <c r="D166" s="1141" t="s">
        <v>3682</v>
      </c>
      <c r="E166" s="1452" t="s">
        <v>118</v>
      </c>
      <c r="F166" s="1469">
        <f t="shared" si="9"/>
        <v>17000</v>
      </c>
      <c r="G166" s="1468">
        <v>12000</v>
      </c>
      <c r="H166" s="1468">
        <v>5000</v>
      </c>
      <c r="I166" s="1464"/>
      <c r="J166" s="1468">
        <v>12000</v>
      </c>
      <c r="K166" s="1465"/>
    </row>
    <row r="167" spans="1:13" ht="52">
      <c r="A167" s="1467">
        <v>50</v>
      </c>
      <c r="B167" s="1147" t="s">
        <v>3294</v>
      </c>
      <c r="C167" s="1135" t="s">
        <v>3291</v>
      </c>
      <c r="D167" s="1141" t="s">
        <v>3683</v>
      </c>
      <c r="E167" s="1452" t="s">
        <v>118</v>
      </c>
      <c r="F167" s="1469">
        <f t="shared" si="9"/>
        <v>7200</v>
      </c>
      <c r="G167" s="1468">
        <v>5100</v>
      </c>
      <c r="H167" s="1468">
        <v>2100</v>
      </c>
      <c r="I167" s="1464"/>
      <c r="J167" s="1468">
        <v>5100</v>
      </c>
      <c r="K167" s="1465"/>
    </row>
    <row r="168" spans="1:13" ht="39">
      <c r="A168" s="1467">
        <v>51</v>
      </c>
      <c r="B168" s="1147" t="s">
        <v>3295</v>
      </c>
      <c r="C168" s="1135" t="s">
        <v>3296</v>
      </c>
      <c r="D168" s="1135" t="s">
        <v>3297</v>
      </c>
      <c r="E168" s="1452" t="s">
        <v>118</v>
      </c>
      <c r="F168" s="1469">
        <f t="shared" si="9"/>
        <v>8500</v>
      </c>
      <c r="G168" s="1468">
        <v>5900</v>
      </c>
      <c r="H168" s="1468">
        <v>2600</v>
      </c>
      <c r="I168" s="1464"/>
      <c r="J168" s="1468">
        <v>5900</v>
      </c>
      <c r="K168" s="1465"/>
    </row>
    <row r="169" spans="1:13" ht="26">
      <c r="A169" s="1467">
        <v>52</v>
      </c>
      <c r="B169" s="1147" t="s">
        <v>3298</v>
      </c>
      <c r="C169" s="1135" t="s">
        <v>2833</v>
      </c>
      <c r="D169" s="1135" t="s">
        <v>3299</v>
      </c>
      <c r="E169" s="1452" t="s">
        <v>118</v>
      </c>
      <c r="F169" s="1469">
        <f t="shared" si="9"/>
        <v>5500</v>
      </c>
      <c r="G169" s="1468">
        <v>4000</v>
      </c>
      <c r="H169" s="1468">
        <v>1500</v>
      </c>
      <c r="I169" s="1464"/>
      <c r="J169" s="1468">
        <v>4000</v>
      </c>
      <c r="K169" s="1465"/>
    </row>
    <row r="170" spans="1:13" s="1066" customFormat="1" ht="18" customHeight="1">
      <c r="A170" s="1130" t="s">
        <v>30</v>
      </c>
      <c r="B170" s="1195" t="s">
        <v>3300</v>
      </c>
      <c r="C170" s="1466"/>
      <c r="D170" s="1466"/>
      <c r="E170" s="1197"/>
      <c r="F170" s="1448">
        <f>SUM(F171:F218)</f>
        <v>105685</v>
      </c>
      <c r="G170" s="1448">
        <f t="shared" ref="G170:H170" si="10">SUM(G171:G218)</f>
        <v>79818</v>
      </c>
      <c r="H170" s="1448">
        <f t="shared" si="10"/>
        <v>25867</v>
      </c>
      <c r="I170" s="1310"/>
      <c r="J170" s="1448">
        <f t="shared" ref="J170" si="11">SUM(J171:J218)</f>
        <v>79818</v>
      </c>
      <c r="K170" s="1474"/>
      <c r="L170" s="1451">
        <f>SUM(L171:L218)</f>
        <v>0</v>
      </c>
    </row>
    <row r="171" spans="1:13" ht="26">
      <c r="A171" s="1135" t="s">
        <v>10</v>
      </c>
      <c r="B171" s="1147" t="s">
        <v>3301</v>
      </c>
      <c r="C171" s="1135" t="s">
        <v>361</v>
      </c>
      <c r="D171" s="1135" t="s">
        <v>3684</v>
      </c>
      <c r="E171" s="1452" t="s">
        <v>118</v>
      </c>
      <c r="F171" s="1449">
        <f>+G171</f>
        <v>614</v>
      </c>
      <c r="G171" s="1449">
        <v>614</v>
      </c>
      <c r="H171" s="1448"/>
      <c r="I171" s="1469"/>
      <c r="J171" s="1449">
        <v>614</v>
      </c>
      <c r="K171" s="1465"/>
      <c r="L171" s="1419">
        <f>G171-J171</f>
        <v>0</v>
      </c>
      <c r="M171" s="1419">
        <f>F171+F179+F180+F186++F190+F192+F193+F194+F196+F200+F204+F205+F206+F207+F208+F209+F210+F211+F212+F213</f>
        <v>33974</v>
      </c>
    </row>
    <row r="172" spans="1:13" ht="26">
      <c r="A172" s="1135" t="s">
        <v>12</v>
      </c>
      <c r="B172" s="1147" t="s">
        <v>3302</v>
      </c>
      <c r="C172" s="1135" t="s">
        <v>361</v>
      </c>
      <c r="D172" s="1135" t="s">
        <v>3685</v>
      </c>
      <c r="E172" s="1452" t="s">
        <v>118</v>
      </c>
      <c r="F172" s="1449">
        <v>190</v>
      </c>
      <c r="G172" s="1449">
        <v>190</v>
      </c>
      <c r="H172" s="1448"/>
      <c r="I172" s="1469"/>
      <c r="J172" s="1449">
        <v>190</v>
      </c>
      <c r="K172" s="1465"/>
      <c r="L172" s="1419">
        <f t="shared" ref="L172:L218" si="12">G172-J172</f>
        <v>0</v>
      </c>
    </row>
    <row r="173" spans="1:13" ht="26">
      <c r="A173" s="1135" t="s">
        <v>14</v>
      </c>
      <c r="B173" s="1147" t="s">
        <v>3303</v>
      </c>
      <c r="C173" s="1135" t="s">
        <v>361</v>
      </c>
      <c r="D173" s="1135" t="s">
        <v>3686</v>
      </c>
      <c r="E173" s="1452" t="s">
        <v>118</v>
      </c>
      <c r="F173" s="1469">
        <f t="shared" ref="F173:F178" si="13">+G173</f>
        <v>305</v>
      </c>
      <c r="G173" s="1469">
        <v>305</v>
      </c>
      <c r="H173" s="1448"/>
      <c r="I173" s="1448"/>
      <c r="J173" s="1469">
        <v>305</v>
      </c>
      <c r="K173" s="1465"/>
      <c r="L173" s="1419">
        <f t="shared" si="12"/>
        <v>0</v>
      </c>
    </row>
    <row r="174" spans="1:13">
      <c r="A174" s="1135" t="s">
        <v>16</v>
      </c>
      <c r="B174" s="1147" t="s">
        <v>3304</v>
      </c>
      <c r="C174" s="1135" t="s">
        <v>361</v>
      </c>
      <c r="D174" s="1135" t="s">
        <v>3305</v>
      </c>
      <c r="E174" s="1452" t="s">
        <v>118</v>
      </c>
      <c r="F174" s="1469">
        <f t="shared" si="13"/>
        <v>550</v>
      </c>
      <c r="G174" s="1469">
        <v>550</v>
      </c>
      <c r="H174" s="1448"/>
      <c r="I174" s="1448"/>
      <c r="J174" s="1469">
        <v>550</v>
      </c>
      <c r="K174" s="1465"/>
      <c r="L174" s="1419">
        <f t="shared" si="12"/>
        <v>0</v>
      </c>
    </row>
    <row r="175" spans="1:13" ht="26">
      <c r="A175" s="1135" t="s">
        <v>18</v>
      </c>
      <c r="B175" s="1147" t="s">
        <v>3306</v>
      </c>
      <c r="C175" s="1135" t="s">
        <v>361</v>
      </c>
      <c r="D175" s="1135" t="s">
        <v>3687</v>
      </c>
      <c r="E175" s="1452" t="s">
        <v>118</v>
      </c>
      <c r="F175" s="1469">
        <f t="shared" si="13"/>
        <v>270</v>
      </c>
      <c r="G175" s="1469">
        <v>270</v>
      </c>
      <c r="H175" s="1448"/>
      <c r="I175" s="1448"/>
      <c r="J175" s="1469">
        <v>270</v>
      </c>
      <c r="K175" s="1465"/>
      <c r="L175" s="1419">
        <f t="shared" si="12"/>
        <v>0</v>
      </c>
    </row>
    <row r="176" spans="1:13" ht="26">
      <c r="A176" s="1135" t="s">
        <v>20</v>
      </c>
      <c r="B176" s="1147" t="s">
        <v>3307</v>
      </c>
      <c r="C176" s="1135" t="s">
        <v>361</v>
      </c>
      <c r="D176" s="1135" t="s">
        <v>3688</v>
      </c>
      <c r="E176" s="1452" t="s">
        <v>118</v>
      </c>
      <c r="F176" s="1469">
        <f t="shared" si="13"/>
        <v>415</v>
      </c>
      <c r="G176" s="1469">
        <v>415</v>
      </c>
      <c r="H176" s="1448"/>
      <c r="I176" s="1448"/>
      <c r="J176" s="1469">
        <v>415</v>
      </c>
      <c r="K176" s="1465"/>
      <c r="L176" s="1419">
        <f t="shared" si="12"/>
        <v>0</v>
      </c>
    </row>
    <row r="177" spans="1:12">
      <c r="A177" s="1135" t="s">
        <v>22</v>
      </c>
      <c r="B177" s="1475" t="s">
        <v>3308</v>
      </c>
      <c r="C177" s="1135" t="s">
        <v>361</v>
      </c>
      <c r="D177" s="1135" t="s">
        <v>3689</v>
      </c>
      <c r="E177" s="1452" t="s">
        <v>118</v>
      </c>
      <c r="F177" s="1469">
        <f t="shared" si="13"/>
        <v>436</v>
      </c>
      <c r="G177" s="1472">
        <v>436</v>
      </c>
      <c r="H177" s="1448"/>
      <c r="I177" s="1448"/>
      <c r="J177" s="1472">
        <v>436</v>
      </c>
      <c r="K177" s="1465"/>
      <c r="L177" s="1419">
        <f t="shared" si="12"/>
        <v>0</v>
      </c>
    </row>
    <row r="178" spans="1:12" ht="18" customHeight="1">
      <c r="A178" s="1135" t="s">
        <v>24</v>
      </c>
      <c r="B178" s="1475" t="s">
        <v>3309</v>
      </c>
      <c r="C178" s="1135" t="s">
        <v>361</v>
      </c>
      <c r="D178" s="1135" t="s">
        <v>3310</v>
      </c>
      <c r="E178" s="1452" t="s">
        <v>118</v>
      </c>
      <c r="F178" s="1469">
        <f t="shared" si="13"/>
        <v>240</v>
      </c>
      <c r="G178" s="1472">
        <v>240</v>
      </c>
      <c r="H178" s="1448"/>
      <c r="I178" s="1448"/>
      <c r="J178" s="1472">
        <v>240</v>
      </c>
      <c r="K178" s="1465"/>
      <c r="L178" s="1419">
        <f t="shared" si="12"/>
        <v>0</v>
      </c>
    </row>
    <row r="179" spans="1:12" ht="39">
      <c r="A179" s="1135" t="s">
        <v>700</v>
      </c>
      <c r="B179" s="1147" t="s">
        <v>3311</v>
      </c>
      <c r="C179" s="1135" t="s">
        <v>329</v>
      </c>
      <c r="D179" s="1135" t="s">
        <v>3690</v>
      </c>
      <c r="E179" s="1452" t="s">
        <v>118</v>
      </c>
      <c r="F179" s="1449">
        <v>300</v>
      </c>
      <c r="G179" s="1449">
        <v>300</v>
      </c>
      <c r="H179" s="1449"/>
      <c r="I179" s="1449"/>
      <c r="J179" s="1449">
        <v>300</v>
      </c>
      <c r="K179" s="1465"/>
      <c r="L179" s="1419">
        <f t="shared" si="12"/>
        <v>0</v>
      </c>
    </row>
    <row r="180" spans="1:12" ht="26">
      <c r="A180" s="1135" t="s">
        <v>728</v>
      </c>
      <c r="B180" s="1147" t="s">
        <v>3312</v>
      </c>
      <c r="C180" s="1135" t="s">
        <v>329</v>
      </c>
      <c r="D180" s="1135" t="s">
        <v>3691</v>
      </c>
      <c r="E180" s="1452" t="s">
        <v>118</v>
      </c>
      <c r="F180" s="1449">
        <v>370</v>
      </c>
      <c r="G180" s="1449">
        <v>370</v>
      </c>
      <c r="H180" s="1449"/>
      <c r="I180" s="1449"/>
      <c r="J180" s="1449">
        <v>370</v>
      </c>
      <c r="K180" s="1465"/>
      <c r="L180" s="1419">
        <f t="shared" si="12"/>
        <v>0</v>
      </c>
    </row>
    <row r="181" spans="1:12" ht="18" customHeight="1">
      <c r="A181" s="1135" t="s">
        <v>763</v>
      </c>
      <c r="B181" s="1147" t="s">
        <v>3313</v>
      </c>
      <c r="C181" s="1135" t="s">
        <v>329</v>
      </c>
      <c r="D181" s="1135" t="s">
        <v>3692</v>
      </c>
      <c r="E181" s="1452" t="s">
        <v>118</v>
      </c>
      <c r="F181" s="1449">
        <v>134</v>
      </c>
      <c r="G181" s="1449">
        <v>134</v>
      </c>
      <c r="H181" s="1449"/>
      <c r="I181" s="1449"/>
      <c r="J181" s="1449">
        <v>134</v>
      </c>
      <c r="K181" s="1465"/>
      <c r="L181" s="1419">
        <f t="shared" si="12"/>
        <v>0</v>
      </c>
    </row>
    <row r="182" spans="1:12" ht="26">
      <c r="A182" s="1135" t="s">
        <v>3314</v>
      </c>
      <c r="B182" s="1147" t="s">
        <v>3693</v>
      </c>
      <c r="C182" s="1135" t="s">
        <v>329</v>
      </c>
      <c r="D182" s="1135" t="s">
        <v>3691</v>
      </c>
      <c r="E182" s="1452" t="s">
        <v>118</v>
      </c>
      <c r="F182" s="1449">
        <v>1496</v>
      </c>
      <c r="G182" s="1449">
        <v>1496</v>
      </c>
      <c r="H182" s="1449"/>
      <c r="I182" s="1449"/>
      <c r="J182" s="1449">
        <v>1496</v>
      </c>
      <c r="K182" s="1465"/>
      <c r="L182" s="1419">
        <f t="shared" si="12"/>
        <v>0</v>
      </c>
    </row>
    <row r="183" spans="1:12" ht="18" customHeight="1">
      <c r="A183" s="1135" t="s">
        <v>764</v>
      </c>
      <c r="B183" s="1147" t="s">
        <v>3694</v>
      </c>
      <c r="C183" s="1135" t="s">
        <v>329</v>
      </c>
      <c r="D183" s="1456" t="s">
        <v>3695</v>
      </c>
      <c r="E183" s="1452" t="s">
        <v>118</v>
      </c>
      <c r="F183" s="1449">
        <v>200</v>
      </c>
      <c r="G183" s="1449">
        <v>200</v>
      </c>
      <c r="H183" s="1449"/>
      <c r="I183" s="1449"/>
      <c r="J183" s="1449">
        <v>200</v>
      </c>
      <c r="K183" s="1465"/>
      <c r="L183" s="1419">
        <f t="shared" si="12"/>
        <v>0</v>
      </c>
    </row>
    <row r="184" spans="1:12" ht="18" customHeight="1">
      <c r="A184" s="1135" t="s">
        <v>3315</v>
      </c>
      <c r="B184" s="1147" t="s">
        <v>3316</v>
      </c>
      <c r="C184" s="1135" t="s">
        <v>329</v>
      </c>
      <c r="D184" s="1456" t="s">
        <v>3696</v>
      </c>
      <c r="E184" s="1452" t="s">
        <v>118</v>
      </c>
      <c r="F184" s="1449">
        <v>460</v>
      </c>
      <c r="G184" s="1449">
        <v>460</v>
      </c>
      <c r="H184" s="1449"/>
      <c r="I184" s="1449"/>
      <c r="J184" s="1449">
        <v>460</v>
      </c>
      <c r="K184" s="1465"/>
      <c r="L184" s="1419">
        <f t="shared" si="12"/>
        <v>0</v>
      </c>
    </row>
    <row r="185" spans="1:12" ht="18" customHeight="1">
      <c r="A185" s="1135" t="s">
        <v>3317</v>
      </c>
      <c r="B185" s="1147" t="s">
        <v>3318</v>
      </c>
      <c r="C185" s="1135" t="s">
        <v>329</v>
      </c>
      <c r="D185" s="1456" t="s">
        <v>3697</v>
      </c>
      <c r="E185" s="1452" t="s">
        <v>118</v>
      </c>
      <c r="F185" s="1449">
        <v>60</v>
      </c>
      <c r="G185" s="1449">
        <v>60</v>
      </c>
      <c r="H185" s="1449"/>
      <c r="I185" s="1449"/>
      <c r="J185" s="1449">
        <v>60</v>
      </c>
      <c r="K185" s="1465"/>
      <c r="L185" s="1419">
        <f t="shared" si="12"/>
        <v>0</v>
      </c>
    </row>
    <row r="186" spans="1:12" ht="52">
      <c r="A186" s="1135" t="s">
        <v>3319</v>
      </c>
      <c r="B186" s="1147" t="s">
        <v>3320</v>
      </c>
      <c r="C186" s="1135" t="s">
        <v>364</v>
      </c>
      <c r="D186" s="1135" t="s">
        <v>3698</v>
      </c>
      <c r="E186" s="1452" t="s">
        <v>118</v>
      </c>
      <c r="F186" s="1449">
        <f>+G186</f>
        <v>804</v>
      </c>
      <c r="G186" s="1449">
        <f>370+434</f>
        <v>804</v>
      </c>
      <c r="H186" s="1449"/>
      <c r="I186" s="1449"/>
      <c r="J186" s="1449">
        <v>804</v>
      </c>
      <c r="K186" s="1465"/>
      <c r="L186" s="1419">
        <f t="shared" si="12"/>
        <v>0</v>
      </c>
    </row>
    <row r="187" spans="1:12">
      <c r="A187" s="1135" t="s">
        <v>3321</v>
      </c>
      <c r="B187" s="1147" t="s">
        <v>3322</v>
      </c>
      <c r="C187" s="1135" t="s">
        <v>364</v>
      </c>
      <c r="D187" s="1135" t="s">
        <v>3700</v>
      </c>
      <c r="E187" s="1452" t="s">
        <v>118</v>
      </c>
      <c r="F187" s="1449">
        <v>500</v>
      </c>
      <c r="G187" s="1449">
        <v>500</v>
      </c>
      <c r="H187" s="1449"/>
      <c r="I187" s="1449"/>
      <c r="J187" s="1449">
        <v>500</v>
      </c>
      <c r="K187" s="1465"/>
      <c r="L187" s="1419">
        <f t="shared" si="12"/>
        <v>0</v>
      </c>
    </row>
    <row r="188" spans="1:12" ht="26">
      <c r="A188" s="1135" t="s">
        <v>3323</v>
      </c>
      <c r="B188" s="1147" t="s">
        <v>3324</v>
      </c>
      <c r="C188" s="1135" t="s">
        <v>364</v>
      </c>
      <c r="D188" s="1135" t="s">
        <v>3699</v>
      </c>
      <c r="E188" s="1452" t="s">
        <v>118</v>
      </c>
      <c r="F188" s="1449">
        <v>600</v>
      </c>
      <c r="G188" s="1449">
        <v>600</v>
      </c>
      <c r="H188" s="1449"/>
      <c r="I188" s="1449"/>
      <c r="J188" s="1449">
        <v>600</v>
      </c>
      <c r="K188" s="1465"/>
      <c r="L188" s="1419">
        <f t="shared" si="12"/>
        <v>0</v>
      </c>
    </row>
    <row r="189" spans="1:12" ht="26">
      <c r="A189" s="1135" t="s">
        <v>3325</v>
      </c>
      <c r="B189" s="1147" t="s">
        <v>3326</v>
      </c>
      <c r="C189" s="1135" t="s">
        <v>364</v>
      </c>
      <c r="D189" s="1135" t="s">
        <v>3699</v>
      </c>
      <c r="E189" s="1452" t="s">
        <v>118</v>
      </c>
      <c r="F189" s="1449">
        <v>1116</v>
      </c>
      <c r="G189" s="1449">
        <v>1116</v>
      </c>
      <c r="H189" s="1449"/>
      <c r="I189" s="1449"/>
      <c r="J189" s="1449">
        <v>1116</v>
      </c>
      <c r="K189" s="1465"/>
      <c r="L189" s="1419">
        <f t="shared" si="12"/>
        <v>0</v>
      </c>
    </row>
    <row r="190" spans="1:12" ht="18" customHeight="1">
      <c r="A190" s="1135" t="s">
        <v>3327</v>
      </c>
      <c r="B190" s="1147" t="s">
        <v>3701</v>
      </c>
      <c r="C190" s="1135" t="s">
        <v>613</v>
      </c>
      <c r="D190" s="1135" t="s">
        <v>3702</v>
      </c>
      <c r="E190" s="1452" t="s">
        <v>118</v>
      </c>
      <c r="F190" s="1449">
        <v>804</v>
      </c>
      <c r="G190" s="1449">
        <v>804</v>
      </c>
      <c r="H190" s="1449"/>
      <c r="I190" s="1449"/>
      <c r="J190" s="1449">
        <v>804</v>
      </c>
      <c r="K190" s="1465"/>
      <c r="L190" s="1419">
        <f t="shared" si="12"/>
        <v>0</v>
      </c>
    </row>
    <row r="191" spans="1:12" ht="18" customHeight="1">
      <c r="A191" s="1135" t="s">
        <v>3328</v>
      </c>
      <c r="B191" s="1147" t="s">
        <v>3329</v>
      </c>
      <c r="C191" s="1135" t="s">
        <v>613</v>
      </c>
      <c r="D191" s="1135" t="s">
        <v>3703</v>
      </c>
      <c r="E191" s="1452" t="s">
        <v>118</v>
      </c>
      <c r="F191" s="1449">
        <f>+G191</f>
        <v>1520</v>
      </c>
      <c r="G191" s="1449">
        <v>1520</v>
      </c>
      <c r="H191" s="1449"/>
      <c r="I191" s="1449"/>
      <c r="J191" s="1449">
        <v>1520</v>
      </c>
      <c r="K191" s="1465"/>
      <c r="L191" s="1419">
        <f t="shared" si="12"/>
        <v>0</v>
      </c>
    </row>
    <row r="192" spans="1:12" ht="26">
      <c r="A192" s="1135" t="s">
        <v>3330</v>
      </c>
      <c r="B192" s="1147" t="s">
        <v>3331</v>
      </c>
      <c r="C192" s="1135" t="s">
        <v>613</v>
      </c>
      <c r="D192" s="1135" t="s">
        <v>3705</v>
      </c>
      <c r="E192" s="1452" t="s">
        <v>118</v>
      </c>
      <c r="F192" s="1449">
        <f t="shared" ref="F192" si="14">+G192</f>
        <v>696</v>
      </c>
      <c r="G192" s="1449">
        <v>696</v>
      </c>
      <c r="H192" s="1449"/>
      <c r="I192" s="1449"/>
      <c r="J192" s="1449">
        <v>696</v>
      </c>
      <c r="K192" s="1465"/>
      <c r="L192" s="1419">
        <f t="shared" si="12"/>
        <v>0</v>
      </c>
    </row>
    <row r="193" spans="1:12" ht="39">
      <c r="A193" s="1135" t="s">
        <v>3332</v>
      </c>
      <c r="B193" s="1147" t="s">
        <v>3333</v>
      </c>
      <c r="C193" s="1135" t="s">
        <v>3334</v>
      </c>
      <c r="D193" s="1135" t="s">
        <v>3704</v>
      </c>
      <c r="E193" s="1452" t="s">
        <v>118</v>
      </c>
      <c r="F193" s="1449">
        <v>804</v>
      </c>
      <c r="G193" s="1449">
        <v>804</v>
      </c>
      <c r="H193" s="1449"/>
      <c r="I193" s="1449"/>
      <c r="J193" s="1449">
        <v>804</v>
      </c>
      <c r="K193" s="1465"/>
      <c r="L193" s="1419">
        <f t="shared" si="12"/>
        <v>0</v>
      </c>
    </row>
    <row r="194" spans="1:12" ht="26">
      <c r="A194" s="1135" t="s">
        <v>1637</v>
      </c>
      <c r="B194" s="1147" t="s">
        <v>3335</v>
      </c>
      <c r="C194" s="1135" t="s">
        <v>3334</v>
      </c>
      <c r="D194" s="1135" t="s">
        <v>3706</v>
      </c>
      <c r="E194" s="1452" t="s">
        <v>118</v>
      </c>
      <c r="F194" s="1449">
        <f>G194</f>
        <v>1560</v>
      </c>
      <c r="G194" s="1449">
        <v>1560</v>
      </c>
      <c r="H194" s="1449"/>
      <c r="I194" s="1449"/>
      <c r="J194" s="1449">
        <v>1560</v>
      </c>
      <c r="K194" s="1465"/>
      <c r="L194" s="1419">
        <f t="shared" si="12"/>
        <v>0</v>
      </c>
    </row>
    <row r="195" spans="1:12" ht="26">
      <c r="A195" s="1135" t="s">
        <v>3336</v>
      </c>
      <c r="B195" s="1147" t="s">
        <v>3337</v>
      </c>
      <c r="C195" s="1135" t="s">
        <v>3334</v>
      </c>
      <c r="D195" s="1135" t="s">
        <v>3707</v>
      </c>
      <c r="E195" s="1452" t="s">
        <v>118</v>
      </c>
      <c r="F195" s="1449">
        <v>656</v>
      </c>
      <c r="G195" s="1449">
        <f>F195</f>
        <v>656</v>
      </c>
      <c r="H195" s="1449"/>
      <c r="I195" s="1449"/>
      <c r="J195" s="1449">
        <v>656</v>
      </c>
      <c r="K195" s="1465"/>
      <c r="L195" s="1419">
        <f t="shared" si="12"/>
        <v>0</v>
      </c>
    </row>
    <row r="196" spans="1:12" ht="78">
      <c r="A196" s="1135" t="s">
        <v>1535</v>
      </c>
      <c r="B196" s="1147" t="s">
        <v>3338</v>
      </c>
      <c r="C196" s="1135" t="s">
        <v>340</v>
      </c>
      <c r="D196" s="1135" t="s">
        <v>3708</v>
      </c>
      <c r="E196" s="1452" t="s">
        <v>118</v>
      </c>
      <c r="F196" s="1449">
        <f>+G196</f>
        <v>804</v>
      </c>
      <c r="G196" s="1449">
        <v>804</v>
      </c>
      <c r="H196" s="1449"/>
      <c r="I196" s="1449"/>
      <c r="J196" s="1449">
        <v>804</v>
      </c>
      <c r="K196" s="1465"/>
      <c r="L196" s="1419">
        <f t="shared" si="12"/>
        <v>0</v>
      </c>
    </row>
    <row r="197" spans="1:12" ht="18" customHeight="1">
      <c r="A197" s="1135" t="s">
        <v>3339</v>
      </c>
      <c r="B197" s="1147" t="s">
        <v>3340</v>
      </c>
      <c r="C197" s="1135" t="s">
        <v>340</v>
      </c>
      <c r="D197" s="1135" t="s">
        <v>3709</v>
      </c>
      <c r="E197" s="1452" t="s">
        <v>118</v>
      </c>
      <c r="F197" s="1449">
        <f t="shared" ref="F197:F199" si="15">+G197</f>
        <v>700</v>
      </c>
      <c r="G197" s="1449">
        <v>700</v>
      </c>
      <c r="H197" s="1449"/>
      <c r="I197" s="1449"/>
      <c r="J197" s="1449">
        <v>700</v>
      </c>
      <c r="K197" s="1465"/>
      <c r="L197" s="1419">
        <f t="shared" si="12"/>
        <v>0</v>
      </c>
    </row>
    <row r="198" spans="1:12" ht="39">
      <c r="A198" s="1135" t="s">
        <v>3341</v>
      </c>
      <c r="B198" s="1147" t="s">
        <v>3342</v>
      </c>
      <c r="C198" s="1135" t="s">
        <v>340</v>
      </c>
      <c r="D198" s="1135" t="s">
        <v>3710</v>
      </c>
      <c r="E198" s="1452" t="s">
        <v>118</v>
      </c>
      <c r="F198" s="1449">
        <f t="shared" si="15"/>
        <v>650</v>
      </c>
      <c r="G198" s="1449">
        <v>650</v>
      </c>
      <c r="H198" s="1449"/>
      <c r="I198" s="1449"/>
      <c r="J198" s="1449">
        <v>650</v>
      </c>
      <c r="K198" s="1465"/>
      <c r="L198" s="1419">
        <f t="shared" si="12"/>
        <v>0</v>
      </c>
    </row>
    <row r="199" spans="1:12" ht="39">
      <c r="A199" s="1135" t="s">
        <v>3343</v>
      </c>
      <c r="B199" s="1147" t="s">
        <v>3344</v>
      </c>
      <c r="C199" s="1135" t="s">
        <v>340</v>
      </c>
      <c r="D199" s="1135" t="s">
        <v>3710</v>
      </c>
      <c r="E199" s="1452" t="s">
        <v>118</v>
      </c>
      <c r="F199" s="1449">
        <f t="shared" si="15"/>
        <v>866</v>
      </c>
      <c r="G199" s="1449">
        <v>866</v>
      </c>
      <c r="H199" s="1449"/>
      <c r="I199" s="1449"/>
      <c r="J199" s="1449">
        <v>866</v>
      </c>
      <c r="K199" s="1465"/>
      <c r="L199" s="1419">
        <f t="shared" si="12"/>
        <v>0</v>
      </c>
    </row>
    <row r="200" spans="1:12" ht="39">
      <c r="A200" s="1135" t="s">
        <v>3345</v>
      </c>
      <c r="B200" s="1147" t="s">
        <v>3346</v>
      </c>
      <c r="C200" s="1135" t="s">
        <v>355</v>
      </c>
      <c r="D200" s="1135" t="s">
        <v>3711</v>
      </c>
      <c r="E200" s="1452" t="s">
        <v>118</v>
      </c>
      <c r="F200" s="1449">
        <v>804</v>
      </c>
      <c r="G200" s="1449">
        <v>804</v>
      </c>
      <c r="H200" s="1469"/>
      <c r="I200" s="1449"/>
      <c r="J200" s="1449">
        <v>804</v>
      </c>
      <c r="K200" s="1465"/>
      <c r="L200" s="1419">
        <f t="shared" si="12"/>
        <v>0</v>
      </c>
    </row>
    <row r="201" spans="1:12" ht="18" customHeight="1">
      <c r="A201" s="1135" t="s">
        <v>3347</v>
      </c>
      <c r="B201" s="1147" t="s">
        <v>3348</v>
      </c>
      <c r="C201" s="1135" t="s">
        <v>355</v>
      </c>
      <c r="D201" s="1135" t="s">
        <v>3712</v>
      </c>
      <c r="E201" s="1452" t="s">
        <v>118</v>
      </c>
      <c r="F201" s="1449">
        <v>300</v>
      </c>
      <c r="G201" s="1449">
        <v>300</v>
      </c>
      <c r="H201" s="1472"/>
      <c r="I201" s="1449"/>
      <c r="J201" s="1449">
        <v>300</v>
      </c>
      <c r="K201" s="1465"/>
      <c r="L201" s="1419">
        <f t="shared" si="12"/>
        <v>0</v>
      </c>
    </row>
    <row r="202" spans="1:12" ht="18" customHeight="1">
      <c r="A202" s="1135" t="s">
        <v>3349</v>
      </c>
      <c r="B202" s="1147" t="s">
        <v>3350</v>
      </c>
      <c r="C202" s="1135" t="s">
        <v>355</v>
      </c>
      <c r="D202" s="1135" t="s">
        <v>3713</v>
      </c>
      <c r="E202" s="1452" t="s">
        <v>118</v>
      </c>
      <c r="F202" s="1449">
        <v>1666</v>
      </c>
      <c r="G202" s="1449">
        <f>1560+106</f>
        <v>1666</v>
      </c>
      <c r="H202" s="1472"/>
      <c r="I202" s="1449"/>
      <c r="J202" s="1449">
        <v>1666</v>
      </c>
      <c r="K202" s="1465"/>
      <c r="L202" s="1419">
        <f t="shared" si="12"/>
        <v>0</v>
      </c>
    </row>
    <row r="203" spans="1:12" ht="26">
      <c r="A203" s="1135" t="s">
        <v>3351</v>
      </c>
      <c r="B203" s="1147" t="s">
        <v>3352</v>
      </c>
      <c r="C203" s="1135" t="s">
        <v>355</v>
      </c>
      <c r="D203" s="1135" t="s">
        <v>3714</v>
      </c>
      <c r="E203" s="1452" t="s">
        <v>118</v>
      </c>
      <c r="F203" s="1449">
        <v>250</v>
      </c>
      <c r="G203" s="1449">
        <v>250</v>
      </c>
      <c r="H203" s="1449"/>
      <c r="I203" s="1449"/>
      <c r="J203" s="1449">
        <v>250</v>
      </c>
      <c r="K203" s="1465"/>
      <c r="L203" s="1419">
        <f t="shared" si="12"/>
        <v>0</v>
      </c>
    </row>
    <row r="204" spans="1:12" ht="104">
      <c r="A204" s="1135" t="s">
        <v>3353</v>
      </c>
      <c r="B204" s="1147" t="s">
        <v>3354</v>
      </c>
      <c r="C204" s="1135" t="s">
        <v>334</v>
      </c>
      <c r="D204" s="1141" t="s">
        <v>3715</v>
      </c>
      <c r="E204" s="1452" t="s">
        <v>118</v>
      </c>
      <c r="F204" s="1476">
        <f>600+536</f>
        <v>1136</v>
      </c>
      <c r="G204" s="1476">
        <f>600+536</f>
        <v>1136</v>
      </c>
      <c r="H204" s="1449"/>
      <c r="I204" s="1449"/>
      <c r="J204" s="1476">
        <v>1136</v>
      </c>
      <c r="K204" s="1465"/>
      <c r="L204" s="1419">
        <f t="shared" si="12"/>
        <v>0</v>
      </c>
    </row>
    <row r="205" spans="1:12" ht="65">
      <c r="A205" s="1135" t="s">
        <v>3355</v>
      </c>
      <c r="B205" s="1147" t="s">
        <v>3356</v>
      </c>
      <c r="C205" s="1135" t="s">
        <v>334</v>
      </c>
      <c r="D205" s="1141" t="s">
        <v>3716</v>
      </c>
      <c r="E205" s="1452" t="s">
        <v>118</v>
      </c>
      <c r="F205" s="1476">
        <v>600</v>
      </c>
      <c r="G205" s="1476">
        <v>600</v>
      </c>
      <c r="H205" s="1449"/>
      <c r="I205" s="1449"/>
      <c r="J205" s="1476">
        <v>600</v>
      </c>
      <c r="K205" s="1465"/>
      <c r="L205" s="1419">
        <f t="shared" si="12"/>
        <v>0</v>
      </c>
    </row>
    <row r="206" spans="1:12" ht="26">
      <c r="A206" s="1135" t="s">
        <v>3357</v>
      </c>
      <c r="B206" s="1147" t="s">
        <v>3358</v>
      </c>
      <c r="C206" s="1135" t="s">
        <v>368</v>
      </c>
      <c r="D206" s="1135" t="s">
        <v>3717</v>
      </c>
      <c r="E206" s="1452" t="s">
        <v>118</v>
      </c>
      <c r="F206" s="1476">
        <v>1000</v>
      </c>
      <c r="G206" s="1476">
        <v>1000</v>
      </c>
      <c r="H206" s="1449"/>
      <c r="I206" s="1449"/>
      <c r="J206" s="1476">
        <v>1000</v>
      </c>
      <c r="K206" s="1465"/>
      <c r="L206" s="1419">
        <f t="shared" si="12"/>
        <v>0</v>
      </c>
    </row>
    <row r="207" spans="1:12" ht="39">
      <c r="A207" s="1135" t="s">
        <v>3359</v>
      </c>
      <c r="B207" s="1147" t="s">
        <v>3360</v>
      </c>
      <c r="C207" s="1135" t="s">
        <v>368</v>
      </c>
      <c r="D207" s="1135" t="s">
        <v>3718</v>
      </c>
      <c r="E207" s="1452" t="s">
        <v>118</v>
      </c>
      <c r="F207" s="1476">
        <v>736</v>
      </c>
      <c r="G207" s="1476">
        <v>736</v>
      </c>
      <c r="H207" s="1449"/>
      <c r="I207" s="1449"/>
      <c r="J207" s="1476">
        <v>736</v>
      </c>
      <c r="K207" s="1465"/>
      <c r="L207" s="1419">
        <f t="shared" si="12"/>
        <v>0</v>
      </c>
    </row>
    <row r="208" spans="1:12" ht="39">
      <c r="A208" s="1135" t="s">
        <v>3361</v>
      </c>
      <c r="B208" s="1147" t="s">
        <v>3362</v>
      </c>
      <c r="C208" s="1135" t="s">
        <v>345</v>
      </c>
      <c r="D208" s="1135" t="s">
        <v>3719</v>
      </c>
      <c r="E208" s="1452" t="s">
        <v>118</v>
      </c>
      <c r="F208" s="1476">
        <f>+G208</f>
        <v>536</v>
      </c>
      <c r="G208" s="1449">
        <v>536</v>
      </c>
      <c r="H208" s="1449"/>
      <c r="I208" s="1449"/>
      <c r="J208" s="1449">
        <v>536</v>
      </c>
      <c r="K208" s="1465"/>
      <c r="L208" s="1419">
        <f t="shared" si="12"/>
        <v>0</v>
      </c>
    </row>
    <row r="209" spans="1:14" ht="130">
      <c r="A209" s="1135" t="s">
        <v>3363</v>
      </c>
      <c r="B209" s="1147" t="s">
        <v>3364</v>
      </c>
      <c r="C209" s="1135" t="s">
        <v>345</v>
      </c>
      <c r="D209" s="1135" t="s">
        <v>3720</v>
      </c>
      <c r="E209" s="1452" t="s">
        <v>118</v>
      </c>
      <c r="F209" s="1476">
        <f>+G209</f>
        <v>1200</v>
      </c>
      <c r="G209" s="1449">
        <v>1200</v>
      </c>
      <c r="H209" s="1449"/>
      <c r="I209" s="1449"/>
      <c r="J209" s="1449">
        <v>1200</v>
      </c>
      <c r="K209" s="1465"/>
      <c r="L209" s="1419">
        <f t="shared" si="12"/>
        <v>0</v>
      </c>
    </row>
    <row r="210" spans="1:14" ht="39">
      <c r="A210" s="1135" t="s">
        <v>3365</v>
      </c>
      <c r="B210" s="1147" t="s">
        <v>3366</v>
      </c>
      <c r="C210" s="1135" t="s">
        <v>356</v>
      </c>
      <c r="D210" s="1135" t="s">
        <v>3721</v>
      </c>
      <c r="E210" s="1452" t="s">
        <v>118</v>
      </c>
      <c r="F210" s="1476">
        <v>1736</v>
      </c>
      <c r="G210" s="1476">
        <v>1736</v>
      </c>
      <c r="H210" s="1449"/>
      <c r="I210" s="1449"/>
      <c r="J210" s="1476">
        <v>1736</v>
      </c>
      <c r="K210" s="1465"/>
      <c r="L210" s="1419">
        <f t="shared" si="12"/>
        <v>0</v>
      </c>
    </row>
    <row r="211" spans="1:14" ht="26">
      <c r="A211" s="1135" t="s">
        <v>3367</v>
      </c>
      <c r="B211" s="1147" t="s">
        <v>3368</v>
      </c>
      <c r="C211" s="1135" t="s">
        <v>3369</v>
      </c>
      <c r="D211" s="1456"/>
      <c r="E211" s="1452" t="s">
        <v>118</v>
      </c>
      <c r="F211" s="1312">
        <f>G211+H211</f>
        <v>11070</v>
      </c>
      <c r="G211" s="1449">
        <v>7380</v>
      </c>
      <c r="H211" s="1449">
        <f>G211/2</f>
        <v>3690</v>
      </c>
      <c r="I211" s="1449"/>
      <c r="J211" s="1449">
        <v>7380</v>
      </c>
      <c r="K211" s="1465"/>
      <c r="L211" s="1419">
        <f t="shared" si="12"/>
        <v>0</v>
      </c>
    </row>
    <row r="212" spans="1:14" ht="26">
      <c r="A212" s="1135" t="s">
        <v>3370</v>
      </c>
      <c r="B212" s="1477" t="s">
        <v>3371</v>
      </c>
      <c r="C212" s="1135" t="s">
        <v>3369</v>
      </c>
      <c r="D212" s="1470" t="s">
        <v>3372</v>
      </c>
      <c r="E212" s="1452" t="s">
        <v>118</v>
      </c>
      <c r="F212" s="1449">
        <f t="shared" ref="F212:F218" si="16">+G212+H212</f>
        <v>2400</v>
      </c>
      <c r="G212" s="1449">
        <v>1600</v>
      </c>
      <c r="H212" s="1449">
        <f>G212/2</f>
        <v>800</v>
      </c>
      <c r="I212" s="1469"/>
      <c r="J212" s="1449">
        <v>1600</v>
      </c>
      <c r="K212" s="1465"/>
      <c r="L212" s="1419">
        <f t="shared" si="12"/>
        <v>0</v>
      </c>
    </row>
    <row r="213" spans="1:14" ht="26">
      <c r="A213" s="1135" t="s">
        <v>3373</v>
      </c>
      <c r="B213" s="1477" t="s">
        <v>3374</v>
      </c>
      <c r="C213" s="1135" t="s">
        <v>361</v>
      </c>
      <c r="D213" s="1470" t="s">
        <v>3722</v>
      </c>
      <c r="E213" s="1452" t="s">
        <v>118</v>
      </c>
      <c r="F213" s="1449">
        <f t="shared" si="16"/>
        <v>6000</v>
      </c>
      <c r="G213" s="1449">
        <v>4000</v>
      </c>
      <c r="H213" s="1449">
        <f t="shared" ref="H213:H218" si="17">G213/2</f>
        <v>2000</v>
      </c>
      <c r="I213" s="1469"/>
      <c r="J213" s="1449">
        <v>4000</v>
      </c>
      <c r="K213" s="1465"/>
      <c r="L213" s="1419">
        <f t="shared" si="12"/>
        <v>0</v>
      </c>
    </row>
    <row r="214" spans="1:14" ht="41.5">
      <c r="A214" s="1135" t="s">
        <v>3375</v>
      </c>
      <c r="B214" s="1147" t="s">
        <v>3376</v>
      </c>
      <c r="C214" s="1135" t="s">
        <v>3369</v>
      </c>
      <c r="D214" s="1470" t="s">
        <v>3580</v>
      </c>
      <c r="E214" s="1452" t="s">
        <v>118</v>
      </c>
      <c r="F214" s="1449">
        <f t="shared" si="16"/>
        <v>3300</v>
      </c>
      <c r="G214" s="1449">
        <v>2200</v>
      </c>
      <c r="H214" s="1449">
        <f t="shared" si="17"/>
        <v>1100</v>
      </c>
      <c r="I214" s="1469"/>
      <c r="J214" s="1449">
        <v>2200</v>
      </c>
      <c r="K214" s="1465"/>
      <c r="L214" s="1419">
        <f t="shared" si="12"/>
        <v>0</v>
      </c>
    </row>
    <row r="215" spans="1:14">
      <c r="A215" s="1135" t="s">
        <v>3377</v>
      </c>
      <c r="B215" s="1147" t="s">
        <v>3378</v>
      </c>
      <c r="C215" s="1135" t="s">
        <v>3369</v>
      </c>
      <c r="D215" s="1135"/>
      <c r="E215" s="1452" t="s">
        <v>118</v>
      </c>
      <c r="F215" s="1449">
        <f t="shared" si="16"/>
        <v>18000</v>
      </c>
      <c r="G215" s="1449">
        <v>12000</v>
      </c>
      <c r="H215" s="1449">
        <f t="shared" si="17"/>
        <v>6000</v>
      </c>
      <c r="I215" s="1469"/>
      <c r="J215" s="1449">
        <v>12000</v>
      </c>
      <c r="K215" s="1465"/>
      <c r="L215" s="1419">
        <f t="shared" si="12"/>
        <v>0</v>
      </c>
      <c r="M215" s="1420"/>
    </row>
    <row r="216" spans="1:14" ht="26">
      <c r="A216" s="1135" t="s">
        <v>3379</v>
      </c>
      <c r="B216" s="1147" t="s">
        <v>3380</v>
      </c>
      <c r="C216" s="1135" t="s">
        <v>3369</v>
      </c>
      <c r="D216" s="1135"/>
      <c r="E216" s="1452" t="s">
        <v>118</v>
      </c>
      <c r="F216" s="1449">
        <f t="shared" si="16"/>
        <v>5250</v>
      </c>
      <c r="G216" s="1449">
        <v>3500</v>
      </c>
      <c r="H216" s="1449">
        <f t="shared" si="17"/>
        <v>1750</v>
      </c>
      <c r="I216" s="1469"/>
      <c r="J216" s="1449">
        <v>3500</v>
      </c>
      <c r="K216" s="1465"/>
      <c r="L216" s="1419">
        <f t="shared" si="12"/>
        <v>0</v>
      </c>
    </row>
    <row r="217" spans="1:14">
      <c r="A217" s="1135" t="s">
        <v>3381</v>
      </c>
      <c r="B217" s="1147" t="s">
        <v>3382</v>
      </c>
      <c r="C217" s="1135" t="s">
        <v>3369</v>
      </c>
      <c r="D217" s="1135"/>
      <c r="E217" s="1452" t="s">
        <v>118</v>
      </c>
      <c r="F217" s="1449">
        <f t="shared" si="16"/>
        <v>18750</v>
      </c>
      <c r="G217" s="1449">
        <v>12500</v>
      </c>
      <c r="H217" s="1449">
        <f t="shared" si="17"/>
        <v>6250</v>
      </c>
      <c r="I217" s="1469"/>
      <c r="J217" s="1449">
        <v>12500</v>
      </c>
      <c r="K217" s="1465"/>
      <c r="L217" s="1419">
        <f t="shared" si="12"/>
        <v>0</v>
      </c>
      <c r="N217" s="1420"/>
    </row>
    <row r="218" spans="1:14">
      <c r="A218" s="1135" t="s">
        <v>3383</v>
      </c>
      <c r="B218" s="1147" t="s">
        <v>3384</v>
      </c>
      <c r="C218" s="1135" t="s">
        <v>23</v>
      </c>
      <c r="D218" s="1135"/>
      <c r="E218" s="1452" t="s">
        <v>118</v>
      </c>
      <c r="F218" s="1449">
        <f t="shared" si="16"/>
        <v>12831</v>
      </c>
      <c r="G218" s="1449">
        <v>8554</v>
      </c>
      <c r="H218" s="1449">
        <f t="shared" si="17"/>
        <v>4277</v>
      </c>
      <c r="I218" s="1449"/>
      <c r="J218" s="1449">
        <v>8554</v>
      </c>
      <c r="K218" s="1465"/>
      <c r="L218" s="1419">
        <f t="shared" si="12"/>
        <v>0</v>
      </c>
    </row>
    <row r="219" spans="1:14" ht="18" customHeight="1">
      <c r="A219" s="1063" t="s">
        <v>31</v>
      </c>
      <c r="B219" s="1189" t="s">
        <v>2632</v>
      </c>
      <c r="C219" s="1190"/>
      <c r="D219" s="1190"/>
      <c r="E219" s="1190"/>
      <c r="F219" s="1448">
        <f>SUM(F220:F280)</f>
        <v>46031</v>
      </c>
      <c r="G219" s="1448">
        <f t="shared" ref="G219:I219" si="18">SUM(G220:G280)</f>
        <v>41592</v>
      </c>
      <c r="H219" s="1448">
        <f t="shared" si="18"/>
        <v>0</v>
      </c>
      <c r="I219" s="1448">
        <f t="shared" si="18"/>
        <v>4439</v>
      </c>
      <c r="J219" s="1448">
        <v>41592</v>
      </c>
      <c r="K219" s="1078"/>
    </row>
    <row r="220" spans="1:14" ht="18" customHeight="1">
      <c r="A220" s="1478">
        <v>1</v>
      </c>
      <c r="B220" s="1479" t="s">
        <v>3385</v>
      </c>
      <c r="C220" s="1455" t="s">
        <v>235</v>
      </c>
      <c r="D220" s="1135" t="s">
        <v>3386</v>
      </c>
      <c r="E220" s="1452" t="s">
        <v>118</v>
      </c>
      <c r="F220" s="1472">
        <f>+G220+I220</f>
        <v>1000</v>
      </c>
      <c r="G220" s="1480">
        <v>792</v>
      </c>
      <c r="H220" s="1480"/>
      <c r="I220" s="1480">
        <v>208</v>
      </c>
      <c r="J220" s="1480">
        <v>792</v>
      </c>
      <c r="K220" s="1465"/>
    </row>
    <row r="221" spans="1:14" ht="18" customHeight="1">
      <c r="A221" s="1478">
        <v>2</v>
      </c>
      <c r="B221" s="1481" t="s">
        <v>3387</v>
      </c>
      <c r="C221" s="1455" t="s">
        <v>235</v>
      </c>
      <c r="D221" s="1135" t="s">
        <v>2650</v>
      </c>
      <c r="E221" s="1452" t="s">
        <v>118</v>
      </c>
      <c r="F221" s="1472">
        <f t="shared" ref="F221:F280" si="19">+G221+I221</f>
        <v>500</v>
      </c>
      <c r="G221" s="1480">
        <v>480</v>
      </c>
      <c r="H221" s="1480"/>
      <c r="I221" s="1480">
        <v>20</v>
      </c>
      <c r="J221" s="1480">
        <v>480</v>
      </c>
      <c r="K221" s="1465"/>
    </row>
    <row r="222" spans="1:14" ht="18" customHeight="1">
      <c r="A222" s="1478">
        <v>3</v>
      </c>
      <c r="B222" s="1481" t="s">
        <v>3388</v>
      </c>
      <c r="C222" s="1455" t="s">
        <v>235</v>
      </c>
      <c r="D222" s="1135" t="s">
        <v>3389</v>
      </c>
      <c r="E222" s="1452" t="s">
        <v>118</v>
      </c>
      <c r="F222" s="1472">
        <f t="shared" si="19"/>
        <v>544</v>
      </c>
      <c r="G222" s="1480">
        <v>464</v>
      </c>
      <c r="H222" s="1480"/>
      <c r="I222" s="1480">
        <v>80</v>
      </c>
      <c r="J222" s="1480">
        <v>464</v>
      </c>
      <c r="K222" s="1465"/>
    </row>
    <row r="223" spans="1:14" ht="18" customHeight="1">
      <c r="A223" s="1478">
        <v>4</v>
      </c>
      <c r="B223" s="1147" t="s">
        <v>3390</v>
      </c>
      <c r="C223" s="1135" t="s">
        <v>213</v>
      </c>
      <c r="D223" s="1135" t="s">
        <v>3391</v>
      </c>
      <c r="E223" s="1452" t="s">
        <v>118</v>
      </c>
      <c r="F223" s="1472">
        <f t="shared" si="19"/>
        <v>1010</v>
      </c>
      <c r="G223" s="1449">
        <v>980</v>
      </c>
      <c r="H223" s="1449"/>
      <c r="I223" s="1480">
        <v>30</v>
      </c>
      <c r="J223" s="1449">
        <v>980</v>
      </c>
      <c r="K223" s="1465"/>
    </row>
    <row r="224" spans="1:14" ht="18" customHeight="1">
      <c r="A224" s="1478">
        <v>5</v>
      </c>
      <c r="B224" s="1147" t="s">
        <v>3392</v>
      </c>
      <c r="C224" s="1135" t="s">
        <v>213</v>
      </c>
      <c r="D224" s="1135" t="s">
        <v>3393</v>
      </c>
      <c r="E224" s="1452" t="s">
        <v>118</v>
      </c>
      <c r="F224" s="1472">
        <f t="shared" si="19"/>
        <v>520</v>
      </c>
      <c r="G224" s="1449">
        <v>490</v>
      </c>
      <c r="H224" s="1449"/>
      <c r="I224" s="1480">
        <v>30</v>
      </c>
      <c r="J224" s="1449">
        <v>490</v>
      </c>
      <c r="K224" s="1465"/>
    </row>
    <row r="225" spans="1:11" ht="18" customHeight="1">
      <c r="A225" s="1478">
        <v>6</v>
      </c>
      <c r="B225" s="1147" t="s">
        <v>3394</v>
      </c>
      <c r="C225" s="1135" t="s">
        <v>213</v>
      </c>
      <c r="D225" s="1135" t="s">
        <v>3395</v>
      </c>
      <c r="E225" s="1452" t="s">
        <v>118</v>
      </c>
      <c r="F225" s="1472">
        <f t="shared" si="19"/>
        <v>301</v>
      </c>
      <c r="G225" s="1449">
        <v>266</v>
      </c>
      <c r="H225" s="1449"/>
      <c r="I225" s="1480">
        <v>35</v>
      </c>
      <c r="J225" s="1449">
        <v>266</v>
      </c>
      <c r="K225" s="1465"/>
    </row>
    <row r="226" spans="1:11" ht="18" customHeight="1">
      <c r="A226" s="1478">
        <v>7</v>
      </c>
      <c r="B226" s="1482" t="s">
        <v>3396</v>
      </c>
      <c r="C226" s="1135" t="s">
        <v>3397</v>
      </c>
      <c r="D226" s="1135" t="s">
        <v>3398</v>
      </c>
      <c r="E226" s="1452" t="s">
        <v>118</v>
      </c>
      <c r="F226" s="1472">
        <f t="shared" si="19"/>
        <v>824</v>
      </c>
      <c r="G226" s="1449">
        <v>804</v>
      </c>
      <c r="H226" s="1449"/>
      <c r="I226" s="1480">
        <v>20</v>
      </c>
      <c r="J226" s="1449">
        <v>804</v>
      </c>
      <c r="K226" s="1465"/>
    </row>
    <row r="227" spans="1:11" ht="18" customHeight="1">
      <c r="A227" s="1478">
        <v>8</v>
      </c>
      <c r="B227" s="1482" t="s">
        <v>3399</v>
      </c>
      <c r="C227" s="1135" t="s">
        <v>3397</v>
      </c>
      <c r="D227" s="1135" t="s">
        <v>3395</v>
      </c>
      <c r="E227" s="1452" t="s">
        <v>118</v>
      </c>
      <c r="F227" s="1472">
        <f t="shared" si="19"/>
        <v>270</v>
      </c>
      <c r="G227" s="1469">
        <v>250</v>
      </c>
      <c r="H227" s="1469"/>
      <c r="I227" s="1480">
        <v>20</v>
      </c>
      <c r="J227" s="1469">
        <v>250</v>
      </c>
      <c r="K227" s="1465"/>
    </row>
    <row r="228" spans="1:11" ht="18" customHeight="1">
      <c r="A228" s="1478">
        <v>9</v>
      </c>
      <c r="B228" s="1482" t="s">
        <v>3400</v>
      </c>
      <c r="C228" s="1135" t="s">
        <v>3397</v>
      </c>
      <c r="D228" s="1135" t="s">
        <v>3395</v>
      </c>
      <c r="E228" s="1452" t="s">
        <v>118</v>
      </c>
      <c r="F228" s="1472">
        <f t="shared" si="19"/>
        <v>270</v>
      </c>
      <c r="G228" s="1449">
        <v>250</v>
      </c>
      <c r="H228" s="1449"/>
      <c r="I228" s="1480">
        <v>20</v>
      </c>
      <c r="J228" s="1449">
        <v>250</v>
      </c>
      <c r="K228" s="1465"/>
    </row>
    <row r="229" spans="1:11" ht="18" customHeight="1">
      <c r="A229" s="1478">
        <v>10</v>
      </c>
      <c r="B229" s="1482" t="s">
        <v>3401</v>
      </c>
      <c r="C229" s="1135" t="s">
        <v>3397</v>
      </c>
      <c r="D229" s="1135" t="s">
        <v>3402</v>
      </c>
      <c r="E229" s="1452" t="s">
        <v>118</v>
      </c>
      <c r="F229" s="1472">
        <f t="shared" si="19"/>
        <v>896</v>
      </c>
      <c r="G229" s="1449">
        <v>690</v>
      </c>
      <c r="H229" s="1449"/>
      <c r="I229" s="1480">
        <v>206</v>
      </c>
      <c r="J229" s="1449">
        <v>690</v>
      </c>
      <c r="K229" s="1465"/>
    </row>
    <row r="230" spans="1:11" ht="18" customHeight="1">
      <c r="A230" s="1478">
        <v>11</v>
      </c>
      <c r="B230" s="1482" t="s">
        <v>3403</v>
      </c>
      <c r="C230" s="1135" t="s">
        <v>3397</v>
      </c>
      <c r="D230" s="1135" t="s">
        <v>3398</v>
      </c>
      <c r="E230" s="1452" t="s">
        <v>118</v>
      </c>
      <c r="F230" s="1472">
        <f t="shared" si="19"/>
        <v>580</v>
      </c>
      <c r="G230" s="1449">
        <v>550</v>
      </c>
      <c r="H230" s="1449"/>
      <c r="I230" s="1480">
        <v>30</v>
      </c>
      <c r="J230" s="1449">
        <v>550</v>
      </c>
      <c r="K230" s="1465"/>
    </row>
    <row r="231" spans="1:11" ht="18" customHeight="1">
      <c r="A231" s="1478">
        <v>12</v>
      </c>
      <c r="B231" s="1482" t="s">
        <v>3404</v>
      </c>
      <c r="C231" s="1135" t="s">
        <v>3397</v>
      </c>
      <c r="D231" s="1135" t="s">
        <v>276</v>
      </c>
      <c r="E231" s="1452" t="s">
        <v>118</v>
      </c>
      <c r="F231" s="1472">
        <f t="shared" si="19"/>
        <v>506</v>
      </c>
      <c r="G231" s="1449">
        <v>476</v>
      </c>
      <c r="H231" s="1449"/>
      <c r="I231" s="1480">
        <v>30</v>
      </c>
      <c r="J231" s="1449">
        <v>476</v>
      </c>
      <c r="K231" s="1465"/>
    </row>
    <row r="232" spans="1:11" ht="26">
      <c r="A232" s="1478">
        <v>13</v>
      </c>
      <c r="B232" s="1147" t="s">
        <v>3405</v>
      </c>
      <c r="C232" s="1198" t="s">
        <v>211</v>
      </c>
      <c r="D232" s="1135" t="s">
        <v>3406</v>
      </c>
      <c r="E232" s="1452" t="s">
        <v>118</v>
      </c>
      <c r="F232" s="1472">
        <f t="shared" si="19"/>
        <v>816</v>
      </c>
      <c r="G232" s="1449">
        <v>636</v>
      </c>
      <c r="H232" s="1449"/>
      <c r="I232" s="1449">
        <v>180</v>
      </c>
      <c r="J232" s="1449">
        <v>636</v>
      </c>
      <c r="K232" s="1465"/>
    </row>
    <row r="233" spans="1:11" ht="18" customHeight="1">
      <c r="A233" s="1478">
        <v>14</v>
      </c>
      <c r="B233" s="1147" t="s">
        <v>3407</v>
      </c>
      <c r="C233" s="1198" t="s">
        <v>211</v>
      </c>
      <c r="D233" s="1135" t="s">
        <v>3408</v>
      </c>
      <c r="E233" s="1452" t="s">
        <v>118</v>
      </c>
      <c r="F233" s="1472">
        <f t="shared" si="19"/>
        <v>576</v>
      </c>
      <c r="G233" s="1449">
        <v>550</v>
      </c>
      <c r="H233" s="1449"/>
      <c r="I233" s="1449">
        <v>26</v>
      </c>
      <c r="J233" s="1449">
        <v>550</v>
      </c>
      <c r="K233" s="1465"/>
    </row>
    <row r="234" spans="1:11" ht="18" customHeight="1">
      <c r="A234" s="1478">
        <v>15</v>
      </c>
      <c r="B234" s="1147" t="s">
        <v>3409</v>
      </c>
      <c r="C234" s="1198" t="s">
        <v>211</v>
      </c>
      <c r="D234" s="1135" t="s">
        <v>3410</v>
      </c>
      <c r="E234" s="1452" t="s">
        <v>118</v>
      </c>
      <c r="F234" s="1472">
        <f t="shared" si="19"/>
        <v>570</v>
      </c>
      <c r="G234" s="1449">
        <v>550</v>
      </c>
      <c r="H234" s="1449"/>
      <c r="I234" s="1449">
        <v>20</v>
      </c>
      <c r="J234" s="1449">
        <v>550</v>
      </c>
      <c r="K234" s="1465"/>
    </row>
    <row r="235" spans="1:11" ht="18" customHeight="1">
      <c r="A235" s="1478">
        <v>16</v>
      </c>
      <c r="B235" s="1482" t="s">
        <v>3411</v>
      </c>
      <c r="C235" s="1135" t="s">
        <v>212</v>
      </c>
      <c r="D235" s="1135" t="s">
        <v>3412</v>
      </c>
      <c r="E235" s="1452" t="s">
        <v>118</v>
      </c>
      <c r="F235" s="1472">
        <f t="shared" si="19"/>
        <v>931</v>
      </c>
      <c r="G235" s="1449">
        <v>896</v>
      </c>
      <c r="H235" s="1449"/>
      <c r="I235" s="1480">
        <v>35</v>
      </c>
      <c r="J235" s="1449">
        <v>896</v>
      </c>
      <c r="K235" s="1465"/>
    </row>
    <row r="236" spans="1:11" ht="18" customHeight="1">
      <c r="A236" s="1478">
        <v>17</v>
      </c>
      <c r="B236" s="1482" t="s">
        <v>3413</v>
      </c>
      <c r="C236" s="1135" t="s">
        <v>212</v>
      </c>
      <c r="D236" s="1135" t="s">
        <v>3395</v>
      </c>
      <c r="E236" s="1452" t="s">
        <v>118</v>
      </c>
      <c r="F236" s="1472">
        <f t="shared" si="19"/>
        <v>405</v>
      </c>
      <c r="G236" s="1449">
        <v>380</v>
      </c>
      <c r="H236" s="1449"/>
      <c r="I236" s="1480">
        <v>25</v>
      </c>
      <c r="J236" s="1449">
        <v>380</v>
      </c>
      <c r="K236" s="1465"/>
    </row>
    <row r="237" spans="1:11" ht="18" customHeight="1">
      <c r="A237" s="1478">
        <v>18</v>
      </c>
      <c r="B237" s="1482" t="s">
        <v>3414</v>
      </c>
      <c r="C237" s="1135" t="s">
        <v>212</v>
      </c>
      <c r="D237" s="1135" t="s">
        <v>3395</v>
      </c>
      <c r="E237" s="1452" t="s">
        <v>118</v>
      </c>
      <c r="F237" s="1472">
        <f t="shared" si="19"/>
        <v>485</v>
      </c>
      <c r="G237" s="1449">
        <v>460</v>
      </c>
      <c r="H237" s="1449"/>
      <c r="I237" s="1480">
        <v>25</v>
      </c>
      <c r="J237" s="1449">
        <v>460</v>
      </c>
      <c r="K237" s="1465"/>
    </row>
    <row r="238" spans="1:11" ht="18" customHeight="1">
      <c r="A238" s="1478">
        <v>19</v>
      </c>
      <c r="B238" s="1147" t="s">
        <v>3415</v>
      </c>
      <c r="C238" s="1135" t="s">
        <v>2647</v>
      </c>
      <c r="D238" s="1135" t="s">
        <v>3416</v>
      </c>
      <c r="E238" s="1452" t="s">
        <v>118</v>
      </c>
      <c r="F238" s="1472">
        <f t="shared" si="19"/>
        <v>420</v>
      </c>
      <c r="G238" s="1457">
        <v>370</v>
      </c>
      <c r="H238" s="1457"/>
      <c r="I238" s="1457">
        <v>50</v>
      </c>
      <c r="J238" s="1457">
        <v>370</v>
      </c>
      <c r="K238" s="1465"/>
    </row>
    <row r="239" spans="1:11" ht="18" customHeight="1">
      <c r="A239" s="1478">
        <v>20</v>
      </c>
      <c r="B239" s="1147" t="s">
        <v>3417</v>
      </c>
      <c r="C239" s="1135" t="s">
        <v>2647</v>
      </c>
      <c r="D239" s="1135" t="s">
        <v>3418</v>
      </c>
      <c r="E239" s="1452" t="s">
        <v>118</v>
      </c>
      <c r="F239" s="1472">
        <f t="shared" si="19"/>
        <v>316</v>
      </c>
      <c r="G239" s="1457">
        <v>266</v>
      </c>
      <c r="H239" s="1457"/>
      <c r="I239" s="1457">
        <v>50</v>
      </c>
      <c r="J239" s="1457">
        <v>266</v>
      </c>
      <c r="K239" s="1465"/>
    </row>
    <row r="240" spans="1:11" ht="18" customHeight="1">
      <c r="A240" s="1478">
        <v>21</v>
      </c>
      <c r="B240" s="1147" t="s">
        <v>3419</v>
      </c>
      <c r="C240" s="1135" t="s">
        <v>2647</v>
      </c>
      <c r="D240" s="1135" t="s">
        <v>3420</v>
      </c>
      <c r="E240" s="1452" t="s">
        <v>118</v>
      </c>
      <c r="F240" s="1472">
        <f t="shared" si="19"/>
        <v>1150</v>
      </c>
      <c r="G240" s="1457">
        <v>1100</v>
      </c>
      <c r="H240" s="1457"/>
      <c r="I240" s="1457">
        <v>50</v>
      </c>
      <c r="J240" s="1457">
        <v>1100</v>
      </c>
      <c r="K240" s="1465"/>
    </row>
    <row r="241" spans="1:11" ht="18" customHeight="1">
      <c r="A241" s="1478">
        <v>22</v>
      </c>
      <c r="B241" s="1147" t="s">
        <v>3421</v>
      </c>
      <c r="C241" s="1135" t="s">
        <v>219</v>
      </c>
      <c r="D241" s="1456" t="s">
        <v>3723</v>
      </c>
      <c r="E241" s="1452" t="s">
        <v>118</v>
      </c>
      <c r="F241" s="1472">
        <f t="shared" si="19"/>
        <v>530</v>
      </c>
      <c r="G241" s="1457">
        <v>480</v>
      </c>
      <c r="H241" s="1457"/>
      <c r="I241" s="1457">
        <v>50</v>
      </c>
      <c r="J241" s="1457">
        <v>480</v>
      </c>
      <c r="K241" s="1465"/>
    </row>
    <row r="242" spans="1:11" ht="18" customHeight="1">
      <c r="A242" s="1478">
        <v>23</v>
      </c>
      <c r="B242" s="1147" t="s">
        <v>3422</v>
      </c>
      <c r="C242" s="1135" t="s">
        <v>219</v>
      </c>
      <c r="D242" s="1456" t="s">
        <v>3723</v>
      </c>
      <c r="E242" s="1452" t="s">
        <v>118</v>
      </c>
      <c r="F242" s="1472">
        <f t="shared" si="19"/>
        <v>530</v>
      </c>
      <c r="G242" s="1457">
        <v>480</v>
      </c>
      <c r="H242" s="1457"/>
      <c r="I242" s="1457">
        <v>50</v>
      </c>
      <c r="J242" s="1457">
        <v>480</v>
      </c>
      <c r="K242" s="1465"/>
    </row>
    <row r="243" spans="1:11" ht="18" customHeight="1">
      <c r="A243" s="1478">
        <v>24</v>
      </c>
      <c r="B243" s="1147" t="s">
        <v>3423</v>
      </c>
      <c r="C243" s="1135" t="s">
        <v>219</v>
      </c>
      <c r="D243" s="1135" t="s">
        <v>3424</v>
      </c>
      <c r="E243" s="1452" t="s">
        <v>118</v>
      </c>
      <c r="F243" s="1472">
        <f t="shared" si="19"/>
        <v>396</v>
      </c>
      <c r="G243" s="1457">
        <v>376</v>
      </c>
      <c r="H243" s="1457"/>
      <c r="I243" s="1457">
        <v>20</v>
      </c>
      <c r="J243" s="1457">
        <v>376</v>
      </c>
      <c r="K243" s="1465"/>
    </row>
    <row r="244" spans="1:11" ht="18" customHeight="1">
      <c r="A244" s="1478">
        <v>25</v>
      </c>
      <c r="B244" s="1147" t="s">
        <v>3425</v>
      </c>
      <c r="C244" s="1135" t="s">
        <v>219</v>
      </c>
      <c r="D244" s="1135" t="s">
        <v>3426</v>
      </c>
      <c r="E244" s="1452" t="s">
        <v>118</v>
      </c>
      <c r="F244" s="1472">
        <f t="shared" si="19"/>
        <v>420</v>
      </c>
      <c r="G244" s="1457">
        <v>400</v>
      </c>
      <c r="H244" s="1457"/>
      <c r="I244" s="1457">
        <v>20</v>
      </c>
      <c r="J244" s="1457">
        <v>400</v>
      </c>
      <c r="K244" s="1465"/>
    </row>
    <row r="245" spans="1:11" ht="18" customHeight="1">
      <c r="A245" s="1478">
        <v>26</v>
      </c>
      <c r="B245" s="1483" t="s">
        <v>3427</v>
      </c>
      <c r="C245" s="1455" t="s">
        <v>2127</v>
      </c>
      <c r="D245" s="1456" t="s">
        <v>3428</v>
      </c>
      <c r="E245" s="1452" t="s">
        <v>118</v>
      </c>
      <c r="F245" s="1472">
        <f t="shared" si="19"/>
        <v>1120</v>
      </c>
      <c r="G245" s="1457">
        <v>1100</v>
      </c>
      <c r="H245" s="1457"/>
      <c r="I245" s="1457">
        <v>20</v>
      </c>
      <c r="J245" s="1457">
        <v>1100</v>
      </c>
      <c r="K245" s="1465"/>
    </row>
    <row r="246" spans="1:11" ht="18" customHeight="1">
      <c r="A246" s="1478">
        <v>27</v>
      </c>
      <c r="B246" s="1483" t="s">
        <v>3429</v>
      </c>
      <c r="C246" s="1455" t="s">
        <v>2127</v>
      </c>
      <c r="D246" s="1456" t="s">
        <v>3430</v>
      </c>
      <c r="E246" s="1452" t="s">
        <v>118</v>
      </c>
      <c r="F246" s="1472">
        <f t="shared" si="19"/>
        <v>656</v>
      </c>
      <c r="G246" s="1457">
        <v>636</v>
      </c>
      <c r="H246" s="1457"/>
      <c r="I246" s="1457">
        <v>20</v>
      </c>
      <c r="J246" s="1457">
        <v>636</v>
      </c>
      <c r="K246" s="1465"/>
    </row>
    <row r="247" spans="1:11" ht="26">
      <c r="A247" s="1478">
        <v>28</v>
      </c>
      <c r="B247" s="1147" t="s">
        <v>3431</v>
      </c>
      <c r="C247" s="1455" t="s">
        <v>3432</v>
      </c>
      <c r="D247" s="1456" t="s">
        <v>3724</v>
      </c>
      <c r="E247" s="1452" t="s">
        <v>118</v>
      </c>
      <c r="F247" s="1472">
        <f t="shared" si="19"/>
        <v>510</v>
      </c>
      <c r="G247" s="1457">
        <v>500</v>
      </c>
      <c r="H247" s="1457"/>
      <c r="I247" s="1457">
        <v>10</v>
      </c>
      <c r="J247" s="1457">
        <v>500</v>
      </c>
      <c r="K247" s="1465"/>
    </row>
    <row r="248" spans="1:11" ht="18" customHeight="1">
      <c r="A248" s="1478">
        <v>29</v>
      </c>
      <c r="B248" s="1147" t="s">
        <v>3433</v>
      </c>
      <c r="C248" s="1455" t="s">
        <v>3432</v>
      </c>
      <c r="D248" s="1456" t="s">
        <v>3430</v>
      </c>
      <c r="E248" s="1452" t="s">
        <v>118</v>
      </c>
      <c r="F248" s="1472">
        <f t="shared" si="19"/>
        <v>360</v>
      </c>
      <c r="G248" s="1457">
        <v>350</v>
      </c>
      <c r="H248" s="1457"/>
      <c r="I248" s="1457">
        <v>10</v>
      </c>
      <c r="J248" s="1457">
        <v>350</v>
      </c>
      <c r="K248" s="1465"/>
    </row>
    <row r="249" spans="1:11" ht="18" customHeight="1">
      <c r="A249" s="1478">
        <v>30</v>
      </c>
      <c r="B249" s="1147" t="s">
        <v>3434</v>
      </c>
      <c r="C249" s="1455" t="s">
        <v>3432</v>
      </c>
      <c r="D249" s="1135" t="s">
        <v>3435</v>
      </c>
      <c r="E249" s="1452" t="s">
        <v>118</v>
      </c>
      <c r="F249" s="1472">
        <f t="shared" si="19"/>
        <v>906</v>
      </c>
      <c r="G249" s="1457">
        <v>886</v>
      </c>
      <c r="H249" s="1457"/>
      <c r="I249" s="1457">
        <v>20</v>
      </c>
      <c r="J249" s="1457">
        <v>886</v>
      </c>
      <c r="K249" s="1465"/>
    </row>
    <row r="250" spans="1:11" ht="18" customHeight="1">
      <c r="A250" s="1478">
        <v>31</v>
      </c>
      <c r="B250" s="1479" t="s">
        <v>3436</v>
      </c>
      <c r="C250" s="1455" t="s">
        <v>229</v>
      </c>
      <c r="D250" s="1455" t="s">
        <v>3437</v>
      </c>
      <c r="E250" s="1452" t="s">
        <v>118</v>
      </c>
      <c r="F250" s="1472">
        <f t="shared" si="19"/>
        <v>1836</v>
      </c>
      <c r="G250" s="1472">
        <v>1736</v>
      </c>
      <c r="H250" s="1472"/>
      <c r="I250" s="1472">
        <v>100</v>
      </c>
      <c r="J250" s="1472">
        <v>1736</v>
      </c>
      <c r="K250" s="1465"/>
    </row>
    <row r="251" spans="1:11" ht="18" customHeight="1">
      <c r="A251" s="1478">
        <v>32</v>
      </c>
      <c r="B251" s="1484" t="s">
        <v>3438</v>
      </c>
      <c r="C251" s="1455" t="s">
        <v>3439</v>
      </c>
      <c r="D251" s="1135" t="s">
        <v>3440</v>
      </c>
      <c r="E251" s="1452" t="s">
        <v>118</v>
      </c>
      <c r="F251" s="1472">
        <f t="shared" si="19"/>
        <v>854</v>
      </c>
      <c r="G251" s="1457">
        <v>804</v>
      </c>
      <c r="H251" s="1457"/>
      <c r="I251" s="1472">
        <v>50</v>
      </c>
      <c r="J251" s="1457">
        <v>804</v>
      </c>
      <c r="K251" s="1465"/>
    </row>
    <row r="252" spans="1:11" ht="18" customHeight="1">
      <c r="A252" s="1478">
        <v>33</v>
      </c>
      <c r="B252" s="1484" t="s">
        <v>3441</v>
      </c>
      <c r="C252" s="1455" t="s">
        <v>3442</v>
      </c>
      <c r="D252" s="1135" t="s">
        <v>3443</v>
      </c>
      <c r="E252" s="1452" t="s">
        <v>118</v>
      </c>
      <c r="F252" s="1472">
        <f t="shared" si="19"/>
        <v>570</v>
      </c>
      <c r="G252" s="1457">
        <v>540</v>
      </c>
      <c r="H252" s="1457"/>
      <c r="I252" s="1472">
        <v>30</v>
      </c>
      <c r="J252" s="1457">
        <v>540</v>
      </c>
      <c r="K252" s="1465"/>
    </row>
    <row r="253" spans="1:11" ht="18" customHeight="1">
      <c r="A253" s="1478">
        <v>34</v>
      </c>
      <c r="B253" s="1484" t="s">
        <v>3444</v>
      </c>
      <c r="C253" s="1455" t="s">
        <v>3445</v>
      </c>
      <c r="D253" s="1135" t="s">
        <v>3446</v>
      </c>
      <c r="E253" s="1452" t="s">
        <v>118</v>
      </c>
      <c r="F253" s="1472">
        <f t="shared" si="19"/>
        <v>412</v>
      </c>
      <c r="G253" s="1457">
        <v>392</v>
      </c>
      <c r="H253" s="1457"/>
      <c r="I253" s="1472">
        <v>20</v>
      </c>
      <c r="J253" s="1457">
        <v>392</v>
      </c>
      <c r="K253" s="1465"/>
    </row>
    <row r="254" spans="1:11">
      <c r="A254" s="1478">
        <v>35</v>
      </c>
      <c r="B254" s="1484" t="s">
        <v>3447</v>
      </c>
      <c r="C254" s="1455" t="s">
        <v>3448</v>
      </c>
      <c r="D254" s="1135" t="s">
        <v>3725</v>
      </c>
      <c r="E254" s="1452" t="s">
        <v>118</v>
      </c>
      <c r="F254" s="1472">
        <f t="shared" si="19"/>
        <v>1194</v>
      </c>
      <c r="G254" s="1457">
        <v>1024</v>
      </c>
      <c r="H254" s="1457"/>
      <c r="I254" s="1472">
        <v>170</v>
      </c>
      <c r="J254" s="1457">
        <v>1024</v>
      </c>
      <c r="K254" s="1465"/>
    </row>
    <row r="255" spans="1:11" ht="18" customHeight="1">
      <c r="A255" s="1478">
        <v>36</v>
      </c>
      <c r="B255" s="1484" t="s">
        <v>3449</v>
      </c>
      <c r="C255" s="1455" t="s">
        <v>3450</v>
      </c>
      <c r="D255" s="1135" t="s">
        <v>3726</v>
      </c>
      <c r="E255" s="1452" t="s">
        <v>118</v>
      </c>
      <c r="F255" s="1472">
        <f t="shared" si="19"/>
        <v>840</v>
      </c>
      <c r="G255" s="1457">
        <v>712</v>
      </c>
      <c r="H255" s="1457"/>
      <c r="I255" s="1472">
        <v>128</v>
      </c>
      <c r="J255" s="1457">
        <v>712</v>
      </c>
      <c r="K255" s="1465"/>
    </row>
    <row r="256" spans="1:11">
      <c r="A256" s="1478">
        <v>37</v>
      </c>
      <c r="B256" s="1484" t="s">
        <v>3451</v>
      </c>
      <c r="C256" s="1455" t="s">
        <v>3452</v>
      </c>
      <c r="D256" s="1135" t="s">
        <v>3727</v>
      </c>
      <c r="E256" s="1452" t="s">
        <v>118</v>
      </c>
      <c r="F256" s="1472">
        <f t="shared" si="19"/>
        <v>1680</v>
      </c>
      <c r="G256" s="1457">
        <v>1448</v>
      </c>
      <c r="H256" s="1457"/>
      <c r="I256" s="1472">
        <v>232</v>
      </c>
      <c r="J256" s="1457">
        <v>1448</v>
      </c>
      <c r="K256" s="1465"/>
    </row>
    <row r="257" spans="1:11" ht="18" customHeight="1">
      <c r="A257" s="1478">
        <v>38</v>
      </c>
      <c r="B257" s="1484" t="s">
        <v>3453</v>
      </c>
      <c r="C257" s="1455" t="s">
        <v>3452</v>
      </c>
      <c r="D257" s="1135" t="s">
        <v>3454</v>
      </c>
      <c r="E257" s="1452" t="s">
        <v>118</v>
      </c>
      <c r="F257" s="1472">
        <f t="shared" si="19"/>
        <v>303</v>
      </c>
      <c r="G257" s="1457">
        <v>288</v>
      </c>
      <c r="H257" s="1457"/>
      <c r="I257" s="1472">
        <v>15</v>
      </c>
      <c r="J257" s="1457">
        <v>288</v>
      </c>
      <c r="K257" s="1465"/>
    </row>
    <row r="258" spans="1:11" ht="18" customHeight="1">
      <c r="A258" s="1478">
        <v>39</v>
      </c>
      <c r="B258" s="1484" t="s">
        <v>3455</v>
      </c>
      <c r="C258" s="1455" t="s">
        <v>3456</v>
      </c>
      <c r="D258" s="1135" t="s">
        <v>3728</v>
      </c>
      <c r="E258" s="1452" t="s">
        <v>118</v>
      </c>
      <c r="F258" s="1472">
        <f t="shared" si="19"/>
        <v>1305</v>
      </c>
      <c r="G258" s="1457">
        <v>1160</v>
      </c>
      <c r="H258" s="1457"/>
      <c r="I258" s="1472">
        <v>145</v>
      </c>
      <c r="J258" s="1457">
        <v>1160</v>
      </c>
      <c r="K258" s="1465"/>
    </row>
    <row r="259" spans="1:11" ht="18" customHeight="1">
      <c r="A259" s="1478">
        <v>40</v>
      </c>
      <c r="B259" s="1484" t="s">
        <v>3457</v>
      </c>
      <c r="C259" s="1455" t="s">
        <v>216</v>
      </c>
      <c r="D259" s="1135" t="s">
        <v>3458</v>
      </c>
      <c r="E259" s="1452" t="s">
        <v>118</v>
      </c>
      <c r="F259" s="1472">
        <f t="shared" si="19"/>
        <v>646</v>
      </c>
      <c r="G259" s="1457">
        <v>576</v>
      </c>
      <c r="H259" s="1457"/>
      <c r="I259" s="1472">
        <v>70</v>
      </c>
      <c r="J259" s="1457">
        <v>576</v>
      </c>
      <c r="K259" s="1465"/>
    </row>
    <row r="260" spans="1:11" ht="26">
      <c r="A260" s="1478">
        <v>41</v>
      </c>
      <c r="B260" s="1479" t="s">
        <v>3459</v>
      </c>
      <c r="C260" s="1455" t="s">
        <v>3460</v>
      </c>
      <c r="D260" s="1456" t="s">
        <v>3461</v>
      </c>
      <c r="E260" s="1452" t="s">
        <v>118</v>
      </c>
      <c r="F260" s="1472">
        <f t="shared" si="19"/>
        <v>836</v>
      </c>
      <c r="G260" s="1480">
        <v>716</v>
      </c>
      <c r="H260" s="1480"/>
      <c r="I260" s="1480">
        <v>120</v>
      </c>
      <c r="J260" s="1480">
        <v>716</v>
      </c>
      <c r="K260" s="1465"/>
    </row>
    <row r="261" spans="1:11" ht="18" customHeight="1">
      <c r="A261" s="1478">
        <v>42</v>
      </c>
      <c r="B261" s="1479" t="s">
        <v>3462</v>
      </c>
      <c r="C261" s="1455" t="s">
        <v>3463</v>
      </c>
      <c r="D261" s="1456" t="s">
        <v>3464</v>
      </c>
      <c r="E261" s="1452" t="s">
        <v>118</v>
      </c>
      <c r="F261" s="1472">
        <f t="shared" si="19"/>
        <v>1030</v>
      </c>
      <c r="G261" s="1480">
        <v>1020</v>
      </c>
      <c r="H261" s="1480"/>
      <c r="I261" s="1480">
        <v>10</v>
      </c>
      <c r="J261" s="1480">
        <v>1020</v>
      </c>
      <c r="K261" s="1465"/>
    </row>
    <row r="262" spans="1:11" ht="18" customHeight="1">
      <c r="A262" s="1478">
        <v>43</v>
      </c>
      <c r="B262" s="1147" t="s">
        <v>3465</v>
      </c>
      <c r="C262" s="1135" t="s">
        <v>3466</v>
      </c>
      <c r="D262" s="1135" t="s">
        <v>3729</v>
      </c>
      <c r="E262" s="1452" t="s">
        <v>118</v>
      </c>
      <c r="F262" s="1472">
        <f t="shared" si="19"/>
        <v>980</v>
      </c>
      <c r="G262" s="1457">
        <v>950</v>
      </c>
      <c r="H262" s="1457"/>
      <c r="I262" s="1457">
        <v>30</v>
      </c>
      <c r="J262" s="1457">
        <v>950</v>
      </c>
      <c r="K262" s="1465"/>
    </row>
    <row r="263" spans="1:11">
      <c r="A263" s="1478">
        <v>44</v>
      </c>
      <c r="B263" s="1147" t="s">
        <v>3467</v>
      </c>
      <c r="C263" s="1135" t="s">
        <v>3468</v>
      </c>
      <c r="D263" s="1135" t="s">
        <v>3730</v>
      </c>
      <c r="E263" s="1452" t="s">
        <v>118</v>
      </c>
      <c r="F263" s="1472">
        <f t="shared" si="19"/>
        <v>1176</v>
      </c>
      <c r="G263" s="1457">
        <v>970</v>
      </c>
      <c r="H263" s="1457"/>
      <c r="I263" s="1457">
        <v>206</v>
      </c>
      <c r="J263" s="1457">
        <v>970</v>
      </c>
      <c r="K263" s="1465"/>
    </row>
    <row r="264" spans="1:11" ht="18" customHeight="1">
      <c r="A264" s="1478">
        <v>45</v>
      </c>
      <c r="B264" s="1147" t="s">
        <v>3469</v>
      </c>
      <c r="C264" s="1135" t="s">
        <v>3470</v>
      </c>
      <c r="D264" s="1135" t="s">
        <v>3731</v>
      </c>
      <c r="E264" s="1452" t="s">
        <v>118</v>
      </c>
      <c r="F264" s="1472">
        <f t="shared" si="19"/>
        <v>1130</v>
      </c>
      <c r="G264" s="1457">
        <v>1100</v>
      </c>
      <c r="H264" s="1457"/>
      <c r="I264" s="1457">
        <v>30</v>
      </c>
      <c r="J264" s="1457">
        <v>1100</v>
      </c>
      <c r="K264" s="1465"/>
    </row>
    <row r="265" spans="1:11" ht="26">
      <c r="A265" s="1478">
        <v>46</v>
      </c>
      <c r="B265" s="1147" t="s">
        <v>3471</v>
      </c>
      <c r="C265" s="1455" t="s">
        <v>3472</v>
      </c>
      <c r="D265" s="1485" t="s">
        <v>3473</v>
      </c>
      <c r="E265" s="1452" t="s">
        <v>118</v>
      </c>
      <c r="F265" s="1472">
        <f t="shared" si="19"/>
        <v>483</v>
      </c>
      <c r="G265" s="1449">
        <v>473</v>
      </c>
      <c r="H265" s="1449"/>
      <c r="I265" s="1457">
        <v>10</v>
      </c>
      <c r="J265" s="1449">
        <v>473</v>
      </c>
      <c r="K265" s="1465"/>
    </row>
    <row r="266" spans="1:11" ht="26">
      <c r="A266" s="1478">
        <v>47</v>
      </c>
      <c r="B266" s="1147" t="s">
        <v>3474</v>
      </c>
      <c r="C266" s="1455" t="s">
        <v>3475</v>
      </c>
      <c r="D266" s="1485" t="s">
        <v>3473</v>
      </c>
      <c r="E266" s="1452" t="s">
        <v>118</v>
      </c>
      <c r="F266" s="1472">
        <f t="shared" si="19"/>
        <v>535</v>
      </c>
      <c r="G266" s="1449">
        <v>505</v>
      </c>
      <c r="H266" s="1449"/>
      <c r="I266" s="1457">
        <v>30</v>
      </c>
      <c r="J266" s="1449">
        <v>505</v>
      </c>
      <c r="K266" s="1465"/>
    </row>
    <row r="267" spans="1:11" ht="26">
      <c r="A267" s="1478">
        <v>48</v>
      </c>
      <c r="B267" s="1147" t="s">
        <v>3476</v>
      </c>
      <c r="C267" s="1485" t="s">
        <v>3477</v>
      </c>
      <c r="D267" s="1485" t="s">
        <v>3478</v>
      </c>
      <c r="E267" s="1452" t="s">
        <v>118</v>
      </c>
      <c r="F267" s="1472">
        <f t="shared" si="19"/>
        <v>768</v>
      </c>
      <c r="G267" s="1449">
        <v>758</v>
      </c>
      <c r="H267" s="1449"/>
      <c r="I267" s="1457">
        <v>10</v>
      </c>
      <c r="J267" s="1449">
        <v>758</v>
      </c>
      <c r="K267" s="1465"/>
    </row>
    <row r="268" spans="1:11" ht="26">
      <c r="A268" s="1478">
        <v>49</v>
      </c>
      <c r="B268" s="1475" t="s">
        <v>3479</v>
      </c>
      <c r="C268" s="1198" t="s">
        <v>3480</v>
      </c>
      <c r="D268" s="1485" t="s">
        <v>3481</v>
      </c>
      <c r="E268" s="1452" t="s">
        <v>118</v>
      </c>
      <c r="F268" s="1472">
        <f t="shared" si="19"/>
        <v>876</v>
      </c>
      <c r="G268" s="1472">
        <v>826</v>
      </c>
      <c r="H268" s="1472"/>
      <c r="I268" s="1472">
        <v>50</v>
      </c>
      <c r="J268" s="1472">
        <v>826</v>
      </c>
      <c r="K268" s="1465"/>
    </row>
    <row r="269" spans="1:11" ht="18" customHeight="1">
      <c r="A269" s="1478">
        <v>50</v>
      </c>
      <c r="B269" s="1147" t="s">
        <v>3482</v>
      </c>
      <c r="C269" s="1198" t="s">
        <v>3483</v>
      </c>
      <c r="D269" s="1485" t="s">
        <v>3484</v>
      </c>
      <c r="E269" s="1452" t="s">
        <v>118</v>
      </c>
      <c r="F269" s="1472">
        <f t="shared" si="19"/>
        <v>686</v>
      </c>
      <c r="G269" s="1472">
        <v>543</v>
      </c>
      <c r="H269" s="1472"/>
      <c r="I269" s="1469">
        <v>143</v>
      </c>
      <c r="J269" s="1472">
        <v>543</v>
      </c>
      <c r="K269" s="1465"/>
    </row>
    <row r="270" spans="1:11" ht="18" customHeight="1">
      <c r="A270" s="1478">
        <v>51</v>
      </c>
      <c r="B270" s="1147" t="s">
        <v>3485</v>
      </c>
      <c r="C270" s="1198" t="s">
        <v>3486</v>
      </c>
      <c r="D270" s="1485" t="s">
        <v>3732</v>
      </c>
      <c r="E270" s="1452" t="s">
        <v>118</v>
      </c>
      <c r="F270" s="1472">
        <f t="shared" si="19"/>
        <v>855</v>
      </c>
      <c r="G270" s="1472">
        <v>655</v>
      </c>
      <c r="H270" s="1472"/>
      <c r="I270" s="1472">
        <v>200</v>
      </c>
      <c r="J270" s="1472">
        <v>655</v>
      </c>
      <c r="K270" s="1465"/>
    </row>
    <row r="271" spans="1:11" ht="18" customHeight="1">
      <c r="A271" s="1478">
        <v>52</v>
      </c>
      <c r="B271" s="1147" t="s">
        <v>3487</v>
      </c>
      <c r="C271" s="1198" t="s">
        <v>3460</v>
      </c>
      <c r="D271" s="1485" t="s">
        <v>3733</v>
      </c>
      <c r="E271" s="1452" t="s">
        <v>118</v>
      </c>
      <c r="F271" s="1472">
        <f t="shared" si="19"/>
        <v>1259</v>
      </c>
      <c r="G271" s="1472">
        <v>996</v>
      </c>
      <c r="H271" s="1472"/>
      <c r="I271" s="1472">
        <v>263</v>
      </c>
      <c r="J271" s="1472">
        <v>996</v>
      </c>
      <c r="K271" s="1465"/>
    </row>
    <row r="272" spans="1:11" ht="26">
      <c r="A272" s="1478">
        <v>53</v>
      </c>
      <c r="B272" s="1147" t="s">
        <v>3488</v>
      </c>
      <c r="C272" s="1455" t="s">
        <v>3489</v>
      </c>
      <c r="D272" s="1485" t="s">
        <v>3473</v>
      </c>
      <c r="E272" s="1452" t="s">
        <v>118</v>
      </c>
      <c r="F272" s="1472">
        <f t="shared" si="19"/>
        <v>940</v>
      </c>
      <c r="G272" s="1472">
        <v>870</v>
      </c>
      <c r="H272" s="1472"/>
      <c r="I272" s="1472">
        <v>70</v>
      </c>
      <c r="J272" s="1472">
        <v>870</v>
      </c>
      <c r="K272" s="1465"/>
    </row>
    <row r="273" spans="1:11" ht="39">
      <c r="A273" s="1478">
        <v>54</v>
      </c>
      <c r="B273" s="1147" t="s">
        <v>3490</v>
      </c>
      <c r="C273" s="1455" t="s">
        <v>3491</v>
      </c>
      <c r="D273" s="1485" t="s">
        <v>3492</v>
      </c>
      <c r="E273" s="1452" t="s">
        <v>118</v>
      </c>
      <c r="F273" s="1472">
        <f t="shared" si="19"/>
        <v>1131</v>
      </c>
      <c r="G273" s="1472">
        <v>866</v>
      </c>
      <c r="H273" s="1472"/>
      <c r="I273" s="1472">
        <v>265</v>
      </c>
      <c r="J273" s="1472">
        <v>866</v>
      </c>
      <c r="K273" s="1465"/>
    </row>
    <row r="274" spans="1:11" ht="26">
      <c r="A274" s="1478">
        <v>55</v>
      </c>
      <c r="B274" s="1475" t="s">
        <v>3493</v>
      </c>
      <c r="C274" s="1198" t="s">
        <v>3494</v>
      </c>
      <c r="D274" s="1485" t="s">
        <v>3495</v>
      </c>
      <c r="E274" s="1452" t="s">
        <v>118</v>
      </c>
      <c r="F274" s="1472">
        <f t="shared" si="19"/>
        <v>727</v>
      </c>
      <c r="G274" s="1472">
        <v>707</v>
      </c>
      <c r="H274" s="1472"/>
      <c r="I274" s="1472">
        <v>20</v>
      </c>
      <c r="J274" s="1472">
        <v>707</v>
      </c>
      <c r="K274" s="1465"/>
    </row>
    <row r="275" spans="1:11" ht="26">
      <c r="A275" s="1478">
        <v>56</v>
      </c>
      <c r="B275" s="1147" t="s">
        <v>3496</v>
      </c>
      <c r="C275" s="1455" t="s">
        <v>3497</v>
      </c>
      <c r="D275" s="1485" t="s">
        <v>3498</v>
      </c>
      <c r="E275" s="1452" t="s">
        <v>118</v>
      </c>
      <c r="F275" s="1472">
        <f>+G275+I275</f>
        <v>662</v>
      </c>
      <c r="G275" s="1472">
        <v>542</v>
      </c>
      <c r="H275" s="1472"/>
      <c r="I275" s="1472">
        <v>120</v>
      </c>
      <c r="J275" s="1472">
        <v>542</v>
      </c>
      <c r="K275" s="1465"/>
    </row>
    <row r="276" spans="1:11" ht="26">
      <c r="A276" s="1478">
        <v>57</v>
      </c>
      <c r="B276" s="1479" t="s">
        <v>3499</v>
      </c>
      <c r="C276" s="1198" t="s">
        <v>3500</v>
      </c>
      <c r="D276" s="1485" t="s">
        <v>3498</v>
      </c>
      <c r="E276" s="1452" t="s">
        <v>118</v>
      </c>
      <c r="F276" s="1472">
        <f t="shared" si="19"/>
        <v>577</v>
      </c>
      <c r="G276" s="1472">
        <v>487</v>
      </c>
      <c r="H276" s="1472"/>
      <c r="I276" s="1472">
        <v>90</v>
      </c>
      <c r="J276" s="1472">
        <v>487</v>
      </c>
      <c r="K276" s="1465"/>
    </row>
    <row r="277" spans="1:11" ht="18" customHeight="1">
      <c r="A277" s="1478">
        <v>58</v>
      </c>
      <c r="B277" s="1479" t="s">
        <v>3501</v>
      </c>
      <c r="C277" s="1198" t="s">
        <v>3502</v>
      </c>
      <c r="D277" s="1485" t="s">
        <v>3734</v>
      </c>
      <c r="E277" s="1452" t="s">
        <v>118</v>
      </c>
      <c r="F277" s="1472">
        <f t="shared" si="19"/>
        <v>812</v>
      </c>
      <c r="G277" s="1472">
        <v>690</v>
      </c>
      <c r="H277" s="1472"/>
      <c r="I277" s="1472">
        <v>122</v>
      </c>
      <c r="J277" s="1472">
        <v>690</v>
      </c>
      <c r="K277" s="1465"/>
    </row>
    <row r="278" spans="1:11" ht="18" customHeight="1">
      <c r="A278" s="1478">
        <v>59</v>
      </c>
      <c r="B278" s="1479" t="s">
        <v>3503</v>
      </c>
      <c r="C278" s="1198" t="s">
        <v>3504</v>
      </c>
      <c r="D278" s="1485" t="s">
        <v>3735</v>
      </c>
      <c r="E278" s="1452" t="s">
        <v>118</v>
      </c>
      <c r="F278" s="1472">
        <f t="shared" si="19"/>
        <v>1512</v>
      </c>
      <c r="G278" s="1472">
        <v>1252</v>
      </c>
      <c r="H278" s="1472"/>
      <c r="I278" s="1472">
        <v>260</v>
      </c>
      <c r="J278" s="1472">
        <v>1252</v>
      </c>
      <c r="K278" s="1465"/>
    </row>
    <row r="279" spans="1:11" ht="18" customHeight="1">
      <c r="A279" s="1478">
        <v>60</v>
      </c>
      <c r="B279" s="1479" t="s">
        <v>3505</v>
      </c>
      <c r="C279" s="1198" t="s">
        <v>3506</v>
      </c>
      <c r="D279" s="1485" t="s">
        <v>3507</v>
      </c>
      <c r="E279" s="1452" t="s">
        <v>118</v>
      </c>
      <c r="F279" s="1472">
        <f t="shared" si="19"/>
        <v>556</v>
      </c>
      <c r="G279" s="1472">
        <v>546</v>
      </c>
      <c r="H279" s="1472"/>
      <c r="I279" s="1472">
        <v>10</v>
      </c>
      <c r="J279" s="1472">
        <v>546</v>
      </c>
      <c r="K279" s="1465"/>
    </row>
    <row r="280" spans="1:11" ht="18" customHeight="1">
      <c r="A280" s="1070">
        <v>61</v>
      </c>
      <c r="B280" s="1479" t="s">
        <v>3508</v>
      </c>
      <c r="C280" s="1198" t="s">
        <v>3509</v>
      </c>
      <c r="D280" s="1485" t="s">
        <v>3507</v>
      </c>
      <c r="E280" s="1452" t="s">
        <v>118</v>
      </c>
      <c r="F280" s="1472">
        <f t="shared" si="19"/>
        <v>542</v>
      </c>
      <c r="G280" s="1472">
        <v>532</v>
      </c>
      <c r="H280" s="1472"/>
      <c r="I280" s="1472">
        <v>10</v>
      </c>
      <c r="J280" s="1472">
        <v>532</v>
      </c>
      <c r="K280" s="1465"/>
    </row>
    <row r="281" spans="1:11" ht="18" customHeight="1">
      <c r="A281" s="1063" t="s">
        <v>80</v>
      </c>
      <c r="B281" s="1189" t="s">
        <v>2590</v>
      </c>
      <c r="C281" s="1190"/>
      <c r="D281" s="1190"/>
      <c r="E281" s="1190"/>
      <c r="F281" s="1448">
        <f>SUM(F282:F302)</f>
        <v>32192</v>
      </c>
      <c r="G281" s="1448">
        <f>SUM(G282:G302)</f>
        <v>26420</v>
      </c>
      <c r="H281" s="1448">
        <f>SUM(H282:H302)</f>
        <v>3514</v>
      </c>
      <c r="I281" s="1448">
        <f>SUM(I282:I302)</f>
        <v>2258</v>
      </c>
      <c r="J281" s="1448">
        <f>SUM(J282:J302)</f>
        <v>26420</v>
      </c>
      <c r="K281" s="1078"/>
    </row>
    <row r="282" spans="1:11" ht="18" customHeight="1">
      <c r="A282" s="1141" t="s">
        <v>10</v>
      </c>
      <c r="B282" s="1147" t="s">
        <v>3510</v>
      </c>
      <c r="C282" s="1135" t="s">
        <v>2868</v>
      </c>
      <c r="D282" s="1135" t="s">
        <v>276</v>
      </c>
      <c r="E282" s="1452" t="s">
        <v>118</v>
      </c>
      <c r="F282" s="1449">
        <f t="shared" ref="F282:F302" si="20">G282+H282+I282</f>
        <v>950</v>
      </c>
      <c r="G282" s="1476">
        <v>900</v>
      </c>
      <c r="H282" s="1486"/>
      <c r="I282" s="1476">
        <v>50</v>
      </c>
      <c r="J282" s="1476">
        <v>900</v>
      </c>
      <c r="K282" s="1465"/>
    </row>
    <row r="283" spans="1:11" ht="13.5">
      <c r="A283" s="1141" t="s">
        <v>12</v>
      </c>
      <c r="B283" s="1147" t="s">
        <v>3511</v>
      </c>
      <c r="C283" s="1135" t="s">
        <v>2868</v>
      </c>
      <c r="D283" s="1456" t="s">
        <v>3512</v>
      </c>
      <c r="E283" s="1452" t="s">
        <v>118</v>
      </c>
      <c r="F283" s="1449">
        <f t="shared" si="20"/>
        <v>926</v>
      </c>
      <c r="G283" s="1449">
        <v>836</v>
      </c>
      <c r="H283" s="1486"/>
      <c r="I283" s="1449">
        <v>90</v>
      </c>
      <c r="J283" s="1449">
        <v>836</v>
      </c>
      <c r="K283" s="1465"/>
    </row>
    <row r="284" spans="1:11">
      <c r="A284" s="1141" t="s">
        <v>14</v>
      </c>
      <c r="B284" s="1147" t="s">
        <v>3513</v>
      </c>
      <c r="C284" s="1135" t="s">
        <v>568</v>
      </c>
      <c r="D284" s="1135" t="s">
        <v>3514</v>
      </c>
      <c r="E284" s="1452" t="s">
        <v>118</v>
      </c>
      <c r="F284" s="1449">
        <f t="shared" si="20"/>
        <v>2500</v>
      </c>
      <c r="G284" s="1449">
        <v>1000</v>
      </c>
      <c r="H284" s="1449">
        <v>1300</v>
      </c>
      <c r="I284" s="1449">
        <v>200</v>
      </c>
      <c r="J284" s="1449">
        <v>1000</v>
      </c>
      <c r="K284" s="1465"/>
    </row>
    <row r="285" spans="1:11" ht="18" customHeight="1">
      <c r="A285" s="1141" t="s">
        <v>16</v>
      </c>
      <c r="B285" s="1147" t="s">
        <v>3515</v>
      </c>
      <c r="C285" s="1135" t="s">
        <v>568</v>
      </c>
      <c r="D285" s="1135" t="s">
        <v>3516</v>
      </c>
      <c r="E285" s="1452" t="s">
        <v>118</v>
      </c>
      <c r="F285" s="1449">
        <f t="shared" si="20"/>
        <v>3000</v>
      </c>
      <c r="G285" s="1449">
        <v>736</v>
      </c>
      <c r="H285" s="1449">
        <v>2214</v>
      </c>
      <c r="I285" s="1449">
        <v>50</v>
      </c>
      <c r="J285" s="1449">
        <v>736</v>
      </c>
      <c r="K285" s="1465"/>
    </row>
    <row r="286" spans="1:11" ht="26">
      <c r="A286" s="1141" t="s">
        <v>18</v>
      </c>
      <c r="B286" s="1479" t="s">
        <v>3517</v>
      </c>
      <c r="C286" s="1455" t="s">
        <v>2863</v>
      </c>
      <c r="D286" s="1455" t="s">
        <v>3518</v>
      </c>
      <c r="E286" s="1452" t="s">
        <v>118</v>
      </c>
      <c r="F286" s="1449">
        <f t="shared" si="20"/>
        <v>1000</v>
      </c>
      <c r="G286" s="1457">
        <v>950</v>
      </c>
      <c r="H286" s="1486"/>
      <c r="I286" s="1449">
        <v>50</v>
      </c>
      <c r="J286" s="1457">
        <v>950</v>
      </c>
      <c r="K286" s="1465"/>
    </row>
    <row r="287" spans="1:11" ht="26">
      <c r="A287" s="1141" t="s">
        <v>20</v>
      </c>
      <c r="B287" s="1147" t="s">
        <v>3519</v>
      </c>
      <c r="C287" s="1455" t="s">
        <v>2863</v>
      </c>
      <c r="D287" s="1455" t="s">
        <v>3518</v>
      </c>
      <c r="E287" s="1452" t="s">
        <v>118</v>
      </c>
      <c r="F287" s="1449">
        <f t="shared" si="20"/>
        <v>850</v>
      </c>
      <c r="G287" s="1457">
        <v>786</v>
      </c>
      <c r="H287" s="1486"/>
      <c r="I287" s="1449">
        <v>64</v>
      </c>
      <c r="J287" s="1457">
        <v>786</v>
      </c>
      <c r="K287" s="1465"/>
    </row>
    <row r="288" spans="1:11" ht="13.5">
      <c r="A288" s="1141" t="s">
        <v>22</v>
      </c>
      <c r="B288" s="1147" t="s">
        <v>3520</v>
      </c>
      <c r="C288" s="1135" t="s">
        <v>3521</v>
      </c>
      <c r="D288" s="1455" t="s">
        <v>3522</v>
      </c>
      <c r="E288" s="1452" t="s">
        <v>118</v>
      </c>
      <c r="F288" s="1449">
        <f t="shared" si="20"/>
        <v>1800</v>
      </c>
      <c r="G288" s="1457">
        <v>1736</v>
      </c>
      <c r="H288" s="1486"/>
      <c r="I288" s="1449">
        <v>64</v>
      </c>
      <c r="J288" s="1457">
        <v>1736</v>
      </c>
      <c r="K288" s="1465"/>
    </row>
    <row r="289" spans="1:11" ht="13.5">
      <c r="A289" s="1141" t="s">
        <v>24</v>
      </c>
      <c r="B289" s="1479" t="s">
        <v>3523</v>
      </c>
      <c r="C289" s="1135" t="s">
        <v>2865</v>
      </c>
      <c r="D289" s="1455" t="s">
        <v>3522</v>
      </c>
      <c r="E289" s="1452" t="s">
        <v>118</v>
      </c>
      <c r="F289" s="1449">
        <f t="shared" si="20"/>
        <v>1800</v>
      </c>
      <c r="G289" s="1457">
        <v>1736</v>
      </c>
      <c r="H289" s="1486"/>
      <c r="I289" s="1449">
        <v>64</v>
      </c>
      <c r="J289" s="1457">
        <v>1736</v>
      </c>
      <c r="K289" s="1465"/>
    </row>
    <row r="290" spans="1:11" ht="26">
      <c r="A290" s="1141" t="s">
        <v>700</v>
      </c>
      <c r="B290" s="1479" t="s">
        <v>3524</v>
      </c>
      <c r="C290" s="1198" t="s">
        <v>689</v>
      </c>
      <c r="D290" s="1487" t="s">
        <v>1485</v>
      </c>
      <c r="E290" s="1452" t="s">
        <v>118</v>
      </c>
      <c r="F290" s="1449">
        <f t="shared" si="20"/>
        <v>2800</v>
      </c>
      <c r="G290" s="1449">
        <f>3*800</f>
        <v>2400</v>
      </c>
      <c r="H290" s="1486"/>
      <c r="I290" s="1449">
        <v>400</v>
      </c>
      <c r="J290" s="1449">
        <f>3*800</f>
        <v>2400</v>
      </c>
      <c r="K290" s="1465"/>
    </row>
    <row r="291" spans="1:11" ht="18" customHeight="1">
      <c r="A291" s="1141" t="s">
        <v>728</v>
      </c>
      <c r="B291" s="1479" t="s">
        <v>3525</v>
      </c>
      <c r="C291" s="1198" t="s">
        <v>689</v>
      </c>
      <c r="D291" s="1455" t="s">
        <v>3526</v>
      </c>
      <c r="E291" s="1452" t="s">
        <v>118</v>
      </c>
      <c r="F291" s="1449">
        <f t="shared" si="20"/>
        <v>670</v>
      </c>
      <c r="G291" s="1449">
        <f>3020-G290</f>
        <v>620</v>
      </c>
      <c r="H291" s="1486"/>
      <c r="I291" s="1449">
        <v>50</v>
      </c>
      <c r="J291" s="1449">
        <f>3020-J290</f>
        <v>620</v>
      </c>
      <c r="K291" s="1465"/>
    </row>
    <row r="292" spans="1:11" ht="18" customHeight="1">
      <c r="A292" s="1141" t="s">
        <v>763</v>
      </c>
      <c r="B292" s="1479" t="s">
        <v>3527</v>
      </c>
      <c r="C292" s="1487" t="s">
        <v>3528</v>
      </c>
      <c r="D292" s="1455" t="s">
        <v>3518</v>
      </c>
      <c r="E292" s="1452" t="s">
        <v>118</v>
      </c>
      <c r="F292" s="1449">
        <f t="shared" si="20"/>
        <v>2500</v>
      </c>
      <c r="G292" s="1449">
        <f>3*800</f>
        <v>2400</v>
      </c>
      <c r="H292" s="1486"/>
      <c r="I292" s="1449">
        <v>100</v>
      </c>
      <c r="J292" s="1449">
        <f>3*800</f>
        <v>2400</v>
      </c>
      <c r="K292" s="1465"/>
    </row>
    <row r="293" spans="1:11" ht="26">
      <c r="A293" s="1141" t="s">
        <v>3314</v>
      </c>
      <c r="B293" s="1479" t="s">
        <v>3529</v>
      </c>
      <c r="C293" s="1487" t="s">
        <v>3528</v>
      </c>
      <c r="D293" s="1487" t="s">
        <v>3530</v>
      </c>
      <c r="E293" s="1452" t="s">
        <v>118</v>
      </c>
      <c r="F293" s="1449">
        <f t="shared" si="20"/>
        <v>740</v>
      </c>
      <c r="G293" s="1449">
        <v>620</v>
      </c>
      <c r="H293" s="1486"/>
      <c r="I293" s="1449">
        <v>120</v>
      </c>
      <c r="J293" s="1449">
        <v>620</v>
      </c>
      <c r="K293" s="1465"/>
    </row>
    <row r="294" spans="1:11" ht="26">
      <c r="A294" s="1141" t="s">
        <v>764</v>
      </c>
      <c r="B294" s="1479" t="s">
        <v>3531</v>
      </c>
      <c r="C294" s="1455" t="s">
        <v>2864</v>
      </c>
      <c r="D294" s="1487" t="s">
        <v>2579</v>
      </c>
      <c r="E294" s="1452" t="s">
        <v>118</v>
      </c>
      <c r="F294" s="1449">
        <f t="shared" si="20"/>
        <v>1300</v>
      </c>
      <c r="G294" s="1457">
        <f>1.5*800</f>
        <v>1200</v>
      </c>
      <c r="H294" s="1486"/>
      <c r="I294" s="1449">
        <v>100</v>
      </c>
      <c r="J294" s="1457">
        <f>1.5*800</f>
        <v>1200</v>
      </c>
      <c r="K294" s="1465"/>
    </row>
    <row r="295" spans="1:11" ht="18" customHeight="1">
      <c r="A295" s="1141" t="s">
        <v>3315</v>
      </c>
      <c r="B295" s="1479" t="s">
        <v>3532</v>
      </c>
      <c r="C295" s="1455" t="s">
        <v>2864</v>
      </c>
      <c r="D295" s="1455" t="s">
        <v>3533</v>
      </c>
      <c r="E295" s="1452" t="s">
        <v>118</v>
      </c>
      <c r="F295" s="1449">
        <f t="shared" si="20"/>
        <v>636</v>
      </c>
      <c r="G295" s="1457">
        <v>536</v>
      </c>
      <c r="H295" s="1486"/>
      <c r="I295" s="1449">
        <v>100</v>
      </c>
      <c r="J295" s="1457">
        <v>536</v>
      </c>
      <c r="K295" s="1465"/>
    </row>
    <row r="296" spans="1:11" ht="26">
      <c r="A296" s="1141" t="s">
        <v>3317</v>
      </c>
      <c r="B296" s="1147" t="s">
        <v>3534</v>
      </c>
      <c r="C296" s="1487" t="s">
        <v>3535</v>
      </c>
      <c r="D296" s="1455" t="s">
        <v>3536</v>
      </c>
      <c r="E296" s="1452" t="s">
        <v>118</v>
      </c>
      <c r="F296" s="1449">
        <f t="shared" si="20"/>
        <v>1800</v>
      </c>
      <c r="G296" s="1449">
        <v>1736</v>
      </c>
      <c r="H296" s="1486"/>
      <c r="I296" s="1449">
        <v>64</v>
      </c>
      <c r="J296" s="1449">
        <v>1736</v>
      </c>
      <c r="K296" s="1465"/>
    </row>
    <row r="297" spans="1:11" ht="18" customHeight="1">
      <c r="A297" s="1141" t="s">
        <v>3319</v>
      </c>
      <c r="B297" s="1147" t="s">
        <v>3537</v>
      </c>
      <c r="C297" s="1487" t="s">
        <v>3538</v>
      </c>
      <c r="D297" s="1455" t="s">
        <v>3539</v>
      </c>
      <c r="E297" s="1452" t="s">
        <v>118</v>
      </c>
      <c r="F297" s="1449">
        <f t="shared" si="20"/>
        <v>930</v>
      </c>
      <c r="G297" s="1488">
        <v>876</v>
      </c>
      <c r="H297" s="1486"/>
      <c r="I297" s="1449">
        <v>54</v>
      </c>
      <c r="J297" s="1488">
        <v>876</v>
      </c>
      <c r="K297" s="1465"/>
    </row>
    <row r="298" spans="1:11" ht="18" customHeight="1">
      <c r="A298" s="1141" t="s">
        <v>3321</v>
      </c>
      <c r="B298" s="1479" t="s">
        <v>3540</v>
      </c>
      <c r="C298" s="1487" t="s">
        <v>3538</v>
      </c>
      <c r="D298" s="1455" t="s">
        <v>1451</v>
      </c>
      <c r="E298" s="1452" t="s">
        <v>118</v>
      </c>
      <c r="F298" s="1449">
        <f t="shared" si="20"/>
        <v>970</v>
      </c>
      <c r="G298" s="1488">
        <v>860</v>
      </c>
      <c r="H298" s="1486"/>
      <c r="I298" s="1449">
        <v>110</v>
      </c>
      <c r="J298" s="1488">
        <v>860</v>
      </c>
      <c r="K298" s="1465"/>
    </row>
    <row r="299" spans="1:11" ht="26">
      <c r="A299" s="1141" t="s">
        <v>3323</v>
      </c>
      <c r="B299" s="1479" t="s">
        <v>3541</v>
      </c>
      <c r="C299" s="1487" t="s">
        <v>694</v>
      </c>
      <c r="D299" s="1135" t="s">
        <v>2577</v>
      </c>
      <c r="E299" s="1452" t="s">
        <v>118</v>
      </c>
      <c r="F299" s="1449">
        <f t="shared" si="20"/>
        <v>1650</v>
      </c>
      <c r="G299" s="1488">
        <f>5*300</f>
        <v>1500</v>
      </c>
      <c r="H299" s="1486"/>
      <c r="I299" s="1449">
        <v>150</v>
      </c>
      <c r="J299" s="1488">
        <f>5*300</f>
        <v>1500</v>
      </c>
      <c r="K299" s="1465"/>
    </row>
    <row r="300" spans="1:11" ht="13.5">
      <c r="A300" s="1141" t="s">
        <v>3325</v>
      </c>
      <c r="B300" s="1147" t="s">
        <v>3542</v>
      </c>
      <c r="C300" s="1487" t="s">
        <v>694</v>
      </c>
      <c r="D300" s="1135" t="s">
        <v>2566</v>
      </c>
      <c r="E300" s="1452" t="s">
        <v>118</v>
      </c>
      <c r="F300" s="1449">
        <f t="shared" si="20"/>
        <v>1670</v>
      </c>
      <c r="G300" s="1488">
        <v>1520</v>
      </c>
      <c r="H300" s="1486"/>
      <c r="I300" s="1449">
        <v>150</v>
      </c>
      <c r="J300" s="1488">
        <v>1520</v>
      </c>
      <c r="K300" s="1465"/>
    </row>
    <row r="301" spans="1:11" ht="18" customHeight="1">
      <c r="A301" s="1141" t="s">
        <v>3327</v>
      </c>
      <c r="B301" s="1147" t="s">
        <v>3543</v>
      </c>
      <c r="C301" s="1487" t="s">
        <v>3538</v>
      </c>
      <c r="D301" s="1455" t="s">
        <v>3539</v>
      </c>
      <c r="E301" s="1452" t="s">
        <v>118</v>
      </c>
      <c r="F301" s="1449">
        <f t="shared" si="20"/>
        <v>1800</v>
      </c>
      <c r="G301" s="1488">
        <v>1736</v>
      </c>
      <c r="H301" s="1486"/>
      <c r="I301" s="1449">
        <v>64</v>
      </c>
      <c r="J301" s="1488">
        <v>1736</v>
      </c>
      <c r="K301" s="1465"/>
    </row>
    <row r="302" spans="1:11" ht="26">
      <c r="A302" s="1141" t="s">
        <v>3328</v>
      </c>
      <c r="B302" s="1479" t="s">
        <v>3544</v>
      </c>
      <c r="C302" s="1487" t="s">
        <v>694</v>
      </c>
      <c r="D302" s="1135" t="s">
        <v>2577</v>
      </c>
      <c r="E302" s="1452" t="s">
        <v>118</v>
      </c>
      <c r="F302" s="1449">
        <f t="shared" si="20"/>
        <v>1900</v>
      </c>
      <c r="G302" s="1488">
        <v>1736</v>
      </c>
      <c r="H302" s="1486"/>
      <c r="I302" s="1449">
        <v>164</v>
      </c>
      <c r="J302" s="1488">
        <v>1736</v>
      </c>
      <c r="K302" s="1465"/>
    </row>
    <row r="303" spans="1:11" ht="18" customHeight="1">
      <c r="A303" s="1063" t="s">
        <v>81</v>
      </c>
      <c r="B303" s="1189" t="s">
        <v>2551</v>
      </c>
      <c r="C303" s="1190"/>
      <c r="D303" s="1190"/>
      <c r="E303" s="1190"/>
      <c r="F303" s="1448">
        <f>F304+F307</f>
        <v>43088.000000000007</v>
      </c>
      <c r="G303" s="1448">
        <f>G304+G307</f>
        <v>21212.000000000004</v>
      </c>
      <c r="H303" s="1448">
        <f>H304+H307</f>
        <v>0</v>
      </c>
      <c r="I303" s="1448">
        <f>I304+I307</f>
        <v>664</v>
      </c>
      <c r="J303" s="1448">
        <f>J304+J307</f>
        <v>21212.000000000004</v>
      </c>
      <c r="K303" s="1078"/>
    </row>
    <row r="304" spans="1:11" ht="18" customHeight="1">
      <c r="A304" s="1063" t="s">
        <v>911</v>
      </c>
      <c r="B304" s="1189" t="s">
        <v>3545</v>
      </c>
      <c r="C304" s="1190"/>
      <c r="D304" s="1190"/>
      <c r="E304" s="1190"/>
      <c r="F304" s="1448">
        <f>F305+F306</f>
        <v>610.55200000000002</v>
      </c>
      <c r="G304" s="1448">
        <f>G305+G306</f>
        <v>305.27600000000001</v>
      </c>
      <c r="H304" s="1448"/>
      <c r="I304" s="1448"/>
      <c r="J304" s="1448">
        <f>J305+J306</f>
        <v>305.27600000000001</v>
      </c>
      <c r="K304" s="1465"/>
    </row>
    <row r="305" spans="1:11" ht="18" customHeight="1">
      <c r="A305" s="1489">
        <v>1</v>
      </c>
      <c r="B305" s="1147" t="s">
        <v>3546</v>
      </c>
      <c r="C305" s="1135" t="s">
        <v>119</v>
      </c>
      <c r="D305" s="1135" t="s">
        <v>3547</v>
      </c>
      <c r="E305" s="1490" t="s">
        <v>3548</v>
      </c>
      <c r="F305" s="1449">
        <f t="shared" ref="F305:F306" si="21">G305+H305+I305+J305</f>
        <v>288.55200000000002</v>
      </c>
      <c r="G305" s="1449">
        <v>144.27600000000001</v>
      </c>
      <c r="H305" s="1449"/>
      <c r="I305" s="1449"/>
      <c r="J305" s="1449">
        <v>144.27600000000001</v>
      </c>
      <c r="K305" s="1465"/>
    </row>
    <row r="306" spans="1:11" ht="26">
      <c r="A306" s="1489">
        <v>2</v>
      </c>
      <c r="B306" s="1147" t="s">
        <v>3549</v>
      </c>
      <c r="C306" s="1135" t="s">
        <v>3550</v>
      </c>
      <c r="D306" s="1135" t="s">
        <v>3551</v>
      </c>
      <c r="E306" s="1490" t="s">
        <v>3552</v>
      </c>
      <c r="F306" s="1449">
        <f t="shared" si="21"/>
        <v>322</v>
      </c>
      <c r="G306" s="1449">
        <v>161</v>
      </c>
      <c r="H306" s="1449"/>
      <c r="I306" s="1449"/>
      <c r="J306" s="1449">
        <v>161</v>
      </c>
      <c r="K306" s="1465"/>
    </row>
    <row r="307" spans="1:11" ht="18" customHeight="1">
      <c r="A307" s="1491" t="s">
        <v>915</v>
      </c>
      <c r="B307" s="1492" t="s">
        <v>3553</v>
      </c>
      <c r="C307" s="1190"/>
      <c r="D307" s="1190"/>
      <c r="E307" s="1190"/>
      <c r="F307" s="1448">
        <f>SUM(F308:F323)</f>
        <v>42477.448000000004</v>
      </c>
      <c r="G307" s="1448">
        <f t="shared" ref="G307:J307" si="22">SUM(G308:G323)</f>
        <v>20906.724000000002</v>
      </c>
      <c r="H307" s="1448">
        <f t="shared" si="22"/>
        <v>0</v>
      </c>
      <c r="I307" s="1448">
        <f t="shared" si="22"/>
        <v>664</v>
      </c>
      <c r="J307" s="1448">
        <f t="shared" si="22"/>
        <v>20906.724000000002</v>
      </c>
      <c r="K307" s="1465"/>
    </row>
    <row r="308" spans="1:11" ht="26">
      <c r="A308" s="1493">
        <v>1</v>
      </c>
      <c r="B308" s="1147" t="s">
        <v>3554</v>
      </c>
      <c r="C308" s="1135" t="s">
        <v>2799</v>
      </c>
      <c r="D308" s="1135" t="s">
        <v>3555</v>
      </c>
      <c r="E308" s="1452" t="s">
        <v>118</v>
      </c>
      <c r="F308" s="1449">
        <f t="shared" ref="F308:F323" si="23">G308+H308+I308+J308</f>
        <v>6040</v>
      </c>
      <c r="G308" s="1449">
        <v>3020</v>
      </c>
      <c r="H308" s="1448"/>
      <c r="I308" s="1448"/>
      <c r="J308" s="1449">
        <v>3020</v>
      </c>
      <c r="K308" s="1465"/>
    </row>
    <row r="309" spans="1:11" ht="18" customHeight="1">
      <c r="A309" s="1493">
        <v>2</v>
      </c>
      <c r="B309" s="1494" t="s">
        <v>3556</v>
      </c>
      <c r="C309" s="1135" t="s">
        <v>2797</v>
      </c>
      <c r="D309" s="1135" t="s">
        <v>3557</v>
      </c>
      <c r="E309" s="1452" t="s">
        <v>118</v>
      </c>
      <c r="F309" s="1449">
        <f t="shared" si="23"/>
        <v>3040</v>
      </c>
      <c r="G309" s="1449">
        <v>1520</v>
      </c>
      <c r="H309" s="1448"/>
      <c r="I309" s="1448"/>
      <c r="J309" s="1449">
        <v>1520</v>
      </c>
      <c r="K309" s="1465"/>
    </row>
    <row r="310" spans="1:11" ht="18" customHeight="1">
      <c r="A310" s="1493">
        <v>3</v>
      </c>
      <c r="B310" s="1494" t="s">
        <v>3558</v>
      </c>
      <c r="C310" s="1135" t="s">
        <v>2797</v>
      </c>
      <c r="D310" s="1135" t="s">
        <v>3559</v>
      </c>
      <c r="E310" s="1452" t="s">
        <v>118</v>
      </c>
      <c r="F310" s="1449">
        <f t="shared" si="23"/>
        <v>1500</v>
      </c>
      <c r="G310" s="1449">
        <v>750</v>
      </c>
      <c r="H310" s="1448"/>
      <c r="I310" s="1448"/>
      <c r="J310" s="1449">
        <v>750</v>
      </c>
      <c r="K310" s="1465"/>
    </row>
    <row r="311" spans="1:11" ht="18" customHeight="1">
      <c r="A311" s="1493">
        <v>4</v>
      </c>
      <c r="B311" s="1494" t="s">
        <v>3560</v>
      </c>
      <c r="C311" s="1135" t="s">
        <v>2797</v>
      </c>
      <c r="D311" s="1135" t="s">
        <v>3559</v>
      </c>
      <c r="E311" s="1452" t="s">
        <v>118</v>
      </c>
      <c r="F311" s="1449">
        <f t="shared" si="23"/>
        <v>1500</v>
      </c>
      <c r="G311" s="1449">
        <v>750</v>
      </c>
      <c r="H311" s="1448"/>
      <c r="I311" s="1448"/>
      <c r="J311" s="1449">
        <v>750</v>
      </c>
      <c r="K311" s="1465"/>
    </row>
    <row r="312" spans="1:11" ht="18" customHeight="1">
      <c r="A312" s="1493">
        <v>5</v>
      </c>
      <c r="B312" s="1494" t="s">
        <v>3561</v>
      </c>
      <c r="C312" s="1135" t="s">
        <v>2798</v>
      </c>
      <c r="D312" s="1135" t="s">
        <v>3562</v>
      </c>
      <c r="E312" s="1452" t="s">
        <v>118</v>
      </c>
      <c r="F312" s="1449">
        <f t="shared" si="23"/>
        <v>3000</v>
      </c>
      <c r="G312" s="1449">
        <v>1500</v>
      </c>
      <c r="H312" s="1448"/>
      <c r="I312" s="1448"/>
      <c r="J312" s="1449">
        <v>1500</v>
      </c>
      <c r="K312" s="1465"/>
    </row>
    <row r="313" spans="1:11" ht="18" customHeight="1">
      <c r="A313" s="1493">
        <v>6</v>
      </c>
      <c r="B313" s="1494" t="s">
        <v>3563</v>
      </c>
      <c r="C313" s="1135" t="s">
        <v>2798</v>
      </c>
      <c r="D313" s="1135" t="s">
        <v>3564</v>
      </c>
      <c r="E313" s="1452" t="s">
        <v>118</v>
      </c>
      <c r="F313" s="1449">
        <f t="shared" si="23"/>
        <v>3040</v>
      </c>
      <c r="G313" s="1449">
        <v>1520</v>
      </c>
      <c r="H313" s="1448"/>
      <c r="I313" s="1448"/>
      <c r="J313" s="1449">
        <v>1520</v>
      </c>
      <c r="K313" s="1465"/>
    </row>
    <row r="314" spans="1:11" ht="18" customHeight="1">
      <c r="A314" s="1493">
        <v>7</v>
      </c>
      <c r="B314" s="1147" t="s">
        <v>3565</v>
      </c>
      <c r="C314" s="1135" t="s">
        <v>120</v>
      </c>
      <c r="D314" s="1135" t="s">
        <v>3566</v>
      </c>
      <c r="E314" s="1452" t="s">
        <v>118</v>
      </c>
      <c r="F314" s="1449">
        <f t="shared" si="23"/>
        <v>2636</v>
      </c>
      <c r="G314" s="1449">
        <v>986</v>
      </c>
      <c r="H314" s="1448"/>
      <c r="I314" s="1449">
        <v>664</v>
      </c>
      <c r="J314" s="1449">
        <v>986</v>
      </c>
      <c r="K314" s="1465"/>
    </row>
    <row r="315" spans="1:11" ht="18" customHeight="1">
      <c r="A315" s="1493">
        <v>8</v>
      </c>
      <c r="B315" s="1147" t="s">
        <v>3567</v>
      </c>
      <c r="C315" s="1135" t="s">
        <v>120</v>
      </c>
      <c r="D315" s="1135" t="s">
        <v>3568</v>
      </c>
      <c r="E315" s="1452" t="s">
        <v>118</v>
      </c>
      <c r="F315" s="1449">
        <f t="shared" si="23"/>
        <v>1500</v>
      </c>
      <c r="G315" s="1449">
        <v>750</v>
      </c>
      <c r="H315" s="1448"/>
      <c r="I315" s="1448"/>
      <c r="J315" s="1449">
        <v>750</v>
      </c>
      <c r="K315" s="1465"/>
    </row>
    <row r="316" spans="1:11" ht="18" customHeight="1">
      <c r="A316" s="1493">
        <v>9</v>
      </c>
      <c r="B316" s="1494" t="s">
        <v>3569</v>
      </c>
      <c r="C316" s="1135" t="s">
        <v>119</v>
      </c>
      <c r="D316" s="1135" t="s">
        <v>2566</v>
      </c>
      <c r="E316" s="1452" t="s">
        <v>118</v>
      </c>
      <c r="F316" s="1449">
        <f t="shared" si="23"/>
        <v>1183.4480000000001</v>
      </c>
      <c r="G316" s="1449">
        <v>591.72400000000005</v>
      </c>
      <c r="H316" s="1448"/>
      <c r="I316" s="1448"/>
      <c r="J316" s="1449">
        <v>591.72400000000005</v>
      </c>
      <c r="K316" s="1465"/>
    </row>
    <row r="317" spans="1:11" ht="18" customHeight="1">
      <c r="A317" s="1493">
        <v>10</v>
      </c>
      <c r="B317" s="1494" t="s">
        <v>3570</v>
      </c>
      <c r="C317" s="1135" t="s">
        <v>119</v>
      </c>
      <c r="D317" s="1135" t="s">
        <v>2579</v>
      </c>
      <c r="E317" s="1452" t="s">
        <v>118</v>
      </c>
      <c r="F317" s="1449">
        <f t="shared" si="23"/>
        <v>2000</v>
      </c>
      <c r="G317" s="1449">
        <v>1000</v>
      </c>
      <c r="H317" s="1448"/>
      <c r="I317" s="1448"/>
      <c r="J317" s="1449">
        <v>1000</v>
      </c>
      <c r="K317" s="1465"/>
    </row>
    <row r="318" spans="1:11" ht="18" customHeight="1">
      <c r="A318" s="1493">
        <v>11</v>
      </c>
      <c r="B318" s="1147" t="s">
        <v>3571</v>
      </c>
      <c r="C318" s="1135" t="s">
        <v>3550</v>
      </c>
      <c r="D318" s="1135" t="s">
        <v>324</v>
      </c>
      <c r="E318" s="1452" t="s">
        <v>118</v>
      </c>
      <c r="F318" s="1449">
        <f t="shared" si="23"/>
        <v>3150</v>
      </c>
      <c r="G318" s="1449">
        <v>1575</v>
      </c>
      <c r="H318" s="1448"/>
      <c r="I318" s="1448"/>
      <c r="J318" s="1449">
        <v>1575</v>
      </c>
      <c r="K318" s="1465"/>
    </row>
    <row r="319" spans="1:11" ht="26">
      <c r="A319" s="1493">
        <v>12</v>
      </c>
      <c r="B319" s="1147" t="s">
        <v>3572</v>
      </c>
      <c r="C319" s="1135" t="s">
        <v>2859</v>
      </c>
      <c r="D319" s="1135" t="s">
        <v>2579</v>
      </c>
      <c r="E319" s="1452" t="s">
        <v>118</v>
      </c>
      <c r="F319" s="1449">
        <f t="shared" si="23"/>
        <v>3472</v>
      </c>
      <c r="G319" s="1449">
        <v>1736</v>
      </c>
      <c r="H319" s="1448"/>
      <c r="I319" s="1448"/>
      <c r="J319" s="1449">
        <v>1736</v>
      </c>
      <c r="K319" s="1465"/>
    </row>
    <row r="320" spans="1:11" ht="18" customHeight="1">
      <c r="A320" s="1493">
        <v>13</v>
      </c>
      <c r="B320" s="1494" t="s">
        <v>3573</v>
      </c>
      <c r="C320" s="1135" t="s">
        <v>117</v>
      </c>
      <c r="D320" s="1135" t="s">
        <v>2581</v>
      </c>
      <c r="E320" s="1452" t="s">
        <v>118</v>
      </c>
      <c r="F320" s="1449">
        <f t="shared" si="23"/>
        <v>3472</v>
      </c>
      <c r="G320" s="1449">
        <v>1736</v>
      </c>
      <c r="H320" s="1449"/>
      <c r="I320" s="1449"/>
      <c r="J320" s="1449">
        <v>1736</v>
      </c>
      <c r="K320" s="1465"/>
    </row>
    <row r="321" spans="1:11" ht="26">
      <c r="A321" s="1493">
        <v>14</v>
      </c>
      <c r="B321" s="1494" t="s">
        <v>3574</v>
      </c>
      <c r="C321" s="1135" t="s">
        <v>121</v>
      </c>
      <c r="D321" s="1490" t="s">
        <v>3575</v>
      </c>
      <c r="E321" s="1452" t="s">
        <v>118</v>
      </c>
      <c r="F321" s="1449">
        <f t="shared" si="23"/>
        <v>3472</v>
      </c>
      <c r="G321" s="1449">
        <v>1736</v>
      </c>
      <c r="H321" s="1486"/>
      <c r="I321" s="1486"/>
      <c r="J321" s="1449">
        <v>1736</v>
      </c>
      <c r="K321" s="1465"/>
    </row>
    <row r="322" spans="1:11" ht="18" customHeight="1">
      <c r="A322" s="1493">
        <v>15</v>
      </c>
      <c r="B322" s="1494" t="s">
        <v>3576</v>
      </c>
      <c r="C322" s="1135" t="s">
        <v>2801</v>
      </c>
      <c r="D322" s="1135" t="s">
        <v>2577</v>
      </c>
      <c r="E322" s="1452" t="s">
        <v>118</v>
      </c>
      <c r="F322" s="1449">
        <f t="shared" si="23"/>
        <v>2060</v>
      </c>
      <c r="G322" s="1449">
        <v>1030</v>
      </c>
      <c r="H322" s="1449"/>
      <c r="I322" s="1449"/>
      <c r="J322" s="1449">
        <v>1030</v>
      </c>
      <c r="K322" s="1465"/>
    </row>
    <row r="323" spans="1:11" ht="18" customHeight="1">
      <c r="A323" s="1495">
        <v>16</v>
      </c>
      <c r="B323" s="1496" t="s">
        <v>3577</v>
      </c>
      <c r="C323" s="41" t="s">
        <v>2801</v>
      </c>
      <c r="D323" s="41" t="s">
        <v>3578</v>
      </c>
      <c r="E323" s="1502" t="s">
        <v>118</v>
      </c>
      <c r="F323" s="1497">
        <f t="shared" si="23"/>
        <v>1412</v>
      </c>
      <c r="G323" s="1497">
        <v>706</v>
      </c>
      <c r="H323" s="1497"/>
      <c r="I323" s="1497"/>
      <c r="J323" s="1497">
        <v>706</v>
      </c>
      <c r="K323" s="1498"/>
    </row>
  </sheetData>
  <mergeCells count="17">
    <mergeCell ref="G6:H6"/>
    <mergeCell ref="I6:I7"/>
    <mergeCell ref="C154:C155"/>
    <mergeCell ref="C158:C159"/>
    <mergeCell ref="A1:K1"/>
    <mergeCell ref="A3:K3"/>
    <mergeCell ref="A2:K2"/>
    <mergeCell ref="H4:K4"/>
    <mergeCell ref="A5:A7"/>
    <mergeCell ref="B5:B7"/>
    <mergeCell ref="C5:C7"/>
    <mergeCell ref="D5:D7"/>
    <mergeCell ref="E5:E7"/>
    <mergeCell ref="F5:I5"/>
    <mergeCell ref="J5:J7"/>
    <mergeCell ref="K5:K7"/>
    <mergeCell ref="F6:F7"/>
  </mergeCells>
  <conditionalFormatting sqref="B159">
    <cfRule type="expression" dxfId="1" priority="1" stopIfTrue="1">
      <formula>+COUNTIF(#REF!,#REF!)&gt;1</formula>
    </cfRule>
  </conditionalFormatting>
  <pageMargins left="0.47" right="0.36" top="0.28999999999999998" bottom="0.44" header="0.3" footer="0.21"/>
  <pageSetup paperSize="9" scale="80" orientation="landscape" verticalDpi="0" r:id="rId1"/>
  <headerFooter>
    <oddFooter>Page &amp;P</oddFooter>
  </headerFooter>
  <ignoredErrors>
    <ignoredError sqref="E305:I306 E307 G307:I307 E117 E170" numberStoredAsText="1"/>
    <ignoredError sqref="F307" numberStoredAsText="1" formula="1"/>
    <ignoredError sqref="G291:J291" formula="1"/>
    <ignoredError sqref="F18:G234" formulaRange="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6"/>
  <sheetViews>
    <sheetView workbookViewId="0">
      <selection activeCell="D10" sqref="D10"/>
    </sheetView>
  </sheetViews>
  <sheetFormatPr defaultRowHeight="14"/>
  <cols>
    <col min="1" max="1" width="6.4140625" style="1575" customWidth="1"/>
    <col min="2" max="2" width="71.08203125" customWidth="1"/>
    <col min="3" max="4" width="15.33203125" customWidth="1"/>
    <col min="5" max="5" width="10.6640625" customWidth="1"/>
  </cols>
  <sheetData>
    <row r="1" spans="1:5">
      <c r="E1" s="1576" t="s">
        <v>3757</v>
      </c>
    </row>
    <row r="2" spans="1:5" ht="48" customHeight="1">
      <c r="A2" s="1671" t="s">
        <v>3790</v>
      </c>
      <c r="B2" s="1671"/>
      <c r="C2" s="1671"/>
      <c r="D2" s="1671"/>
      <c r="E2" s="1671"/>
    </row>
    <row r="3" spans="1:5" ht="15.5">
      <c r="A3" s="1947" t="str">
        <f>'b 01 KH đt công'!A3:L3</f>
        <v>(Kèm theo  Nghị quyết số           /NQ- HĐND Ngày      tháng 8 năm 2026 của HĐND xã Nậm Hàng)</v>
      </c>
      <c r="B3" s="1947"/>
      <c r="C3" s="1947"/>
      <c r="D3" s="1947"/>
      <c r="E3" s="1947"/>
    </row>
    <row r="4" spans="1:5" ht="15.5">
      <c r="A4" s="1308"/>
      <c r="B4" s="1178"/>
      <c r="C4" s="1550" t="s">
        <v>3</v>
      </c>
      <c r="D4" s="1550"/>
    </row>
    <row r="5" spans="1:5" ht="15">
      <c r="A5" s="1551" t="s">
        <v>4</v>
      </c>
      <c r="B5" s="1551" t="s">
        <v>3760</v>
      </c>
      <c r="C5" s="1551" t="s">
        <v>3792</v>
      </c>
      <c r="D5" s="1551" t="s">
        <v>3795</v>
      </c>
      <c r="E5" s="1551" t="s">
        <v>33</v>
      </c>
    </row>
    <row r="6" spans="1:5" ht="15">
      <c r="A6" s="1552"/>
      <c r="B6" s="1552" t="s">
        <v>6</v>
      </c>
      <c r="C6" s="1552" t="s">
        <v>3761</v>
      </c>
      <c r="D6" s="1552"/>
      <c r="E6" s="1553"/>
    </row>
    <row r="7" spans="1:5" ht="15">
      <c r="A7" s="1552" t="s">
        <v>8</v>
      </c>
      <c r="B7" s="1554" t="s">
        <v>3762</v>
      </c>
      <c r="C7" s="1552" t="s">
        <v>3763</v>
      </c>
      <c r="D7" s="1552"/>
      <c r="E7" s="1553"/>
    </row>
    <row r="8" spans="1:5" ht="15.5">
      <c r="A8" s="1555" t="s">
        <v>2552</v>
      </c>
      <c r="B8" s="1556" t="s">
        <v>3764</v>
      </c>
      <c r="C8" s="1557"/>
      <c r="D8" s="1557"/>
      <c r="E8" s="1558"/>
    </row>
    <row r="9" spans="1:5" ht="28">
      <c r="A9" s="1555" t="s">
        <v>10</v>
      </c>
      <c r="B9" s="1566" t="s">
        <v>3783</v>
      </c>
      <c r="C9" s="1561">
        <f>C10</f>
        <v>2500</v>
      </c>
      <c r="D9" s="1561"/>
      <c r="E9" s="1558"/>
    </row>
    <row r="10" spans="1:5" ht="31">
      <c r="A10" s="1555"/>
      <c r="B10" s="1564" t="s">
        <v>3784</v>
      </c>
      <c r="C10" s="1565">
        <v>2500</v>
      </c>
      <c r="D10" s="1565" t="s">
        <v>3796</v>
      </c>
      <c r="E10" s="1558"/>
    </row>
    <row r="11" spans="1:5" ht="15.5">
      <c r="A11" s="1555"/>
      <c r="B11" s="1556"/>
      <c r="C11" s="1557"/>
      <c r="D11" s="1557"/>
      <c r="E11" s="1558"/>
    </row>
    <row r="12" spans="1:5" ht="15.5">
      <c r="A12" s="1555"/>
      <c r="B12" s="1556"/>
      <c r="C12" s="1557"/>
      <c r="D12" s="1557"/>
      <c r="E12" s="1558"/>
    </row>
    <row r="13" spans="1:5" ht="15.5">
      <c r="A13" s="1555"/>
      <c r="B13" s="1556"/>
      <c r="C13" s="1557"/>
      <c r="D13" s="1557"/>
      <c r="E13" s="1558"/>
    </row>
    <row r="14" spans="1:5" ht="31">
      <c r="A14" s="1555" t="s">
        <v>12</v>
      </c>
      <c r="B14" s="1568" t="s">
        <v>3769</v>
      </c>
      <c r="C14" s="1565" t="e">
        <f>#REF!+C16</f>
        <v>#REF!</v>
      </c>
      <c r="D14" s="1565"/>
      <c r="E14" s="1558"/>
    </row>
    <row r="15" spans="1:5" ht="31">
      <c r="A15" s="1555"/>
      <c r="B15" s="1568" t="s">
        <v>3794</v>
      </c>
      <c r="C15" s="1565"/>
      <c r="D15" s="1565"/>
      <c r="E15" s="1558"/>
    </row>
    <row r="16" spans="1:5" ht="15.5">
      <c r="A16" s="1555"/>
      <c r="B16" s="1569" t="s">
        <v>3771</v>
      </c>
      <c r="C16" s="1565">
        <v>1000</v>
      </c>
      <c r="D16" s="1565" t="s">
        <v>3797</v>
      </c>
      <c r="E16" s="1558"/>
    </row>
    <row r="17" spans="1:5" ht="84">
      <c r="A17" s="1555"/>
      <c r="B17" s="1564" t="s">
        <v>3765</v>
      </c>
      <c r="C17" s="1557">
        <v>700</v>
      </c>
      <c r="D17" s="1557"/>
      <c r="E17" s="1558"/>
    </row>
    <row r="18" spans="1:5" ht="15.5">
      <c r="A18" s="1555"/>
      <c r="B18" s="1564" t="s">
        <v>3770</v>
      </c>
      <c r="C18" s="1565">
        <v>2500</v>
      </c>
      <c r="D18" s="1565"/>
      <c r="E18" s="1558"/>
    </row>
    <row r="19" spans="1:5" ht="15.5">
      <c r="A19" s="1555"/>
      <c r="B19" s="1556"/>
      <c r="C19" s="1557"/>
      <c r="D19" s="1557"/>
      <c r="E19" s="1558"/>
    </row>
    <row r="20" spans="1:5" ht="15.5">
      <c r="A20" s="1555"/>
      <c r="B20" s="1556"/>
      <c r="C20" s="1557"/>
      <c r="D20" s="1557"/>
      <c r="E20" s="1558"/>
    </row>
    <row r="21" spans="1:5" ht="15.5">
      <c r="A21" s="1555"/>
      <c r="B21" s="1556"/>
      <c r="C21" s="1557"/>
      <c r="D21" s="1557"/>
      <c r="E21" s="1558"/>
    </row>
    <row r="22" spans="1:5" ht="15.5">
      <c r="A22" s="1555"/>
      <c r="B22" s="1556"/>
      <c r="C22" s="1557"/>
      <c r="D22" s="1557"/>
      <c r="E22" s="1558"/>
    </row>
    <row r="23" spans="1:5" ht="15.5">
      <c r="A23" s="1555"/>
      <c r="B23" s="1556"/>
      <c r="C23" s="1557"/>
      <c r="D23" s="1557"/>
      <c r="E23" s="1558"/>
    </row>
    <row r="24" spans="1:5" ht="15.5">
      <c r="A24" s="1555"/>
      <c r="B24" s="1556"/>
      <c r="C24" s="1557"/>
      <c r="D24" s="1557"/>
      <c r="E24" s="1558"/>
    </row>
    <row r="25" spans="1:5" ht="15.5">
      <c r="A25" s="1555"/>
      <c r="B25" s="1556"/>
      <c r="C25" s="1557"/>
      <c r="D25" s="1557"/>
      <c r="E25" s="1558"/>
    </row>
    <row r="26" spans="1:5" ht="15.5">
      <c r="A26" s="1555"/>
      <c r="B26" s="1556"/>
      <c r="C26" s="1557"/>
      <c r="D26" s="1557"/>
      <c r="E26" s="1558"/>
    </row>
    <row r="27" spans="1:5" ht="15.5">
      <c r="A27" s="1555"/>
      <c r="B27" s="1556"/>
      <c r="C27" s="1557"/>
      <c r="D27" s="1557"/>
      <c r="E27" s="1558"/>
    </row>
    <row r="28" spans="1:5" ht="15.5">
      <c r="A28" s="1555"/>
      <c r="B28" s="1556"/>
      <c r="C28" s="1557"/>
      <c r="D28" s="1557"/>
      <c r="E28" s="1558"/>
    </row>
    <row r="29" spans="1:5" ht="15.5">
      <c r="A29" s="1555"/>
      <c r="B29" s="1556"/>
      <c r="C29" s="1557"/>
      <c r="D29" s="1557"/>
      <c r="E29" s="1558"/>
    </row>
    <row r="30" spans="1:5" ht="15.5">
      <c r="A30" s="1555"/>
      <c r="B30" s="1556"/>
      <c r="C30" s="1557"/>
      <c r="D30" s="1557"/>
      <c r="E30" s="1558"/>
    </row>
    <row r="31" spans="1:5" ht="15.5">
      <c r="A31" s="1555"/>
      <c r="B31" s="1556"/>
      <c r="C31" s="1557"/>
      <c r="D31" s="1557"/>
      <c r="E31" s="1558"/>
    </row>
    <row r="32" spans="1:5" ht="15.5">
      <c r="A32" s="1555"/>
      <c r="B32" s="1556"/>
      <c r="C32" s="1557"/>
      <c r="D32" s="1557"/>
      <c r="E32" s="1558"/>
    </row>
    <row r="33" spans="1:5" ht="15.5">
      <c r="A33" s="1555"/>
      <c r="B33" s="1556"/>
      <c r="C33" s="1557"/>
      <c r="D33" s="1557"/>
      <c r="E33" s="1558"/>
    </row>
    <row r="34" spans="1:5" ht="15.5">
      <c r="A34" s="1555"/>
      <c r="B34" s="1556"/>
      <c r="C34" s="1557"/>
      <c r="D34" s="1557"/>
      <c r="E34" s="1558"/>
    </row>
    <row r="35" spans="1:5" ht="15.5">
      <c r="A35" s="1555"/>
      <c r="B35" s="1556"/>
      <c r="C35" s="1557"/>
      <c r="D35" s="1557"/>
      <c r="E35" s="1558"/>
    </row>
    <row r="36" spans="1:5" ht="15.5">
      <c r="A36" s="1555"/>
      <c r="B36" s="1556"/>
      <c r="C36" s="1557"/>
      <c r="D36" s="1557"/>
      <c r="E36" s="1558"/>
    </row>
    <row r="37" spans="1:5" ht="15.5">
      <c r="A37" s="1555"/>
      <c r="B37" s="1556"/>
      <c r="C37" s="1557"/>
      <c r="D37" s="1557"/>
      <c r="E37" s="1558"/>
    </row>
    <row r="38" spans="1:5" ht="24" customHeight="1">
      <c r="A38" s="1559"/>
      <c r="B38" s="1560"/>
      <c r="C38" s="1561"/>
      <c r="D38" s="1561"/>
      <c r="E38" s="1562"/>
    </row>
    <row r="39" spans="1:5" ht="15.5">
      <c r="A39" s="1563"/>
      <c r="B39" s="1564"/>
      <c r="C39" s="1565"/>
      <c r="D39" s="1565"/>
      <c r="E39" s="1562"/>
    </row>
    <row r="40" spans="1:5" ht="15.5">
      <c r="A40" s="1559"/>
      <c r="B40" s="1566"/>
      <c r="C40" s="1561"/>
      <c r="D40" s="1561"/>
      <c r="E40" s="1562"/>
    </row>
    <row r="41" spans="1:5" ht="15.5">
      <c r="A41" s="1563"/>
      <c r="B41" s="1564"/>
      <c r="C41" s="1565"/>
      <c r="D41" s="1565"/>
      <c r="E41" s="1562"/>
    </row>
    <row r="42" spans="1:5" ht="15">
      <c r="A42" s="1567"/>
      <c r="B42" s="1566"/>
      <c r="C42" s="1561"/>
      <c r="D42" s="1561"/>
      <c r="E42" s="1562"/>
    </row>
    <row r="43" spans="1:5" ht="15">
      <c r="A43" s="1567"/>
      <c r="B43" s="1556"/>
      <c r="C43" s="1561"/>
      <c r="D43" s="1561"/>
      <c r="E43" s="1562"/>
    </row>
    <row r="44" spans="1:5" ht="15.5">
      <c r="A44" s="1567"/>
      <c r="B44" s="1568"/>
      <c r="C44" s="1565"/>
      <c r="D44" s="1565"/>
      <c r="E44" s="1562"/>
    </row>
    <row r="45" spans="1:5" ht="15.5">
      <c r="A45" s="1567"/>
      <c r="B45" s="1564"/>
      <c r="C45" s="1565"/>
      <c r="D45" s="1565"/>
      <c r="E45" s="1562"/>
    </row>
    <row r="46" spans="1:5" ht="15.5">
      <c r="A46" s="1567"/>
      <c r="B46" s="1569"/>
      <c r="C46" s="1565"/>
      <c r="D46" s="1565"/>
      <c r="E46" s="1562"/>
    </row>
    <row r="47" spans="1:5" ht="15">
      <c r="A47" s="1567"/>
      <c r="B47" s="1566"/>
      <c r="C47" s="1561"/>
      <c r="D47" s="1561"/>
      <c r="E47" s="1562"/>
    </row>
    <row r="48" spans="1:5" ht="15.5">
      <c r="A48" s="1567"/>
      <c r="B48" s="1564"/>
      <c r="C48" s="1565"/>
      <c r="D48" s="1565"/>
      <c r="E48" s="1562"/>
    </row>
    <row r="49" spans="1:5" ht="15">
      <c r="A49" s="1567"/>
      <c r="B49" s="1570"/>
      <c r="C49" s="1561"/>
      <c r="D49" s="1561"/>
      <c r="E49" s="1562"/>
    </row>
    <row r="50" spans="1:5" ht="15.5">
      <c r="A50" s="1563"/>
      <c r="B50" s="1564"/>
      <c r="C50" s="1565"/>
      <c r="D50" s="1565"/>
      <c r="E50" s="1562"/>
    </row>
    <row r="51" spans="1:5" ht="15.5">
      <c r="A51" s="1563"/>
      <c r="B51" s="1571"/>
      <c r="C51" s="1565"/>
      <c r="D51" s="1565"/>
      <c r="E51" s="1562"/>
    </row>
    <row r="52" spans="1:5" ht="15.5">
      <c r="A52" s="1567"/>
      <c r="B52" s="1566"/>
      <c r="C52" s="1572"/>
      <c r="D52" s="1572"/>
      <c r="E52" s="1562"/>
    </row>
    <row r="53" spans="1:5" ht="15.5">
      <c r="A53" s="1567"/>
      <c r="B53" s="1570"/>
      <c r="C53" s="1572"/>
      <c r="D53" s="1572"/>
      <c r="E53" s="1562"/>
    </row>
    <row r="54" spans="1:5" ht="15.5">
      <c r="A54" s="1567"/>
      <c r="B54" s="1566"/>
      <c r="C54" s="1565"/>
      <c r="D54" s="1565"/>
      <c r="E54" s="1562"/>
    </row>
    <row r="55" spans="1:5" ht="15.5">
      <c r="A55" s="1567"/>
      <c r="B55" s="1568"/>
      <c r="C55" s="1565"/>
      <c r="D55" s="1565"/>
      <c r="E55" s="1562"/>
    </row>
    <row r="56" spans="1:5" ht="15.5">
      <c r="A56" s="1567"/>
      <c r="B56" s="1568"/>
      <c r="C56" s="1565"/>
      <c r="D56" s="1565"/>
      <c r="E56" s="1562"/>
    </row>
    <row r="57" spans="1:5" ht="15.5">
      <c r="A57" s="1567"/>
      <c r="B57" s="1568"/>
      <c r="C57" s="1565"/>
      <c r="D57" s="1565"/>
      <c r="E57" s="1562"/>
    </row>
    <row r="58" spans="1:5" ht="15">
      <c r="A58" s="1567"/>
      <c r="B58" s="1566"/>
      <c r="C58" s="1561"/>
      <c r="D58" s="1561"/>
      <c r="E58" s="1562"/>
    </row>
    <row r="59" spans="1:5" ht="15.5">
      <c r="A59" s="1563"/>
      <c r="B59" s="1566"/>
      <c r="C59" s="1561"/>
      <c r="D59" s="1561"/>
      <c r="E59" s="1562"/>
    </row>
    <row r="60" spans="1:5" ht="15.5">
      <c r="A60" s="1563"/>
      <c r="B60" s="1564"/>
      <c r="C60" s="1565"/>
      <c r="D60" s="1565"/>
      <c r="E60" s="1562"/>
    </row>
    <row r="61" spans="1:5" ht="15">
      <c r="A61" s="1567"/>
      <c r="B61" s="1566"/>
      <c r="C61" s="1561"/>
      <c r="D61" s="1561"/>
      <c r="E61" s="1562"/>
    </row>
    <row r="62" spans="1:5" ht="15.5">
      <c r="A62" s="1563"/>
      <c r="B62" s="1564"/>
      <c r="C62" s="1565"/>
      <c r="D62" s="1565"/>
      <c r="E62" s="1562"/>
    </row>
    <row r="63" spans="1:5" ht="15">
      <c r="A63" s="1567"/>
      <c r="B63" s="1566"/>
      <c r="C63" s="1561"/>
      <c r="D63" s="1561"/>
      <c r="E63" s="1573"/>
    </row>
    <row r="64" spans="1:5" ht="15">
      <c r="A64" s="1567"/>
      <c r="B64" s="1574"/>
      <c r="C64" s="1561"/>
      <c r="D64" s="1561"/>
      <c r="E64" s="1562"/>
    </row>
    <row r="65" spans="1:5" ht="15.5">
      <c r="A65" s="1563"/>
      <c r="B65" s="1564"/>
      <c r="C65" s="1565"/>
      <c r="D65" s="1565"/>
      <c r="E65" s="1562"/>
    </row>
    <row r="66" spans="1:5" ht="15.5">
      <c r="A66" s="1563"/>
      <c r="B66" s="1570"/>
      <c r="C66" s="1561"/>
      <c r="D66" s="1561"/>
      <c r="E66" s="1562"/>
    </row>
    <row r="67" spans="1:5" ht="15.5">
      <c r="A67" s="1563"/>
      <c r="B67" s="1571"/>
      <c r="C67" s="1561"/>
      <c r="D67" s="1561"/>
      <c r="E67" s="1562"/>
    </row>
    <row r="68" spans="1:5" ht="15.5">
      <c r="A68" s="1563"/>
      <c r="B68" s="1566"/>
      <c r="C68" s="1561"/>
      <c r="D68" s="1561"/>
      <c r="E68" s="1562"/>
    </row>
    <row r="69" spans="1:5" ht="15">
      <c r="A69" s="1567"/>
      <c r="B69" s="1566"/>
      <c r="C69" s="1561"/>
      <c r="D69" s="1561"/>
      <c r="E69" s="1562"/>
    </row>
    <row r="70" spans="1:5" ht="15">
      <c r="A70" s="1567"/>
      <c r="B70" s="1574"/>
      <c r="C70" s="1561"/>
      <c r="D70" s="1561"/>
      <c r="E70" s="1573"/>
    </row>
    <row r="71" spans="1:5" ht="15.5">
      <c r="A71" s="1563"/>
      <c r="B71" s="1564"/>
      <c r="C71" s="1565"/>
      <c r="D71" s="1565"/>
      <c r="E71" s="1562"/>
    </row>
    <row r="72" spans="1:5" ht="15.5">
      <c r="A72" s="1563"/>
      <c r="B72" s="1566"/>
      <c r="C72" s="1561"/>
      <c r="D72" s="1561"/>
      <c r="E72" s="1562"/>
    </row>
    <row r="73" spans="1:5" ht="15">
      <c r="A73" s="1567"/>
      <c r="B73" s="1566"/>
      <c r="C73" s="1561"/>
      <c r="D73" s="1561"/>
      <c r="E73" s="1573"/>
    </row>
    <row r="74" spans="1:5" ht="15">
      <c r="A74" s="1567"/>
      <c r="B74" s="1574"/>
      <c r="C74" s="1561"/>
      <c r="D74" s="1561"/>
      <c r="E74" s="1562"/>
    </row>
    <row r="75" spans="1:5" ht="15.5">
      <c r="A75" s="1563"/>
      <c r="B75" s="1564"/>
      <c r="C75" s="1565"/>
      <c r="D75" s="1565"/>
      <c r="E75" s="1562"/>
    </row>
    <row r="76" spans="1:5" ht="15">
      <c r="A76" s="1567"/>
      <c r="B76" s="1566"/>
      <c r="C76" s="1561"/>
      <c r="D76" s="1561"/>
      <c r="E76" s="1562"/>
    </row>
  </sheetData>
  <mergeCells count="2">
    <mergeCell ref="A2:E2"/>
    <mergeCell ref="A3:E3"/>
  </mergeCell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
  <sheetViews>
    <sheetView topLeftCell="A16" workbookViewId="0">
      <selection activeCell="C24" sqref="C24"/>
    </sheetView>
  </sheetViews>
  <sheetFormatPr defaultRowHeight="14"/>
  <cols>
    <col min="1" max="1" width="6.4140625" style="1575" customWidth="1"/>
    <col min="2" max="2" width="71.08203125" customWidth="1"/>
    <col min="3" max="3" width="15.33203125" customWidth="1"/>
    <col min="4" max="4" width="10.6640625" customWidth="1"/>
  </cols>
  <sheetData>
    <row r="1" spans="1:4" ht="60.75" customHeight="1">
      <c r="A1" s="1671" t="s">
        <v>3798</v>
      </c>
      <c r="B1" s="1671"/>
      <c r="C1" s="1671"/>
      <c r="D1" s="1671"/>
    </row>
    <row r="2" spans="1:4" ht="15.5">
      <c r="A2" s="1947" t="s">
        <v>3799</v>
      </c>
      <c r="B2" s="1947"/>
      <c r="C2" s="1947"/>
      <c r="D2" s="1947"/>
    </row>
    <row r="3" spans="1:4" ht="15.5">
      <c r="A3" s="1308"/>
      <c r="B3" s="1178"/>
      <c r="C3" s="1550" t="s">
        <v>3</v>
      </c>
    </row>
    <row r="4" spans="1:4" ht="15">
      <c r="A4" s="1551" t="s">
        <v>4</v>
      </c>
      <c r="B4" s="1551" t="s">
        <v>3760</v>
      </c>
      <c r="C4" s="1551" t="s">
        <v>3800</v>
      </c>
      <c r="D4" s="1551" t="s">
        <v>33</v>
      </c>
    </row>
    <row r="5" spans="1:4" ht="15">
      <c r="A5" s="1552"/>
      <c r="B5" s="1552" t="s">
        <v>6</v>
      </c>
      <c r="C5" s="1552" t="s">
        <v>3761</v>
      </c>
      <c r="D5" s="1553"/>
    </row>
    <row r="6" spans="1:4" ht="15">
      <c r="A6" s="1552" t="s">
        <v>8</v>
      </c>
      <c r="B6" s="1554" t="s">
        <v>3762</v>
      </c>
      <c r="C6" s="1552" t="s">
        <v>3763</v>
      </c>
      <c r="D6" s="1553"/>
    </row>
    <row r="7" spans="1:4" ht="15.5">
      <c r="A7" s="1555" t="s">
        <v>2552</v>
      </c>
      <c r="B7" s="1556" t="s">
        <v>3764</v>
      </c>
      <c r="C7" s="1557"/>
      <c r="D7" s="1558"/>
    </row>
    <row r="8" spans="1:4" ht="28">
      <c r="A8" s="1559">
        <v>1</v>
      </c>
      <c r="B8" s="1560" t="str">
        <f>'[3]Vốn sự nghiệp'!$B$29</f>
        <v>Nội dung thành phần 03: Phát triển kinh tế nông thôn theo hướng sinh thái, hiện đại, tích hợp đa giá trị và đáp ứng nhu cầu thị trường (gồm 10 nội dung cụ thể)</v>
      </c>
      <c r="C8" s="1561">
        <f>C9</f>
        <v>1007.88</v>
      </c>
      <c r="D8" s="1562"/>
    </row>
    <row r="9" spans="1:4" ht="84">
      <c r="A9" s="1563" t="s">
        <v>701</v>
      </c>
      <c r="B9" s="1564" t="s">
        <v>3765</v>
      </c>
      <c r="C9" s="1565">
        <v>1007.88</v>
      </c>
      <c r="D9" s="1562"/>
    </row>
    <row r="10" spans="1:4" ht="42">
      <c r="A10" s="1559">
        <v>2</v>
      </c>
      <c r="B10" s="1566" t="s">
        <v>3766</v>
      </c>
      <c r="C10" s="1561">
        <f>C11</f>
        <v>150</v>
      </c>
      <c r="D10" s="1562"/>
    </row>
    <row r="11" spans="1:4" ht="84">
      <c r="A11" s="1563" t="s">
        <v>701</v>
      </c>
      <c r="B11" s="1564" t="s">
        <v>3767</v>
      </c>
      <c r="C11" s="1565">
        <v>150</v>
      </c>
      <c r="D11" s="1562"/>
    </row>
    <row r="12" spans="1:4" ht="15">
      <c r="A12" s="1567" t="s">
        <v>26</v>
      </c>
      <c r="B12" s="1566" t="s">
        <v>3768</v>
      </c>
      <c r="C12" s="1561">
        <f>C13+C28</f>
        <v>8548.119999999999</v>
      </c>
      <c r="D12" s="1562"/>
    </row>
    <row r="13" spans="1:4" ht="15">
      <c r="A13" s="1567" t="s">
        <v>2552</v>
      </c>
      <c r="B13" s="1556" t="s">
        <v>3764</v>
      </c>
      <c r="C13" s="1561">
        <f>C14+C17+C19+C22+C24</f>
        <v>5993.32</v>
      </c>
      <c r="D13" s="1562"/>
    </row>
    <row r="14" spans="1:4" ht="31">
      <c r="A14" s="1567">
        <v>1</v>
      </c>
      <c r="B14" s="1568" t="s">
        <v>3769</v>
      </c>
      <c r="C14" s="1565">
        <f>C15+C16</f>
        <v>3500</v>
      </c>
      <c r="D14" s="1562"/>
    </row>
    <row r="15" spans="1:4" ht="15.5">
      <c r="A15" s="1567" t="s">
        <v>701</v>
      </c>
      <c r="B15" s="1564" t="s">
        <v>3770</v>
      </c>
      <c r="C15" s="1565">
        <v>2500</v>
      </c>
      <c r="D15" s="1562"/>
    </row>
    <row r="16" spans="1:4" ht="15.5">
      <c r="A16" s="1567" t="s">
        <v>701</v>
      </c>
      <c r="B16" s="1569" t="s">
        <v>3771</v>
      </c>
      <c r="C16" s="1565">
        <v>1000</v>
      </c>
      <c r="D16" s="1562"/>
    </row>
    <row r="17" spans="1:4" ht="28">
      <c r="A17" s="1567">
        <v>2</v>
      </c>
      <c r="B17" s="1566" t="s">
        <v>3772</v>
      </c>
      <c r="C17" s="1561">
        <f>C18</f>
        <v>1000</v>
      </c>
      <c r="D17" s="1562"/>
    </row>
    <row r="18" spans="1:4" ht="84">
      <c r="A18" s="1567"/>
      <c r="B18" s="1564" t="s">
        <v>3765</v>
      </c>
      <c r="C18" s="1565">
        <v>1000</v>
      </c>
      <c r="D18" s="1562"/>
    </row>
    <row r="19" spans="1:4" ht="30">
      <c r="A19" s="1567">
        <v>3</v>
      </c>
      <c r="B19" s="1570" t="s">
        <v>3773</v>
      </c>
      <c r="C19" s="1561">
        <f>C20+C21</f>
        <v>1228</v>
      </c>
      <c r="D19" s="1562"/>
    </row>
    <row r="20" spans="1:4" ht="15.5">
      <c r="A20" s="1563" t="s">
        <v>2303</v>
      </c>
      <c r="B20" s="1564" t="s">
        <v>3774</v>
      </c>
      <c r="C20" s="1565">
        <v>763</v>
      </c>
      <c r="D20" s="1562"/>
    </row>
    <row r="21" spans="1:4" ht="31">
      <c r="A21" s="1563" t="s">
        <v>2313</v>
      </c>
      <c r="B21" s="1571" t="s">
        <v>3775</v>
      </c>
      <c r="C21" s="1565">
        <v>465</v>
      </c>
      <c r="D21" s="1562"/>
    </row>
    <row r="22" spans="1:4" ht="15.5">
      <c r="A22" s="1567">
        <v>4</v>
      </c>
      <c r="B22" s="1566" t="s">
        <v>3776</v>
      </c>
      <c r="C22" s="1572">
        <f>C23</f>
        <v>71</v>
      </c>
      <c r="D22" s="1562"/>
    </row>
    <row r="23" spans="1:4" ht="30">
      <c r="A23" s="1567" t="s">
        <v>3777</v>
      </c>
      <c r="B23" s="1570" t="s">
        <v>3778</v>
      </c>
      <c r="C23" s="1572">
        <v>71</v>
      </c>
      <c r="D23" s="1562"/>
    </row>
    <row r="24" spans="1:4" ht="42">
      <c r="A24" s="1567">
        <v>5</v>
      </c>
      <c r="B24" s="1566" t="s">
        <v>3766</v>
      </c>
      <c r="C24" s="1565">
        <f>C25+C26+C27</f>
        <v>194.32</v>
      </c>
      <c r="D24" s="1562"/>
    </row>
    <row r="25" spans="1:4" ht="108.5">
      <c r="A25" s="1567"/>
      <c r="B25" s="1568" t="s">
        <v>3767</v>
      </c>
      <c r="C25" s="1565">
        <v>50</v>
      </c>
      <c r="D25" s="1562"/>
    </row>
    <row r="26" spans="1:4" ht="46.5">
      <c r="A26" s="1567"/>
      <c r="B26" s="1568" t="s">
        <v>3779</v>
      </c>
      <c r="C26" s="1565">
        <v>30</v>
      </c>
      <c r="D26" s="1562"/>
    </row>
    <row r="27" spans="1:4" ht="77.5">
      <c r="A27" s="1567"/>
      <c r="B27" s="1568" t="s">
        <v>3780</v>
      </c>
      <c r="C27" s="1565">
        <v>114.32</v>
      </c>
      <c r="D27" s="1562"/>
    </row>
    <row r="28" spans="1:4" ht="15">
      <c r="A28" s="1567" t="s">
        <v>3781</v>
      </c>
      <c r="B28" s="1566" t="s">
        <v>3782</v>
      </c>
      <c r="C28" s="1561">
        <f>C29+C31</f>
        <v>2554.8000000000002</v>
      </c>
      <c r="D28" s="1562"/>
    </row>
    <row r="29" spans="1:4" ht="28">
      <c r="A29" s="1563">
        <v>1</v>
      </c>
      <c r="B29" s="1566" t="s">
        <v>3783</v>
      </c>
      <c r="C29" s="1561">
        <f>C30</f>
        <v>2500</v>
      </c>
      <c r="D29" s="1562"/>
    </row>
    <row r="30" spans="1:4" ht="28">
      <c r="A30" s="1563"/>
      <c r="B30" s="1564" t="s">
        <v>3784</v>
      </c>
      <c r="C30" s="1565">
        <v>2500</v>
      </c>
      <c r="D30" s="1562"/>
    </row>
    <row r="31" spans="1:4" ht="28">
      <c r="A31" s="1567">
        <v>2</v>
      </c>
      <c r="B31" s="1566" t="s">
        <v>3785</v>
      </c>
      <c r="C31" s="1561">
        <f>C32</f>
        <v>54.8</v>
      </c>
      <c r="D31" s="1562"/>
    </row>
    <row r="32" spans="1:4" ht="28">
      <c r="A32" s="1563"/>
      <c r="B32" s="1564" t="s">
        <v>3786</v>
      </c>
      <c r="C32" s="1565">
        <v>54.8</v>
      </c>
      <c r="D32" s="1562"/>
    </row>
    <row r="33" spans="1:4" ht="15">
      <c r="A33" s="1567" t="s">
        <v>28</v>
      </c>
      <c r="B33" s="1566" t="s">
        <v>3787</v>
      </c>
      <c r="C33" s="1561">
        <f>C34+C36+C38</f>
        <v>1100</v>
      </c>
      <c r="D33" s="1573"/>
    </row>
    <row r="34" spans="1:4" ht="30">
      <c r="A34" s="1567">
        <v>1</v>
      </c>
      <c r="B34" s="1574" t="s">
        <v>3769</v>
      </c>
      <c r="C34" s="1561">
        <f>C35</f>
        <v>600</v>
      </c>
      <c r="D34" s="1562"/>
    </row>
    <row r="35" spans="1:4" ht="84">
      <c r="A35" s="1563"/>
      <c r="B35" s="1564" t="s">
        <v>3765</v>
      </c>
      <c r="C35" s="1565">
        <v>600</v>
      </c>
      <c r="D35" s="1562"/>
    </row>
    <row r="36" spans="1:4" ht="30">
      <c r="A36" s="1563">
        <v>2</v>
      </c>
      <c r="B36" s="1570" t="s">
        <v>3773</v>
      </c>
      <c r="C36" s="1561">
        <f>C37</f>
        <v>400</v>
      </c>
      <c r="D36" s="1562"/>
    </row>
    <row r="37" spans="1:4" ht="31">
      <c r="A37" s="1563"/>
      <c r="B37" s="1571" t="s">
        <v>3775</v>
      </c>
      <c r="C37" s="1561">
        <v>400</v>
      </c>
      <c r="D37" s="1562"/>
    </row>
    <row r="38" spans="1:4" ht="42">
      <c r="A38" s="1563">
        <v>3</v>
      </c>
      <c r="B38" s="1566" t="s">
        <v>3766</v>
      </c>
      <c r="C38" s="1561">
        <v>100</v>
      </c>
      <c r="D38" s="1562"/>
    </row>
    <row r="39" spans="1:4" ht="15">
      <c r="A39" s="1567" t="s">
        <v>29</v>
      </c>
      <c r="B39" s="1566" t="s">
        <v>3788</v>
      </c>
      <c r="C39" s="1561">
        <f>C40</f>
        <v>800</v>
      </c>
      <c r="D39" s="1562"/>
    </row>
    <row r="40" spans="1:4" ht="30">
      <c r="A40" s="1567">
        <v>1</v>
      </c>
      <c r="B40" s="1574" t="s">
        <v>3769</v>
      </c>
      <c r="C40" s="1561">
        <f>C41+C42</f>
        <v>800</v>
      </c>
      <c r="D40" s="1573"/>
    </row>
    <row r="41" spans="1:4" ht="84">
      <c r="A41" s="1563"/>
      <c r="B41" s="1564" t="s">
        <v>3765</v>
      </c>
      <c r="C41" s="1565">
        <v>700</v>
      </c>
      <c r="D41" s="1562"/>
    </row>
    <row r="42" spans="1:4" ht="42">
      <c r="A42" s="1563">
        <v>2</v>
      </c>
      <c r="B42" s="1566" t="s">
        <v>3766</v>
      </c>
      <c r="C42" s="1561">
        <v>100</v>
      </c>
      <c r="D42" s="1562"/>
    </row>
    <row r="43" spans="1:4" ht="15">
      <c r="A43" s="1567" t="s">
        <v>30</v>
      </c>
      <c r="B43" s="1566" t="s">
        <v>3789</v>
      </c>
      <c r="C43" s="1561">
        <f>C44</f>
        <v>800</v>
      </c>
      <c r="D43" s="1573"/>
    </row>
    <row r="44" spans="1:4" ht="30">
      <c r="A44" s="1567">
        <v>1</v>
      </c>
      <c r="B44" s="1574" t="s">
        <v>3769</v>
      </c>
      <c r="C44" s="1561">
        <f>C45+C46</f>
        <v>800</v>
      </c>
      <c r="D44" s="1562"/>
    </row>
    <row r="45" spans="1:4" ht="84">
      <c r="A45" s="1563"/>
      <c r="B45" s="1564" t="s">
        <v>3765</v>
      </c>
      <c r="C45" s="1565">
        <v>700</v>
      </c>
      <c r="D45" s="1562"/>
    </row>
    <row r="46" spans="1:4" ht="42">
      <c r="A46" s="1567">
        <v>2</v>
      </c>
      <c r="B46" s="1566" t="s">
        <v>3766</v>
      </c>
      <c r="C46" s="1561">
        <v>100</v>
      </c>
      <c r="D46" s="1562"/>
    </row>
    <row r="47" spans="1:4" ht="15.5">
      <c r="A47"/>
      <c r="B47" s="1948" t="s">
        <v>40</v>
      </c>
      <c r="C47" s="1949"/>
    </row>
    <row r="48" spans="1:4" ht="15">
      <c r="A48"/>
      <c r="B48" s="1948" t="s">
        <v>3801</v>
      </c>
      <c r="C48" s="1948"/>
      <c r="D48" s="1948"/>
    </row>
    <row r="49" spans="1:3" ht="15.5">
      <c r="A49"/>
      <c r="B49" s="1577" t="s">
        <v>3802</v>
      </c>
      <c r="C49" s="1578"/>
    </row>
    <row r="50" spans="1:3" ht="15.5">
      <c r="A50"/>
      <c r="B50" s="1577" t="s">
        <v>3803</v>
      </c>
      <c r="C50" s="1578"/>
    </row>
    <row r="51" spans="1:3" ht="15.5">
      <c r="A51"/>
      <c r="B51" s="1945" t="s">
        <v>3804</v>
      </c>
      <c r="C51" s="1945"/>
    </row>
    <row r="52" spans="1:3" ht="15.5">
      <c r="A52"/>
      <c r="B52" s="1579" t="s">
        <v>3805</v>
      </c>
      <c r="C52" s="1178"/>
    </row>
    <row r="53" spans="1:3" ht="15.5">
      <c r="A53"/>
      <c r="B53" s="1579" t="s">
        <v>3806</v>
      </c>
      <c r="C53" s="1178"/>
    </row>
    <row r="54" spans="1:3" ht="15.5">
      <c r="A54"/>
      <c r="B54" s="1579" t="s">
        <v>3807</v>
      </c>
      <c r="C54" s="1178"/>
    </row>
    <row r="55" spans="1:3" ht="15.5">
      <c r="A55"/>
      <c r="B55" s="1579" t="s">
        <v>3808</v>
      </c>
      <c r="C55" s="1178"/>
    </row>
    <row r="56" spans="1:3" ht="15.5">
      <c r="A56"/>
      <c r="B56" s="1579" t="s">
        <v>3809</v>
      </c>
      <c r="C56" s="1178"/>
    </row>
    <row r="57" spans="1:3" ht="15.5">
      <c r="A57"/>
      <c r="B57" s="1579" t="s">
        <v>3810</v>
      </c>
      <c r="C57" s="1178"/>
    </row>
    <row r="58" spans="1:3" ht="15.5">
      <c r="A58"/>
      <c r="B58" s="1579" t="s">
        <v>3811</v>
      </c>
      <c r="C58" s="1178"/>
    </row>
  </sheetData>
  <mergeCells count="5">
    <mergeCell ref="A1:D1"/>
    <mergeCell ref="A2:D2"/>
    <mergeCell ref="B47:C47"/>
    <mergeCell ref="B48:D48"/>
    <mergeCell ref="B51:C51"/>
  </mergeCells>
  <pageMargins left="0.7" right="0.7" top="0.75" bottom="0.75" header="0.3" footer="0.3"/>
  <pageSetup paperSize="9" scale="80" orientation="portrait" r:id="rId1"/>
  <drawing r:id="rId2"/>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93"/>
  <sheetViews>
    <sheetView workbookViewId="0">
      <selection activeCell="C6" sqref="C6:C7"/>
    </sheetView>
  </sheetViews>
  <sheetFormatPr defaultRowHeight="15.5"/>
  <cols>
    <col min="1" max="1" width="5.08203125" style="1178" customWidth="1"/>
    <col min="2" max="2" width="67.6640625" style="1178" customWidth="1"/>
    <col min="3" max="3" width="15.4140625" style="1178" customWidth="1"/>
    <col min="4" max="4" width="15.58203125" style="1596" customWidth="1"/>
    <col min="5" max="5" width="55.58203125" style="1178" customWidth="1"/>
    <col min="6" max="6" width="10.6640625" style="1178" customWidth="1"/>
    <col min="7" max="7" width="9" style="1178" customWidth="1"/>
  </cols>
  <sheetData>
    <row r="1" spans="1:7">
      <c r="F1" s="1957" t="s">
        <v>3831</v>
      </c>
      <c r="G1" s="1957"/>
    </row>
    <row r="2" spans="1:7" ht="15">
      <c r="A2" s="1958" t="s">
        <v>3832</v>
      </c>
      <c r="B2" s="1958"/>
      <c r="C2" s="1958"/>
      <c r="D2" s="1958"/>
      <c r="E2" s="1958"/>
      <c r="F2" s="1958"/>
      <c r="G2" s="1958"/>
    </row>
    <row r="3" spans="1:7" ht="48.75" customHeight="1">
      <c r="A3" s="1958" t="s">
        <v>3833</v>
      </c>
      <c r="B3" s="1958"/>
      <c r="C3" s="1958"/>
      <c r="D3" s="1958"/>
      <c r="E3" s="1958"/>
      <c r="F3" s="1958"/>
      <c r="G3" s="1958"/>
    </row>
    <row r="4" spans="1:7">
      <c r="A4" s="1959" t="s">
        <v>3834</v>
      </c>
      <c r="B4" s="1960"/>
      <c r="C4" s="1960"/>
      <c r="D4" s="1960"/>
      <c r="E4" s="1960"/>
      <c r="F4" s="1960"/>
      <c r="G4" s="1960"/>
    </row>
    <row r="5" spans="1:7">
      <c r="A5" s="731"/>
      <c r="B5" s="731"/>
      <c r="C5" s="731"/>
      <c r="D5" s="1597"/>
      <c r="E5" s="731"/>
      <c r="F5" s="1598"/>
      <c r="G5" s="1599"/>
    </row>
    <row r="6" spans="1:7" ht="14">
      <c r="A6" s="1961" t="s">
        <v>3835</v>
      </c>
      <c r="B6" s="1963" t="s">
        <v>3760</v>
      </c>
      <c r="C6" s="1963" t="s">
        <v>3836</v>
      </c>
      <c r="D6" s="1963" t="s">
        <v>3837</v>
      </c>
      <c r="E6" s="1963" t="s">
        <v>3838</v>
      </c>
      <c r="F6" s="1963" t="s">
        <v>3839</v>
      </c>
      <c r="G6" s="1955" t="s">
        <v>33</v>
      </c>
    </row>
    <row r="7" spans="1:7" ht="14">
      <c r="A7" s="1962"/>
      <c r="B7" s="1964"/>
      <c r="C7" s="1964"/>
      <c r="D7" s="1964"/>
      <c r="E7" s="1964"/>
      <c r="F7" s="1964"/>
      <c r="G7" s="1956"/>
    </row>
    <row r="8" spans="1:7" ht="15">
      <c r="A8" s="1600"/>
      <c r="B8" s="1551" t="s">
        <v>3840</v>
      </c>
      <c r="C8" s="1600"/>
      <c r="D8" s="1551"/>
      <c r="E8" s="1600"/>
      <c r="F8" s="1601">
        <f>SUM(F11:F39)</f>
        <v>12406</v>
      </c>
      <c r="G8" s="1602"/>
    </row>
    <row r="9" spans="1:7" ht="15">
      <c r="A9" s="1603" t="s">
        <v>3841</v>
      </c>
      <c r="B9" s="1604" t="s">
        <v>3842</v>
      </c>
      <c r="C9" s="1604"/>
      <c r="D9" s="1551"/>
      <c r="E9" s="1604"/>
      <c r="F9" s="1605"/>
      <c r="G9" s="1604"/>
    </row>
    <row r="10" spans="1:7" ht="15">
      <c r="A10" s="1603">
        <v>1</v>
      </c>
      <c r="B10" s="1604" t="s">
        <v>3843</v>
      </c>
      <c r="C10" s="1604"/>
      <c r="D10" s="1551"/>
      <c r="E10" s="1604"/>
      <c r="F10" s="1605"/>
      <c r="G10" s="1604"/>
    </row>
    <row r="11" spans="1:7" ht="108.5">
      <c r="A11" s="1606" t="s">
        <v>710</v>
      </c>
      <c r="B11" s="1607" t="s">
        <v>3813</v>
      </c>
      <c r="C11" s="1608" t="s">
        <v>3797</v>
      </c>
      <c r="D11" s="1609" t="s">
        <v>3844</v>
      </c>
      <c r="E11" s="1608" t="s">
        <v>3845</v>
      </c>
      <c r="F11" s="1610">
        <v>750</v>
      </c>
      <c r="G11" s="1611"/>
    </row>
    <row r="12" spans="1:7" ht="108.5">
      <c r="A12" s="1606" t="s">
        <v>711</v>
      </c>
      <c r="B12" s="1607" t="s">
        <v>3846</v>
      </c>
      <c r="C12" s="1608" t="s">
        <v>3847</v>
      </c>
      <c r="D12" s="1609" t="s">
        <v>3848</v>
      </c>
      <c r="E12" s="1608" t="s">
        <v>3849</v>
      </c>
      <c r="F12" s="1612">
        <v>100</v>
      </c>
      <c r="G12" s="1611"/>
    </row>
    <row r="13" spans="1:7" ht="93">
      <c r="A13" s="1606" t="s">
        <v>712</v>
      </c>
      <c r="B13" s="1607" t="s">
        <v>3850</v>
      </c>
      <c r="C13" s="1608" t="s">
        <v>3851</v>
      </c>
      <c r="D13" s="1609" t="s">
        <v>3852</v>
      </c>
      <c r="E13" s="1608" t="s">
        <v>3853</v>
      </c>
      <c r="F13" s="1612">
        <v>450</v>
      </c>
      <c r="G13" s="1611"/>
    </row>
    <row r="14" spans="1:7">
      <c r="A14" s="1613">
        <v>2</v>
      </c>
      <c r="B14" s="1604" t="s">
        <v>3854</v>
      </c>
      <c r="C14" s="1611"/>
      <c r="D14" s="1609"/>
      <c r="E14" s="1611"/>
      <c r="F14" s="1614"/>
      <c r="G14" s="1611"/>
    </row>
    <row r="15" spans="1:7" ht="124">
      <c r="A15" s="1608" t="s">
        <v>1335</v>
      </c>
      <c r="B15" s="1568" t="s">
        <v>3855</v>
      </c>
      <c r="C15" s="1609" t="s">
        <v>3847</v>
      </c>
      <c r="D15" s="1609" t="s">
        <v>3848</v>
      </c>
      <c r="E15" s="1609" t="s">
        <v>3856</v>
      </c>
      <c r="F15" s="1614">
        <v>800</v>
      </c>
      <c r="G15" s="1611"/>
    </row>
    <row r="16" spans="1:7" ht="77.5">
      <c r="A16" s="1608" t="s">
        <v>1349</v>
      </c>
      <c r="B16" s="1607" t="s">
        <v>3857</v>
      </c>
      <c r="C16" s="1608" t="s">
        <v>3851</v>
      </c>
      <c r="D16" s="1609" t="s">
        <v>3858</v>
      </c>
      <c r="E16" s="1615" t="s">
        <v>3859</v>
      </c>
      <c r="F16" s="1612">
        <v>2000</v>
      </c>
      <c r="G16" s="1611"/>
    </row>
    <row r="17" spans="1:7" ht="15">
      <c r="A17" s="1603">
        <v>3</v>
      </c>
      <c r="B17" s="1616" t="s">
        <v>3860</v>
      </c>
      <c r="C17" s="1604"/>
      <c r="D17" s="1551"/>
      <c r="E17" s="1617"/>
      <c r="F17" s="1601"/>
      <c r="G17" s="1604"/>
    </row>
    <row r="18" spans="1:7" ht="201.5">
      <c r="A18" s="1608" t="s">
        <v>2303</v>
      </c>
      <c r="B18" s="1607" t="s">
        <v>3861</v>
      </c>
      <c r="C18" s="1608" t="s">
        <v>3862</v>
      </c>
      <c r="D18" s="1609" t="s">
        <v>3863</v>
      </c>
      <c r="E18" s="1609" t="s">
        <v>3864</v>
      </c>
      <c r="F18" s="1612">
        <v>300</v>
      </c>
      <c r="G18" s="1611"/>
    </row>
    <row r="19" spans="1:7" ht="124">
      <c r="A19" s="1608" t="s">
        <v>2313</v>
      </c>
      <c r="B19" s="1607" t="s">
        <v>3865</v>
      </c>
      <c r="C19" s="1609" t="s">
        <v>3851</v>
      </c>
      <c r="D19" s="1609" t="s">
        <v>3863</v>
      </c>
      <c r="E19" s="1608" t="s">
        <v>3866</v>
      </c>
      <c r="F19" s="1618">
        <v>60</v>
      </c>
      <c r="G19" s="1611"/>
    </row>
    <row r="20" spans="1:7" ht="15">
      <c r="A20" s="1619">
        <v>4</v>
      </c>
      <c r="B20" s="1616" t="s">
        <v>3867</v>
      </c>
      <c r="C20" s="1617"/>
      <c r="D20" s="1551"/>
      <c r="E20" s="1617"/>
      <c r="F20" s="1601"/>
      <c r="G20" s="1604"/>
    </row>
    <row r="21" spans="1:7" ht="77.5">
      <c r="A21" s="1608" t="s">
        <v>3777</v>
      </c>
      <c r="B21" s="1607" t="s">
        <v>3868</v>
      </c>
      <c r="C21" s="1608" t="s">
        <v>3847</v>
      </c>
      <c r="D21" s="1609" t="s">
        <v>3869</v>
      </c>
      <c r="E21" s="1608" t="s">
        <v>3870</v>
      </c>
      <c r="F21" s="1612">
        <v>500</v>
      </c>
      <c r="G21" s="1611"/>
    </row>
    <row r="22" spans="1:7" ht="15">
      <c r="A22" s="1619">
        <v>5</v>
      </c>
      <c r="B22" s="1616" t="s">
        <v>3871</v>
      </c>
      <c r="C22" s="1617"/>
      <c r="D22" s="1551"/>
      <c r="E22" s="1617"/>
      <c r="F22" s="1601"/>
      <c r="G22" s="1604"/>
    </row>
    <row r="23" spans="1:7" ht="124">
      <c r="A23" s="1608" t="s">
        <v>3872</v>
      </c>
      <c r="B23" s="1607" t="s">
        <v>3873</v>
      </c>
      <c r="C23" s="1608" t="s">
        <v>3851</v>
      </c>
      <c r="D23" s="1608" t="s">
        <v>3874</v>
      </c>
      <c r="E23" s="1608" t="s">
        <v>3875</v>
      </c>
      <c r="F23" s="1612">
        <v>2898</v>
      </c>
      <c r="G23" s="1604"/>
    </row>
    <row r="24" spans="1:7" ht="108.5">
      <c r="A24" s="1608" t="s">
        <v>3876</v>
      </c>
      <c r="B24" s="1607" t="s">
        <v>3877</v>
      </c>
      <c r="C24" s="1608" t="s">
        <v>3851</v>
      </c>
      <c r="D24" s="1608" t="s">
        <v>3878</v>
      </c>
      <c r="E24" s="1620" t="s">
        <v>3879</v>
      </c>
      <c r="F24" s="1612">
        <v>1600</v>
      </c>
      <c r="G24" s="1611"/>
    </row>
    <row r="25" spans="1:7" ht="15">
      <c r="A25" s="1619">
        <v>6</v>
      </c>
      <c r="B25" s="1616" t="s">
        <v>3880</v>
      </c>
      <c r="C25" s="1617"/>
      <c r="D25" s="1551"/>
      <c r="E25" s="1617"/>
      <c r="F25" s="1601"/>
      <c r="G25" s="1604"/>
    </row>
    <row r="26" spans="1:7" ht="108.5">
      <c r="A26" s="1621" t="s">
        <v>3881</v>
      </c>
      <c r="B26" s="1607" t="s">
        <v>3882</v>
      </c>
      <c r="C26" s="1608" t="s">
        <v>3883</v>
      </c>
      <c r="D26" s="1608" t="s">
        <v>3884</v>
      </c>
      <c r="E26" s="1622" t="s">
        <v>3885</v>
      </c>
      <c r="F26" s="1612">
        <v>500</v>
      </c>
      <c r="G26" s="1623"/>
    </row>
    <row r="27" spans="1:7" ht="62">
      <c r="A27" s="1608" t="s">
        <v>3886</v>
      </c>
      <c r="B27" s="1607" t="s">
        <v>3887</v>
      </c>
      <c r="C27" s="1608" t="s">
        <v>3888</v>
      </c>
      <c r="D27" s="1608" t="s">
        <v>3884</v>
      </c>
      <c r="E27" s="1622" t="s">
        <v>3889</v>
      </c>
      <c r="F27" s="1612">
        <v>150</v>
      </c>
      <c r="G27" s="1623"/>
    </row>
    <row r="28" spans="1:7" ht="15">
      <c r="A28" s="1619">
        <v>7</v>
      </c>
      <c r="B28" s="1616" t="s">
        <v>3890</v>
      </c>
      <c r="C28" s="1617"/>
      <c r="D28" s="1551"/>
      <c r="E28" s="1617"/>
      <c r="F28" s="1601"/>
      <c r="G28" s="1604"/>
    </row>
    <row r="29" spans="1:7" ht="170.5">
      <c r="A29" s="1608" t="s">
        <v>3891</v>
      </c>
      <c r="B29" s="1607" t="s">
        <v>3892</v>
      </c>
      <c r="C29" s="1608" t="s">
        <v>3847</v>
      </c>
      <c r="D29" s="1609" t="s">
        <v>3893</v>
      </c>
      <c r="E29" s="1608" t="s">
        <v>3894</v>
      </c>
      <c r="F29" s="1612">
        <v>500</v>
      </c>
      <c r="G29" s="1611"/>
    </row>
    <row r="30" spans="1:7" ht="15">
      <c r="A30" s="1619" t="s">
        <v>26</v>
      </c>
      <c r="B30" s="1604" t="s">
        <v>3895</v>
      </c>
      <c r="C30" s="1617"/>
      <c r="D30" s="1551"/>
      <c r="E30" s="1617"/>
      <c r="F30" s="1601"/>
      <c r="G30" s="1604"/>
    </row>
    <row r="31" spans="1:7" ht="15">
      <c r="A31" s="1624">
        <v>1</v>
      </c>
      <c r="B31" s="1616" t="s">
        <v>3896</v>
      </c>
      <c r="C31" s="1617"/>
      <c r="D31" s="1551"/>
      <c r="E31" s="1617"/>
      <c r="F31" s="1601"/>
      <c r="G31" s="1604"/>
    </row>
    <row r="32" spans="1:7" ht="46.5">
      <c r="A32" s="1621" t="s">
        <v>710</v>
      </c>
      <c r="B32" s="1607" t="s">
        <v>3897</v>
      </c>
      <c r="C32" s="1608" t="s">
        <v>3847</v>
      </c>
      <c r="D32" s="1609" t="s">
        <v>3884</v>
      </c>
      <c r="E32" s="1608" t="s">
        <v>3898</v>
      </c>
      <c r="F32" s="1612">
        <v>500</v>
      </c>
      <c r="G32" s="1611"/>
    </row>
    <row r="33" spans="1:7" ht="15">
      <c r="A33" s="1624">
        <v>2</v>
      </c>
      <c r="B33" s="1616" t="s">
        <v>3843</v>
      </c>
      <c r="C33" s="1617"/>
      <c r="D33" s="1551"/>
      <c r="E33" s="1617"/>
      <c r="F33" s="1601"/>
      <c r="G33" s="1604"/>
    </row>
    <row r="34" spans="1:7" ht="46.5">
      <c r="A34" s="1621" t="s">
        <v>1349</v>
      </c>
      <c r="B34" s="1607" t="s">
        <v>3899</v>
      </c>
      <c r="C34" s="1608" t="s">
        <v>3847</v>
      </c>
      <c r="D34" s="1609" t="s">
        <v>3884</v>
      </c>
      <c r="E34" s="1625" t="s">
        <v>3900</v>
      </c>
      <c r="F34" s="1612">
        <v>80</v>
      </c>
      <c r="G34" s="1611"/>
    </row>
    <row r="35" spans="1:7" ht="15">
      <c r="A35" s="1619">
        <v>3</v>
      </c>
      <c r="B35" s="1616" t="s">
        <v>3860</v>
      </c>
      <c r="C35" s="1617"/>
      <c r="D35" s="1551"/>
      <c r="E35" s="1617"/>
      <c r="F35" s="1601"/>
      <c r="G35" s="1604"/>
    </row>
    <row r="36" spans="1:7" ht="62">
      <c r="A36" s="1621" t="s">
        <v>2303</v>
      </c>
      <c r="B36" s="1607" t="s">
        <v>3901</v>
      </c>
      <c r="C36" s="1608" t="s">
        <v>3847</v>
      </c>
      <c r="D36" s="1609" t="s">
        <v>3884</v>
      </c>
      <c r="E36" s="1620" t="s">
        <v>3902</v>
      </c>
      <c r="F36" s="1612">
        <v>350</v>
      </c>
      <c r="G36" s="1611"/>
    </row>
    <row r="37" spans="1:7" ht="15">
      <c r="A37" s="1624">
        <v>4</v>
      </c>
      <c r="B37" s="1626" t="s">
        <v>3903</v>
      </c>
      <c r="C37" s="1626"/>
      <c r="D37" s="1551"/>
      <c r="E37" s="1626"/>
      <c r="F37" s="1627"/>
      <c r="G37" s="1626"/>
    </row>
    <row r="38" spans="1:7" ht="46.5">
      <c r="A38" s="1608" t="s">
        <v>3777</v>
      </c>
      <c r="B38" s="1607" t="s">
        <v>3904</v>
      </c>
      <c r="C38" s="1608" t="s">
        <v>3905</v>
      </c>
      <c r="D38" s="1609" t="s">
        <v>3884</v>
      </c>
      <c r="E38" s="1608" t="s">
        <v>3906</v>
      </c>
      <c r="F38" s="1610">
        <v>600</v>
      </c>
      <c r="G38" s="1628"/>
    </row>
    <row r="39" spans="1:7" ht="46.5">
      <c r="A39" s="1608" t="s">
        <v>3907</v>
      </c>
      <c r="B39" s="1607" t="s">
        <v>3908</v>
      </c>
      <c r="C39" s="1608" t="s">
        <v>3905</v>
      </c>
      <c r="D39" s="1609" t="s">
        <v>3884</v>
      </c>
      <c r="E39" s="1607" t="s">
        <v>3909</v>
      </c>
      <c r="F39" s="1612">
        <v>268</v>
      </c>
      <c r="G39" s="1628"/>
    </row>
    <row r="40" spans="1:7">
      <c r="A40" s="1629"/>
      <c r="B40" s="731"/>
      <c r="C40" s="731"/>
      <c r="D40" s="1597"/>
      <c r="E40" s="731"/>
      <c r="F40" s="731"/>
      <c r="G40" s="731"/>
    </row>
    <row r="41" spans="1:7">
      <c r="A41" s="731"/>
      <c r="B41" s="731"/>
      <c r="C41" s="731"/>
      <c r="D41" s="1597"/>
      <c r="E41" s="731"/>
      <c r="F41" s="731"/>
      <c r="G41" s="731"/>
    </row>
    <row r="42" spans="1:7">
      <c r="A42" s="1629"/>
      <c r="B42" s="731"/>
      <c r="C42" s="731"/>
      <c r="D42" s="1597"/>
      <c r="E42" s="731"/>
      <c r="F42" s="731"/>
      <c r="G42" s="731"/>
    </row>
    <row r="43" spans="1:7">
      <c r="A43" s="731"/>
      <c r="B43" s="731"/>
      <c r="C43" s="731"/>
      <c r="D43" s="1597"/>
      <c r="E43" s="731"/>
      <c r="F43" s="731"/>
      <c r="G43" s="731"/>
    </row>
    <row r="44" spans="1:7">
      <c r="A44" s="1629"/>
      <c r="B44" s="731"/>
      <c r="C44" s="731"/>
      <c r="D44" s="1597"/>
      <c r="E44" s="731"/>
      <c r="F44" s="731"/>
      <c r="G44" s="731"/>
    </row>
    <row r="45" spans="1:7">
      <c r="A45" s="731"/>
      <c r="B45" s="731"/>
      <c r="C45" s="731"/>
      <c r="D45" s="1597"/>
      <c r="E45" s="731"/>
      <c r="F45" s="731"/>
      <c r="G45" s="731"/>
    </row>
    <row r="46" spans="1:7">
      <c r="A46" s="1629"/>
      <c r="B46" s="731"/>
      <c r="C46" s="731"/>
      <c r="D46" s="1597"/>
      <c r="E46" s="731"/>
      <c r="F46" s="731"/>
      <c r="G46" s="731"/>
    </row>
    <row r="47" spans="1:7">
      <c r="A47" s="731"/>
      <c r="B47" s="731"/>
      <c r="C47" s="731"/>
      <c r="D47" s="1597"/>
      <c r="E47" s="731"/>
      <c r="F47" s="731"/>
      <c r="G47" s="731"/>
    </row>
    <row r="48" spans="1:7">
      <c r="A48" s="1629"/>
      <c r="B48" s="731"/>
      <c r="C48" s="731"/>
      <c r="D48" s="1597"/>
      <c r="E48" s="731"/>
      <c r="F48" s="731"/>
      <c r="G48" s="731"/>
    </row>
    <row r="49" spans="1:7">
      <c r="A49" s="731"/>
      <c r="B49" s="731"/>
      <c r="C49" s="731"/>
      <c r="D49" s="1597"/>
      <c r="E49" s="731"/>
      <c r="F49" s="731"/>
      <c r="G49" s="731"/>
    </row>
    <row r="50" spans="1:7">
      <c r="A50" s="1629"/>
      <c r="B50" s="731"/>
      <c r="C50" s="731"/>
      <c r="D50" s="1597"/>
      <c r="E50" s="731"/>
      <c r="F50" s="731"/>
      <c r="G50" s="731"/>
    </row>
    <row r="51" spans="1:7">
      <c r="A51" s="731"/>
      <c r="B51" s="731"/>
      <c r="C51" s="731"/>
      <c r="D51" s="1597"/>
      <c r="E51" s="731"/>
      <c r="F51" s="731"/>
      <c r="G51" s="731"/>
    </row>
    <row r="52" spans="1:7">
      <c r="A52" s="1629"/>
      <c r="B52" s="731"/>
      <c r="C52" s="731"/>
      <c r="D52" s="1597"/>
      <c r="E52" s="731"/>
      <c r="F52" s="731"/>
      <c r="G52" s="731"/>
    </row>
    <row r="53" spans="1:7">
      <c r="A53" s="731"/>
      <c r="B53" s="731"/>
      <c r="C53" s="731"/>
      <c r="D53" s="1597"/>
      <c r="E53" s="731"/>
      <c r="F53" s="731"/>
      <c r="G53" s="731"/>
    </row>
    <row r="54" spans="1:7">
      <c r="A54" s="1629"/>
      <c r="B54" s="731"/>
      <c r="C54" s="731"/>
      <c r="D54" s="1597"/>
      <c r="E54" s="731"/>
      <c r="F54" s="731"/>
      <c r="G54" s="731"/>
    </row>
    <row r="55" spans="1:7">
      <c r="A55" s="731"/>
      <c r="B55" s="731"/>
      <c r="C55" s="731"/>
      <c r="D55" s="1597"/>
      <c r="E55" s="731"/>
      <c r="F55" s="731"/>
      <c r="G55" s="731"/>
    </row>
    <row r="56" spans="1:7">
      <c r="A56" s="1629"/>
      <c r="B56" s="731"/>
      <c r="C56" s="731"/>
      <c r="D56" s="1597"/>
      <c r="E56" s="731"/>
      <c r="F56" s="731"/>
      <c r="G56" s="731"/>
    </row>
    <row r="57" spans="1:7">
      <c r="A57" s="731"/>
      <c r="B57" s="731"/>
      <c r="C57" s="731"/>
      <c r="D57" s="1597"/>
      <c r="E57" s="731"/>
      <c r="F57" s="731"/>
      <c r="G57" s="731"/>
    </row>
    <row r="58" spans="1:7">
      <c r="A58" s="1629"/>
      <c r="B58" s="731"/>
      <c r="C58" s="731"/>
      <c r="D58" s="1597"/>
      <c r="E58" s="731"/>
      <c r="F58" s="731"/>
      <c r="G58" s="731"/>
    </row>
    <row r="59" spans="1:7">
      <c r="A59" s="731"/>
      <c r="B59" s="731"/>
      <c r="C59" s="731"/>
      <c r="D59" s="1597"/>
      <c r="E59" s="731"/>
      <c r="F59" s="731"/>
      <c r="G59" s="731"/>
    </row>
    <row r="60" spans="1:7">
      <c r="A60" s="1629"/>
      <c r="B60" s="731"/>
      <c r="C60" s="731"/>
      <c r="D60" s="1597"/>
      <c r="E60" s="731"/>
      <c r="F60" s="731"/>
      <c r="G60" s="731"/>
    </row>
    <row r="61" spans="1:7">
      <c r="A61" s="731"/>
      <c r="B61" s="731"/>
      <c r="C61" s="731"/>
      <c r="D61" s="1597"/>
      <c r="E61" s="731"/>
      <c r="F61" s="731"/>
      <c r="G61" s="731"/>
    </row>
    <row r="62" spans="1:7">
      <c r="A62" s="1629"/>
      <c r="B62" s="731"/>
      <c r="C62" s="731"/>
      <c r="D62" s="1597"/>
      <c r="E62" s="731"/>
      <c r="F62" s="731"/>
      <c r="G62" s="731"/>
    </row>
    <row r="63" spans="1:7">
      <c r="A63" s="731"/>
      <c r="B63" s="731"/>
      <c r="C63" s="731"/>
      <c r="D63" s="1597"/>
      <c r="E63" s="731"/>
      <c r="F63" s="731"/>
      <c r="G63" s="731"/>
    </row>
    <row r="64" spans="1:7">
      <c r="A64" s="1629"/>
      <c r="B64" s="731"/>
      <c r="C64" s="731"/>
      <c r="D64" s="1597"/>
      <c r="E64" s="731"/>
      <c r="F64" s="731"/>
      <c r="G64" s="731"/>
    </row>
    <row r="65" spans="1:7">
      <c r="A65" s="731"/>
      <c r="B65" s="731"/>
      <c r="C65" s="731"/>
      <c r="D65" s="1597"/>
      <c r="E65" s="731"/>
      <c r="F65" s="731"/>
      <c r="G65" s="731"/>
    </row>
    <row r="66" spans="1:7">
      <c r="A66" s="1629"/>
      <c r="B66" s="731"/>
      <c r="C66" s="731"/>
      <c r="D66" s="1597"/>
      <c r="E66" s="731"/>
      <c r="F66" s="731"/>
      <c r="G66" s="731"/>
    </row>
    <row r="67" spans="1:7">
      <c r="A67" s="731"/>
      <c r="B67" s="731"/>
      <c r="C67" s="731"/>
      <c r="D67" s="1597"/>
      <c r="E67" s="731"/>
      <c r="F67" s="731"/>
      <c r="G67" s="731"/>
    </row>
    <row r="68" spans="1:7">
      <c r="A68" s="1629"/>
      <c r="B68" s="731"/>
      <c r="C68" s="731"/>
      <c r="D68" s="1597"/>
      <c r="E68" s="731"/>
      <c r="F68" s="731"/>
      <c r="G68" s="731"/>
    </row>
    <row r="69" spans="1:7">
      <c r="A69" s="731"/>
      <c r="B69" s="731"/>
      <c r="C69" s="731"/>
      <c r="D69" s="1597"/>
      <c r="E69" s="731"/>
      <c r="F69" s="731"/>
      <c r="G69" s="731"/>
    </row>
    <row r="70" spans="1:7">
      <c r="A70" s="1629"/>
      <c r="B70" s="731"/>
      <c r="C70" s="731"/>
      <c r="D70" s="1597"/>
      <c r="E70" s="731"/>
      <c r="F70" s="731"/>
      <c r="G70" s="731"/>
    </row>
    <row r="71" spans="1:7">
      <c r="A71" s="731"/>
      <c r="B71" s="731"/>
      <c r="C71" s="731"/>
      <c r="D71" s="1597"/>
      <c r="E71" s="731"/>
      <c r="F71" s="731"/>
      <c r="G71" s="731"/>
    </row>
    <row r="72" spans="1:7">
      <c r="A72" s="1629"/>
      <c r="B72" s="731"/>
      <c r="C72" s="731"/>
      <c r="D72" s="1597"/>
      <c r="E72" s="731"/>
      <c r="F72" s="731"/>
      <c r="G72" s="731"/>
    </row>
    <row r="73" spans="1:7">
      <c r="A73" s="731"/>
      <c r="B73" s="731"/>
      <c r="C73" s="731"/>
      <c r="D73" s="1597"/>
      <c r="E73" s="731"/>
      <c r="F73" s="731"/>
      <c r="G73" s="731"/>
    </row>
    <row r="74" spans="1:7">
      <c r="A74" s="1629"/>
      <c r="B74" s="731"/>
      <c r="C74" s="731"/>
      <c r="D74" s="1597"/>
      <c r="E74" s="731"/>
      <c r="F74" s="731"/>
      <c r="G74" s="731"/>
    </row>
    <row r="75" spans="1:7">
      <c r="A75" s="731"/>
      <c r="B75" s="731"/>
      <c r="C75" s="731"/>
      <c r="D75" s="1597"/>
      <c r="E75" s="731"/>
      <c r="F75" s="731"/>
      <c r="G75" s="731"/>
    </row>
    <row r="76" spans="1:7">
      <c r="A76" s="731"/>
      <c r="B76" s="731"/>
      <c r="C76" s="731"/>
      <c r="D76" s="1597"/>
      <c r="E76" s="731"/>
      <c r="F76" s="731"/>
      <c r="G76" s="731"/>
    </row>
    <row r="77" spans="1:7">
      <c r="G77" s="731"/>
    </row>
    <row r="78" spans="1:7">
      <c r="G78" s="731"/>
    </row>
    <row r="79" spans="1:7">
      <c r="G79" s="731"/>
    </row>
    <row r="80" spans="1:7">
      <c r="G80" s="731"/>
    </row>
    <row r="81" spans="7:7">
      <c r="G81" s="731"/>
    </row>
    <row r="82" spans="7:7">
      <c r="G82" s="731"/>
    </row>
    <row r="83" spans="7:7">
      <c r="G83" s="731"/>
    </row>
    <row r="84" spans="7:7">
      <c r="G84" s="731"/>
    </row>
    <row r="85" spans="7:7">
      <c r="G85" s="731"/>
    </row>
    <row r="86" spans="7:7">
      <c r="G86" s="731"/>
    </row>
    <row r="87" spans="7:7">
      <c r="G87" s="731"/>
    </row>
    <row r="88" spans="7:7">
      <c r="G88" s="731"/>
    </row>
    <row r="89" spans="7:7">
      <c r="G89" s="731"/>
    </row>
    <row r="90" spans="7:7">
      <c r="G90" s="731"/>
    </row>
    <row r="91" spans="7:7">
      <c r="G91" s="731"/>
    </row>
    <row r="92" spans="7:7">
      <c r="G92" s="731"/>
    </row>
    <row r="93" spans="7:7">
      <c r="G93" s="731"/>
    </row>
  </sheetData>
  <mergeCells count="11">
    <mergeCell ref="G6:G7"/>
    <mergeCell ref="F1:G1"/>
    <mergeCell ref="A2:G2"/>
    <mergeCell ref="A3:G3"/>
    <mergeCell ref="A4:G4"/>
    <mergeCell ref="A6:A7"/>
    <mergeCell ref="B6:B7"/>
    <mergeCell ref="C6:C7"/>
    <mergeCell ref="D6:D7"/>
    <mergeCell ref="E6:E7"/>
    <mergeCell ref="F6:F7"/>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N26"/>
  <sheetViews>
    <sheetView topLeftCell="A11" zoomScaleNormal="100" workbookViewId="0">
      <selection activeCell="C22" sqref="C22"/>
    </sheetView>
  </sheetViews>
  <sheetFormatPr defaultColWidth="9.08203125" defaultRowHeight="13"/>
  <cols>
    <col min="1" max="1" width="9.33203125" style="1261" customWidth="1"/>
    <col min="2" max="2" width="54.4140625" style="1242" customWidth="1"/>
    <col min="3" max="3" width="15.9140625" style="1242" customWidth="1"/>
    <col min="4" max="4" width="16.08203125" style="1242" customWidth="1"/>
    <col min="5" max="16384" width="9.08203125" style="1242"/>
  </cols>
  <sheetData>
    <row r="1" spans="1:118" ht="25.5" customHeight="1">
      <c r="A1" s="1685" t="s">
        <v>2878</v>
      </c>
      <c r="B1" s="1685"/>
      <c r="C1" s="1685"/>
      <c r="D1" s="1685"/>
      <c r="E1" s="1241"/>
      <c r="F1" s="1241"/>
      <c r="G1" s="1241"/>
      <c r="H1" s="1241"/>
      <c r="I1" s="1241"/>
      <c r="J1" s="1241"/>
      <c r="K1" s="1241"/>
      <c r="L1" s="1241"/>
      <c r="M1" s="1241"/>
      <c r="N1" s="1241"/>
      <c r="O1" s="1241"/>
      <c r="P1" s="1241"/>
      <c r="Q1" s="1241"/>
      <c r="R1" s="1241"/>
      <c r="S1" s="1241"/>
      <c r="T1" s="1241"/>
      <c r="U1" s="1241"/>
      <c r="V1" s="1241"/>
      <c r="W1" s="1241"/>
      <c r="X1" s="1241"/>
      <c r="Y1" s="1241"/>
      <c r="Z1" s="1241"/>
      <c r="AA1" s="1241"/>
      <c r="AB1" s="1241"/>
      <c r="AC1" s="1241"/>
      <c r="AD1" s="1241"/>
      <c r="AE1" s="1241"/>
      <c r="AF1" s="1241"/>
      <c r="AG1" s="1241"/>
      <c r="AH1" s="1241"/>
      <c r="AI1" s="1241"/>
      <c r="AJ1" s="1241"/>
      <c r="AK1" s="1241"/>
      <c r="AL1" s="1241"/>
      <c r="AM1" s="1241"/>
      <c r="AN1" s="1241"/>
      <c r="AO1" s="1241"/>
      <c r="AP1" s="1241"/>
      <c r="AQ1" s="1241"/>
      <c r="AR1" s="1241"/>
      <c r="AS1" s="1241"/>
      <c r="AT1" s="1241"/>
      <c r="AU1" s="1241"/>
      <c r="AV1" s="1241"/>
      <c r="AW1" s="1241"/>
      <c r="AX1" s="1241"/>
      <c r="AY1" s="1241"/>
      <c r="AZ1" s="1241"/>
      <c r="BA1" s="1241"/>
      <c r="BB1" s="1241"/>
      <c r="BC1" s="1241"/>
      <c r="BD1" s="1241"/>
      <c r="BE1" s="1241"/>
      <c r="BF1" s="1241"/>
      <c r="BG1" s="1241"/>
      <c r="BH1" s="1241"/>
      <c r="BI1" s="1241"/>
      <c r="BJ1" s="1241"/>
      <c r="BK1" s="1241"/>
      <c r="BL1" s="1241"/>
      <c r="BM1" s="1241"/>
      <c r="BN1" s="1241"/>
      <c r="BO1" s="1241"/>
      <c r="BP1" s="1241"/>
      <c r="BQ1" s="1241"/>
      <c r="BR1" s="1241"/>
      <c r="BS1" s="1241"/>
      <c r="BT1" s="1241"/>
      <c r="BU1" s="1241"/>
      <c r="BV1" s="1241"/>
      <c r="BW1" s="1241"/>
      <c r="BX1" s="1241"/>
      <c r="BY1" s="1241"/>
      <c r="BZ1" s="1241"/>
      <c r="CA1" s="1241"/>
      <c r="CB1" s="1241"/>
      <c r="CC1" s="1241"/>
      <c r="CD1" s="1241"/>
      <c r="CE1" s="1241"/>
      <c r="CF1" s="1241"/>
      <c r="CG1" s="1241"/>
      <c r="CH1" s="1241"/>
      <c r="CI1" s="1241"/>
      <c r="CJ1" s="1241"/>
      <c r="CK1" s="1241"/>
      <c r="CL1" s="1241"/>
      <c r="CM1" s="1241"/>
      <c r="CN1" s="1241"/>
      <c r="CO1" s="1241"/>
      <c r="CP1" s="1241"/>
      <c r="CQ1" s="1241"/>
      <c r="CR1" s="1241"/>
      <c r="CS1" s="1241"/>
      <c r="CT1" s="1241"/>
      <c r="CU1" s="1241"/>
      <c r="CV1" s="1241"/>
      <c r="CW1" s="1241"/>
      <c r="CX1" s="1241"/>
      <c r="CY1" s="1241"/>
      <c r="CZ1" s="1241"/>
      <c r="DA1" s="1241"/>
      <c r="DB1" s="1241"/>
      <c r="DC1" s="1241"/>
      <c r="DD1" s="1241"/>
      <c r="DE1" s="1241"/>
      <c r="DF1" s="1241"/>
      <c r="DG1" s="1241"/>
      <c r="DH1" s="1241"/>
      <c r="DI1" s="1241"/>
      <c r="DJ1" s="1241"/>
      <c r="DK1" s="1241"/>
      <c r="DL1" s="1241"/>
      <c r="DM1" s="1241"/>
      <c r="DN1" s="1241"/>
    </row>
    <row r="2" spans="1:118" ht="33.75" customHeight="1">
      <c r="A2" s="1686" t="s">
        <v>2784</v>
      </c>
      <c r="B2" s="1686"/>
      <c r="C2" s="1686"/>
      <c r="D2" s="1686"/>
      <c r="E2" s="1241"/>
      <c r="F2" s="1241"/>
      <c r="G2" s="1241"/>
      <c r="H2" s="1241"/>
      <c r="I2" s="1241"/>
      <c r="J2" s="1241"/>
      <c r="K2" s="1241"/>
      <c r="L2" s="1241"/>
      <c r="M2" s="1241"/>
      <c r="N2" s="1241"/>
      <c r="O2" s="1241"/>
      <c r="P2" s="1241"/>
      <c r="Q2" s="1241"/>
      <c r="R2" s="1241"/>
      <c r="S2" s="1241"/>
      <c r="T2" s="1241"/>
      <c r="U2" s="1241"/>
      <c r="V2" s="1241"/>
      <c r="W2" s="1241"/>
      <c r="X2" s="1241"/>
      <c r="Y2" s="1241"/>
      <c r="Z2" s="1241"/>
      <c r="AA2" s="1241"/>
      <c r="AB2" s="1241"/>
      <c r="AC2" s="1241"/>
      <c r="AD2" s="1241"/>
      <c r="AE2" s="1241"/>
      <c r="AF2" s="1241"/>
      <c r="AG2" s="1241"/>
      <c r="AH2" s="1241"/>
      <c r="AI2" s="1241"/>
      <c r="AJ2" s="1241"/>
      <c r="AK2" s="1241"/>
      <c r="AL2" s="1241"/>
      <c r="AM2" s="1241"/>
      <c r="AN2" s="1241"/>
      <c r="AO2" s="1241"/>
      <c r="AP2" s="1241"/>
      <c r="AQ2" s="1241"/>
      <c r="AR2" s="1241"/>
      <c r="AS2" s="1241"/>
      <c r="AT2" s="1241"/>
      <c r="AU2" s="1241"/>
      <c r="AV2" s="1241"/>
      <c r="AW2" s="1241"/>
      <c r="AX2" s="1241"/>
      <c r="AY2" s="1241"/>
      <c r="AZ2" s="1241"/>
      <c r="BA2" s="1241"/>
      <c r="BB2" s="1241"/>
      <c r="BC2" s="1241"/>
      <c r="BD2" s="1241"/>
      <c r="BE2" s="1241"/>
      <c r="BF2" s="1241"/>
      <c r="BG2" s="1241"/>
      <c r="BH2" s="1241"/>
      <c r="BI2" s="1241"/>
      <c r="BJ2" s="1241"/>
      <c r="BK2" s="1241"/>
      <c r="BL2" s="1241"/>
      <c r="BM2" s="1241"/>
      <c r="BN2" s="1241"/>
      <c r="BO2" s="1241"/>
      <c r="BP2" s="1241"/>
      <c r="BQ2" s="1241"/>
      <c r="BR2" s="1241"/>
      <c r="BS2" s="1241"/>
      <c r="BT2" s="1241"/>
      <c r="BU2" s="1241"/>
      <c r="BV2" s="1241"/>
      <c r="BW2" s="1241"/>
      <c r="BX2" s="1241"/>
      <c r="BY2" s="1241"/>
      <c r="BZ2" s="1241"/>
      <c r="CA2" s="1241"/>
      <c r="CB2" s="1241"/>
      <c r="CC2" s="1241"/>
      <c r="CD2" s="1241"/>
      <c r="CE2" s="1241"/>
      <c r="CF2" s="1241"/>
      <c r="CG2" s="1241"/>
      <c r="CH2" s="1241"/>
      <c r="CI2" s="1241"/>
      <c r="CJ2" s="1241"/>
      <c r="CK2" s="1241"/>
      <c r="CL2" s="1241"/>
      <c r="CM2" s="1241"/>
      <c r="CN2" s="1241"/>
      <c r="CO2" s="1241"/>
      <c r="CP2" s="1241"/>
      <c r="CQ2" s="1241"/>
      <c r="CR2" s="1241"/>
      <c r="CS2" s="1241"/>
      <c r="CT2" s="1241"/>
      <c r="CU2" s="1241"/>
      <c r="CV2" s="1241"/>
      <c r="CW2" s="1241"/>
      <c r="CX2" s="1241"/>
      <c r="CY2" s="1241"/>
      <c r="CZ2" s="1241"/>
      <c r="DA2" s="1241"/>
      <c r="DB2" s="1241"/>
      <c r="DC2" s="1241"/>
      <c r="DD2" s="1241"/>
      <c r="DE2" s="1241"/>
      <c r="DF2" s="1241"/>
      <c r="DG2" s="1241"/>
      <c r="DH2" s="1241"/>
      <c r="DI2" s="1241"/>
      <c r="DJ2" s="1241"/>
      <c r="DK2" s="1241"/>
      <c r="DL2" s="1241"/>
      <c r="DM2" s="1241"/>
      <c r="DN2" s="1241"/>
    </row>
    <row r="3" spans="1:118" ht="29.25" customHeight="1">
      <c r="A3" s="1687" t="e">
        <f>#REF!</f>
        <v>#REF!</v>
      </c>
      <c r="B3" s="1687"/>
      <c r="C3" s="1687"/>
      <c r="D3" s="1687"/>
      <c r="E3" s="1243"/>
      <c r="F3" s="1243"/>
      <c r="G3" s="1243"/>
      <c r="H3" s="1243"/>
      <c r="I3" s="1243"/>
      <c r="J3" s="1243"/>
      <c r="K3" s="1243"/>
      <c r="L3" s="1243"/>
      <c r="M3" s="1243"/>
      <c r="N3" s="1243"/>
      <c r="O3" s="1243"/>
      <c r="P3" s="1243"/>
      <c r="Q3" s="1243"/>
      <c r="R3" s="1243"/>
      <c r="S3" s="1243"/>
      <c r="T3" s="1243"/>
      <c r="U3" s="1243"/>
      <c r="V3" s="1243"/>
      <c r="W3" s="1243"/>
      <c r="X3" s="1243"/>
      <c r="Y3" s="1243"/>
      <c r="Z3" s="1243"/>
      <c r="AA3" s="1243"/>
      <c r="AB3" s="1243"/>
      <c r="AC3" s="1243"/>
      <c r="AD3" s="1243"/>
      <c r="AE3" s="1243"/>
      <c r="AF3" s="1243"/>
      <c r="AG3" s="1243"/>
      <c r="AH3" s="1243"/>
      <c r="AI3" s="1243"/>
      <c r="AJ3" s="1243"/>
      <c r="AK3" s="1243"/>
      <c r="AL3" s="1243"/>
      <c r="AM3" s="1243"/>
      <c r="AN3" s="1243"/>
      <c r="AO3" s="1243"/>
      <c r="AP3" s="1243"/>
      <c r="AQ3" s="1243"/>
      <c r="AR3" s="1243"/>
      <c r="AS3" s="1243"/>
      <c r="AT3" s="1243"/>
      <c r="AU3" s="1243"/>
      <c r="AV3" s="1243"/>
      <c r="AW3" s="1243"/>
      <c r="AX3" s="1243"/>
      <c r="AY3" s="1243"/>
      <c r="AZ3" s="1243"/>
      <c r="BA3" s="1243"/>
      <c r="BB3" s="1243"/>
      <c r="BC3" s="1243"/>
      <c r="BD3" s="1243"/>
      <c r="BE3" s="1243"/>
      <c r="BF3" s="1243"/>
      <c r="BG3" s="1243"/>
      <c r="BH3" s="1243"/>
      <c r="BI3" s="1243"/>
      <c r="BJ3" s="1243"/>
      <c r="BK3" s="1243"/>
      <c r="BL3" s="1243"/>
      <c r="BM3" s="1243"/>
      <c r="BN3" s="1243"/>
      <c r="BO3" s="1243"/>
      <c r="BP3" s="1243"/>
      <c r="BQ3" s="1243"/>
      <c r="BR3" s="1243"/>
      <c r="BS3" s="1243"/>
      <c r="BT3" s="1243"/>
      <c r="BU3" s="1243"/>
      <c r="BV3" s="1243"/>
      <c r="BW3" s="1243"/>
      <c r="BX3" s="1243"/>
      <c r="BY3" s="1243"/>
      <c r="BZ3" s="1243"/>
      <c r="CA3" s="1243"/>
      <c r="CB3" s="1243"/>
      <c r="CC3" s="1243"/>
      <c r="CD3" s="1243"/>
      <c r="CE3" s="1243"/>
      <c r="CF3" s="1243"/>
      <c r="CG3" s="1243"/>
      <c r="CH3" s="1243"/>
      <c r="CI3" s="1243"/>
      <c r="CJ3" s="1243"/>
      <c r="CK3" s="1243"/>
      <c r="CL3" s="1243"/>
      <c r="CM3" s="1243"/>
      <c r="CN3" s="1243"/>
      <c r="CO3" s="1243"/>
      <c r="CP3" s="1243"/>
      <c r="CQ3" s="1243"/>
      <c r="CR3" s="1243"/>
      <c r="CS3" s="1243"/>
      <c r="CT3" s="1243"/>
      <c r="CU3" s="1243"/>
      <c r="CV3" s="1243"/>
      <c r="CW3" s="1243"/>
      <c r="CX3" s="1243"/>
      <c r="CY3" s="1243"/>
      <c r="CZ3" s="1243"/>
      <c r="DA3" s="1243"/>
      <c r="DB3" s="1243"/>
      <c r="DC3" s="1243"/>
      <c r="DD3" s="1243"/>
      <c r="DE3" s="1243"/>
      <c r="DF3" s="1243"/>
      <c r="DG3" s="1243"/>
      <c r="DH3" s="1243"/>
      <c r="DI3" s="1243"/>
      <c r="DJ3" s="1243"/>
      <c r="DK3" s="1243"/>
      <c r="DL3" s="1243"/>
      <c r="DM3" s="1243"/>
      <c r="DN3" s="1243"/>
    </row>
    <row r="4" spans="1:118" ht="40.5" hidden="1" customHeight="1">
      <c r="A4" s="1687" t="e">
        <f>#REF!</f>
        <v>#REF!</v>
      </c>
      <c r="B4" s="1687"/>
      <c r="C4" s="1687"/>
      <c r="D4" s="1687"/>
      <c r="E4" s="1243"/>
      <c r="F4" s="1243"/>
      <c r="G4" s="1243"/>
      <c r="H4" s="1243"/>
      <c r="I4" s="1243"/>
      <c r="J4" s="1243"/>
      <c r="K4" s="1243"/>
      <c r="L4" s="1243"/>
      <c r="M4" s="1243"/>
      <c r="N4" s="1243"/>
      <c r="O4" s="1243"/>
      <c r="P4" s="1243"/>
      <c r="Q4" s="1243"/>
      <c r="R4" s="1243"/>
      <c r="S4" s="1243"/>
      <c r="T4" s="1243"/>
      <c r="U4" s="1243"/>
      <c r="V4" s="1243"/>
      <c r="W4" s="1243"/>
      <c r="X4" s="1243"/>
      <c r="Y4" s="1243"/>
      <c r="Z4" s="1243"/>
      <c r="AA4" s="1243"/>
      <c r="AB4" s="1243"/>
      <c r="AC4" s="1243"/>
      <c r="AD4" s="1243"/>
      <c r="AE4" s="1243"/>
      <c r="AF4" s="1243"/>
      <c r="AG4" s="1243"/>
      <c r="AH4" s="1243"/>
      <c r="AI4" s="1243"/>
      <c r="AJ4" s="1243"/>
      <c r="AK4" s="1243"/>
      <c r="AL4" s="1243"/>
      <c r="AM4" s="1243"/>
      <c r="AN4" s="1243"/>
      <c r="AO4" s="1243"/>
      <c r="AP4" s="1243"/>
      <c r="AQ4" s="1243"/>
      <c r="AR4" s="1243"/>
      <c r="AS4" s="1243"/>
      <c r="AT4" s="1243"/>
      <c r="AU4" s="1243"/>
      <c r="AV4" s="1243"/>
      <c r="AW4" s="1243"/>
      <c r="AX4" s="1243"/>
      <c r="AY4" s="1243"/>
      <c r="AZ4" s="1243"/>
      <c r="BA4" s="1243"/>
      <c r="BB4" s="1243"/>
      <c r="BC4" s="1243"/>
      <c r="BD4" s="1243"/>
      <c r="BE4" s="1243"/>
      <c r="BF4" s="1243"/>
      <c r="BG4" s="1243"/>
      <c r="BH4" s="1243"/>
      <c r="BI4" s="1243"/>
      <c r="BJ4" s="1243"/>
      <c r="BK4" s="1243"/>
      <c r="BL4" s="1243"/>
      <c r="BM4" s="1243"/>
      <c r="BN4" s="1243"/>
      <c r="BO4" s="1243"/>
      <c r="BP4" s="1243"/>
      <c r="BQ4" s="1243"/>
      <c r="BR4" s="1243"/>
      <c r="BS4" s="1243"/>
      <c r="BT4" s="1243"/>
      <c r="BU4" s="1243"/>
      <c r="BV4" s="1243"/>
      <c r="BW4" s="1243"/>
      <c r="BX4" s="1243"/>
      <c r="BY4" s="1243"/>
      <c r="BZ4" s="1243"/>
      <c r="CA4" s="1243"/>
      <c r="CB4" s="1243"/>
      <c r="CC4" s="1243"/>
      <c r="CD4" s="1243"/>
      <c r="CE4" s="1243"/>
      <c r="CF4" s="1243"/>
      <c r="CG4" s="1243"/>
      <c r="CH4" s="1243"/>
      <c r="CI4" s="1243"/>
      <c r="CJ4" s="1243"/>
      <c r="CK4" s="1243"/>
      <c r="CL4" s="1243"/>
      <c r="CM4" s="1243"/>
      <c r="CN4" s="1243"/>
      <c r="CO4" s="1243"/>
      <c r="CP4" s="1243"/>
      <c r="CQ4" s="1243"/>
      <c r="CR4" s="1243"/>
      <c r="CS4" s="1243"/>
      <c r="CT4" s="1243"/>
      <c r="CU4" s="1243"/>
      <c r="CV4" s="1243"/>
      <c r="CW4" s="1243"/>
      <c r="CX4" s="1243"/>
      <c r="CY4" s="1243"/>
      <c r="CZ4" s="1243"/>
      <c r="DA4" s="1243"/>
      <c r="DB4" s="1243"/>
      <c r="DC4" s="1243"/>
      <c r="DD4" s="1243"/>
      <c r="DE4" s="1243"/>
      <c r="DF4" s="1243"/>
      <c r="DG4" s="1243"/>
      <c r="DH4" s="1243"/>
      <c r="DI4" s="1243"/>
      <c r="DJ4" s="1243"/>
      <c r="DK4" s="1243"/>
      <c r="DL4" s="1243"/>
      <c r="DM4" s="1243"/>
      <c r="DN4" s="1243"/>
    </row>
    <row r="5" spans="1:118" ht="25.5" customHeight="1">
      <c r="A5" s="1244"/>
      <c r="B5" s="1245"/>
      <c r="C5" s="1244"/>
      <c r="D5" s="1246" t="s">
        <v>2540</v>
      </c>
      <c r="E5" s="1241"/>
      <c r="F5" s="1241"/>
      <c r="G5" s="1241"/>
      <c r="H5" s="1241"/>
      <c r="I5" s="1241"/>
      <c r="J5" s="1241"/>
      <c r="K5" s="1241"/>
      <c r="L5" s="1241"/>
      <c r="M5" s="1241"/>
      <c r="N5" s="1241"/>
      <c r="O5" s="1241"/>
      <c r="P5" s="1241"/>
      <c r="Q5" s="1241"/>
      <c r="R5" s="1241"/>
      <c r="S5" s="1241"/>
      <c r="T5" s="1241"/>
      <c r="U5" s="1241"/>
      <c r="V5" s="1241"/>
      <c r="W5" s="1241"/>
      <c r="X5" s="1241"/>
      <c r="Y5" s="1241"/>
      <c r="Z5" s="1241"/>
      <c r="AA5" s="1241"/>
      <c r="AB5" s="1241"/>
      <c r="AC5" s="1241"/>
      <c r="AD5" s="1241"/>
      <c r="AE5" s="1241"/>
      <c r="AF5" s="1241"/>
      <c r="AG5" s="1241"/>
      <c r="AH5" s="1241"/>
      <c r="AI5" s="1241"/>
      <c r="AJ5" s="1241"/>
      <c r="AK5" s="1241"/>
      <c r="AL5" s="1241"/>
      <c r="AM5" s="1241"/>
      <c r="AN5" s="1241"/>
      <c r="AO5" s="1241"/>
      <c r="AP5" s="1241"/>
      <c r="AQ5" s="1241"/>
      <c r="AR5" s="1241"/>
      <c r="AS5" s="1241"/>
      <c r="AT5" s="1241"/>
      <c r="AU5" s="1241"/>
      <c r="AV5" s="1241"/>
      <c r="AW5" s="1241"/>
      <c r="AX5" s="1241"/>
      <c r="AY5" s="1241"/>
      <c r="AZ5" s="1241"/>
      <c r="BA5" s="1241"/>
      <c r="BB5" s="1241"/>
      <c r="BC5" s="1241"/>
      <c r="BD5" s="1241"/>
      <c r="BE5" s="1241"/>
      <c r="BF5" s="1241"/>
      <c r="BG5" s="1241"/>
      <c r="BH5" s="1241"/>
      <c r="BI5" s="1241"/>
      <c r="BJ5" s="1241"/>
      <c r="BK5" s="1241"/>
      <c r="BL5" s="1241"/>
      <c r="BM5" s="1241"/>
      <c r="BN5" s="1241"/>
      <c r="BO5" s="1241"/>
      <c r="BP5" s="1241"/>
      <c r="BQ5" s="1241"/>
      <c r="BR5" s="1241"/>
      <c r="BS5" s="1241"/>
      <c r="BT5" s="1241"/>
      <c r="BU5" s="1241"/>
      <c r="BV5" s="1241"/>
      <c r="BW5" s="1241"/>
      <c r="BX5" s="1241"/>
      <c r="BY5" s="1241"/>
      <c r="BZ5" s="1241"/>
      <c r="CA5" s="1241"/>
      <c r="CB5" s="1241"/>
      <c r="CC5" s="1241"/>
      <c r="CD5" s="1241"/>
      <c r="CE5" s="1241"/>
      <c r="CF5" s="1241"/>
      <c r="CG5" s="1241"/>
      <c r="CH5" s="1241"/>
      <c r="CI5" s="1241"/>
      <c r="CJ5" s="1241"/>
      <c r="CK5" s="1241"/>
      <c r="CL5" s="1241"/>
      <c r="CM5" s="1241"/>
      <c r="CN5" s="1241"/>
      <c r="CO5" s="1241"/>
      <c r="CP5" s="1241"/>
      <c r="CQ5" s="1241"/>
      <c r="CR5" s="1241"/>
      <c r="CS5" s="1241"/>
      <c r="CT5" s="1241"/>
      <c r="CU5" s="1241"/>
      <c r="CV5" s="1241"/>
      <c r="CW5" s="1241"/>
      <c r="CX5" s="1241"/>
      <c r="CY5" s="1241"/>
      <c r="CZ5" s="1241"/>
      <c r="DA5" s="1241"/>
      <c r="DB5" s="1241"/>
      <c r="DC5" s="1241"/>
      <c r="DD5" s="1241"/>
      <c r="DE5" s="1241"/>
      <c r="DF5" s="1241"/>
      <c r="DG5" s="1241"/>
      <c r="DH5" s="1241"/>
      <c r="DI5" s="1241"/>
      <c r="DJ5" s="1241"/>
      <c r="DK5" s="1241"/>
      <c r="DL5" s="1241"/>
      <c r="DM5" s="1241"/>
      <c r="DN5" s="1241"/>
    </row>
    <row r="6" spans="1:118" ht="29.25" customHeight="1">
      <c r="A6" s="1247" t="s">
        <v>4</v>
      </c>
      <c r="B6" s="1248" t="s">
        <v>895</v>
      </c>
      <c r="C6" s="1249" t="s">
        <v>2541</v>
      </c>
      <c r="D6" s="1247" t="s">
        <v>33</v>
      </c>
      <c r="E6" s="1241"/>
      <c r="F6" s="1241"/>
      <c r="G6" s="1241"/>
      <c r="H6" s="1241"/>
      <c r="I6" s="1241"/>
      <c r="J6" s="1241"/>
      <c r="K6" s="1241"/>
      <c r="L6" s="1241"/>
      <c r="M6" s="1241"/>
      <c r="N6" s="1241"/>
      <c r="O6" s="1241"/>
      <c r="P6" s="1241"/>
      <c r="Q6" s="1241"/>
      <c r="R6" s="1241"/>
      <c r="S6" s="1241"/>
      <c r="T6" s="1241"/>
      <c r="U6" s="1241"/>
      <c r="V6" s="1241"/>
      <c r="W6" s="1241"/>
      <c r="X6" s="1241"/>
      <c r="Y6" s="1241"/>
      <c r="Z6" s="1241"/>
      <c r="AA6" s="1241"/>
      <c r="AB6" s="1241"/>
      <c r="AC6" s="1241"/>
      <c r="AD6" s="1241"/>
      <c r="AE6" s="1241"/>
      <c r="AF6" s="1241"/>
      <c r="AG6" s="1241"/>
      <c r="AH6" s="1241"/>
      <c r="AI6" s="1241"/>
      <c r="AJ6" s="1241"/>
      <c r="AK6" s="1241"/>
      <c r="AL6" s="1241"/>
      <c r="AM6" s="1241"/>
      <c r="AN6" s="1241"/>
      <c r="AO6" s="1241"/>
      <c r="AP6" s="1241"/>
      <c r="AQ6" s="1241"/>
      <c r="AR6" s="1241"/>
      <c r="AS6" s="1241"/>
      <c r="AT6" s="1241"/>
      <c r="AU6" s="1241"/>
      <c r="AV6" s="1241"/>
      <c r="AW6" s="1241"/>
      <c r="AX6" s="1241"/>
      <c r="AY6" s="1241"/>
      <c r="AZ6" s="1241"/>
      <c r="BA6" s="1241"/>
      <c r="BB6" s="1241"/>
      <c r="BC6" s="1241"/>
      <c r="BD6" s="1241"/>
      <c r="BE6" s="1241"/>
      <c r="BF6" s="1241"/>
      <c r="BG6" s="1241"/>
      <c r="BH6" s="1241"/>
      <c r="BI6" s="1241"/>
      <c r="BJ6" s="1241"/>
      <c r="BK6" s="1241"/>
      <c r="BL6" s="1241"/>
      <c r="BM6" s="1241"/>
      <c r="BN6" s="1241"/>
      <c r="BO6" s="1241"/>
      <c r="BP6" s="1241"/>
      <c r="BQ6" s="1241"/>
      <c r="BR6" s="1241"/>
      <c r="BS6" s="1241"/>
      <c r="BT6" s="1241"/>
      <c r="BU6" s="1241"/>
      <c r="BV6" s="1241"/>
      <c r="BW6" s="1241"/>
      <c r="BX6" s="1241"/>
      <c r="BY6" s="1241"/>
      <c r="BZ6" s="1241"/>
      <c r="CA6" s="1241"/>
      <c r="CB6" s="1241"/>
      <c r="CC6" s="1241"/>
      <c r="CD6" s="1241"/>
      <c r="CE6" s="1241"/>
      <c r="CF6" s="1241"/>
      <c r="CG6" s="1241"/>
      <c r="CH6" s="1241"/>
      <c r="CI6" s="1241"/>
      <c r="CJ6" s="1241"/>
      <c r="CK6" s="1241"/>
      <c r="CL6" s="1241"/>
      <c r="CM6" s="1241"/>
      <c r="CN6" s="1241"/>
      <c r="CO6" s="1241"/>
      <c r="CP6" s="1241"/>
      <c r="CQ6" s="1241"/>
      <c r="CR6" s="1241"/>
      <c r="CS6" s="1241"/>
      <c r="CT6" s="1241"/>
      <c r="CU6" s="1241"/>
      <c r="CV6" s="1241"/>
      <c r="CW6" s="1241"/>
      <c r="CX6" s="1241"/>
      <c r="CY6" s="1241"/>
      <c r="CZ6" s="1241"/>
      <c r="DA6" s="1241"/>
      <c r="DB6" s="1241"/>
      <c r="DC6" s="1241"/>
      <c r="DD6" s="1241"/>
      <c r="DE6" s="1241"/>
      <c r="DF6" s="1241"/>
      <c r="DG6" s="1241"/>
      <c r="DH6" s="1241"/>
      <c r="DI6" s="1241"/>
      <c r="DJ6" s="1241"/>
      <c r="DK6" s="1241"/>
      <c r="DL6" s="1241"/>
      <c r="DM6" s="1241"/>
      <c r="DN6" s="1241"/>
    </row>
    <row r="7" spans="1:118" s="1253" customFormat="1" ht="23.25" customHeight="1">
      <c r="A7" s="1250"/>
      <c r="B7" s="1250" t="s">
        <v>2543</v>
      </c>
      <c r="C7" s="1251">
        <f>C8+C14</f>
        <v>895357</v>
      </c>
      <c r="D7" s="1252"/>
    </row>
    <row r="8" spans="1:118" s="1253" customFormat="1" ht="27.75" customHeight="1">
      <c r="A8" s="1250" t="s">
        <v>37</v>
      </c>
      <c r="B8" s="1445" t="s">
        <v>2544</v>
      </c>
      <c r="C8" s="1251">
        <f>C9</f>
        <v>808373</v>
      </c>
      <c r="D8" s="1252"/>
    </row>
    <row r="9" spans="1:118" s="1253" customFormat="1" ht="23.25" customHeight="1">
      <c r="A9" s="1250" t="s">
        <v>8</v>
      </c>
      <c r="B9" s="1440" t="s">
        <v>757</v>
      </c>
      <c r="C9" s="1254">
        <f>SUM(C10:C13)</f>
        <v>808373</v>
      </c>
      <c r="D9" s="1252"/>
    </row>
    <row r="10" spans="1:118" s="1258" customFormat="1" ht="23.25" customHeight="1">
      <c r="A10" s="1255">
        <v>1</v>
      </c>
      <c r="B10" s="1200" t="s">
        <v>17</v>
      </c>
      <c r="C10" s="1256">
        <f>VLOOKUP(B10,'Chi tiết GN'!B9:J144,9,0)</f>
        <v>217378</v>
      </c>
      <c r="D10" s="1257"/>
    </row>
    <row r="11" spans="1:118" s="1258" customFormat="1" ht="23.25" customHeight="1">
      <c r="A11" s="1255">
        <v>2</v>
      </c>
      <c r="B11" s="1200" t="s">
        <v>15</v>
      </c>
      <c r="C11" s="1256">
        <f>VLOOKUP(B11,'Chi tiết GN'!B10:J145,9,0)</f>
        <v>212849</v>
      </c>
      <c r="D11" s="1257"/>
    </row>
    <row r="12" spans="1:118" s="1258" customFormat="1" ht="23.25" customHeight="1">
      <c r="A12" s="1255">
        <v>3</v>
      </c>
      <c r="B12" s="1200" t="s">
        <v>13</v>
      </c>
      <c r="C12" s="1256">
        <f>+'Chi tiết GN'!J10</f>
        <v>172090</v>
      </c>
      <c r="D12" s="1257"/>
    </row>
    <row r="13" spans="1:118" s="1258" customFormat="1" ht="23.25" customHeight="1">
      <c r="A13" s="1255">
        <v>4</v>
      </c>
      <c r="B13" s="1200" t="s">
        <v>11</v>
      </c>
      <c r="C13" s="1256">
        <f>VLOOKUP(B13,'Chi tiết GN'!B12:J147,9,0)</f>
        <v>206056</v>
      </c>
      <c r="D13" s="1257"/>
    </row>
    <row r="14" spans="1:118" s="1253" customFormat="1" ht="27.75" customHeight="1">
      <c r="A14" s="1250" t="s">
        <v>38</v>
      </c>
      <c r="B14" s="1445" t="s">
        <v>2545</v>
      </c>
      <c r="C14" s="1254">
        <f>C15+C18</f>
        <v>86984</v>
      </c>
      <c r="D14" s="1252"/>
    </row>
    <row r="15" spans="1:118" s="1253" customFormat="1" ht="23.25" customHeight="1">
      <c r="A15" s="1250" t="s">
        <v>8</v>
      </c>
      <c r="B15" s="1440" t="s">
        <v>756</v>
      </c>
      <c r="C15" s="1251">
        <f>SUM(C16:C17)</f>
        <v>40479</v>
      </c>
      <c r="D15" s="1252"/>
    </row>
    <row r="16" spans="1:118" s="1258" customFormat="1" ht="23.25" customHeight="1">
      <c r="A16" s="1255">
        <v>1</v>
      </c>
      <c r="B16" s="1199" t="s">
        <v>910</v>
      </c>
      <c r="C16" s="1256">
        <f>VLOOKUP(B16,'Chi tiết GN'!B8:J168,9,0)</f>
        <v>9478</v>
      </c>
      <c r="D16" s="1257"/>
    </row>
    <row r="17" spans="1:4" s="1258" customFormat="1" ht="23.25" customHeight="1">
      <c r="A17" s="1255">
        <v>2</v>
      </c>
      <c r="B17" s="1199" t="s">
        <v>1928</v>
      </c>
      <c r="C17" s="1256">
        <f>VLOOKUP(B17,'Chi tiết GN'!B9:J167,9,0)</f>
        <v>31001</v>
      </c>
      <c r="D17" s="1257"/>
    </row>
    <row r="18" spans="1:4" s="1253" customFormat="1" ht="23.25" customHeight="1">
      <c r="A18" s="1250" t="s">
        <v>26</v>
      </c>
      <c r="B18" s="1440" t="s">
        <v>757</v>
      </c>
      <c r="C18" s="1254">
        <f>SUM(C19:C25)</f>
        <v>46505</v>
      </c>
      <c r="D18" s="1252"/>
    </row>
    <row r="19" spans="1:4" s="1258" customFormat="1" ht="23.25" customHeight="1">
      <c r="A19" s="1255">
        <v>1</v>
      </c>
      <c r="B19" s="1200" t="s">
        <v>23</v>
      </c>
      <c r="C19" s="1256">
        <f>VLOOKUP(B19,'Chi tiết GN'!B145:J168,9,0)</f>
        <v>6495</v>
      </c>
      <c r="D19" s="1257"/>
    </row>
    <row r="20" spans="1:4" s="1258" customFormat="1" ht="23.25" customHeight="1">
      <c r="A20" s="1255">
        <v>2</v>
      </c>
      <c r="B20" s="1200" t="s">
        <v>21</v>
      </c>
      <c r="C20" s="1256">
        <f>VLOOKUP(B20,'Chi tiết GN'!B146:J169,9,0)</f>
        <v>5864</v>
      </c>
      <c r="D20" s="1257"/>
    </row>
    <row r="21" spans="1:4" s="1258" customFormat="1" ht="23.25" customHeight="1">
      <c r="A21" s="1255">
        <v>3</v>
      </c>
      <c r="B21" s="1200" t="s">
        <v>19</v>
      </c>
      <c r="C21" s="1256">
        <f>VLOOKUP(B21,'Chi tiết GN'!B147:J170,9,0)</f>
        <v>6705</v>
      </c>
      <c r="D21" s="1257"/>
    </row>
    <row r="22" spans="1:4" s="1258" customFormat="1" ht="23.25" customHeight="1">
      <c r="A22" s="1255">
        <v>4</v>
      </c>
      <c r="B22" s="1200" t="s">
        <v>17</v>
      </c>
      <c r="C22" s="1256">
        <f>VLOOKUP(B22,'Chi tiết GN'!B148:J171,9,0)</f>
        <v>7120</v>
      </c>
      <c r="D22" s="1257"/>
    </row>
    <row r="23" spans="1:4" s="1258" customFormat="1" ht="23.25" customHeight="1">
      <c r="A23" s="1255">
        <v>5</v>
      </c>
      <c r="B23" s="1200" t="s">
        <v>15</v>
      </c>
      <c r="C23" s="1256">
        <f>VLOOKUP(B23,'Chi tiết GN'!B149:J172,9,0)</f>
        <v>7120</v>
      </c>
      <c r="D23" s="1257"/>
    </row>
    <row r="24" spans="1:4" s="1258" customFormat="1" ht="23.25" customHeight="1">
      <c r="A24" s="1255">
        <v>6</v>
      </c>
      <c r="B24" s="1200" t="s">
        <v>13</v>
      </c>
      <c r="C24" s="1256">
        <f>VLOOKUP(B24,'Chi tiết GN'!B150:J173,9,0)</f>
        <v>7120</v>
      </c>
      <c r="D24" s="1257"/>
    </row>
    <row r="25" spans="1:4" s="1258" customFormat="1" ht="23.25" customHeight="1">
      <c r="A25" s="1255">
        <v>7</v>
      </c>
      <c r="B25" s="1200" t="s">
        <v>11</v>
      </c>
      <c r="C25" s="1256">
        <f>VLOOKUP(B25,'Chi tiết GN'!B151:J174,9,0)</f>
        <v>6081</v>
      </c>
      <c r="D25" s="1257"/>
    </row>
    <row r="26" spans="1:4" ht="23.25" customHeight="1">
      <c r="A26" s="1259"/>
      <c r="B26" s="1446"/>
      <c r="C26" s="1260"/>
      <c r="D26" s="1260"/>
    </row>
  </sheetData>
  <mergeCells count="4">
    <mergeCell ref="A1:D1"/>
    <mergeCell ref="A2:D2"/>
    <mergeCell ref="A3:D3"/>
    <mergeCell ref="A4:D4"/>
  </mergeCells>
  <pageMargins left="0.61" right="0.5" top="0.5" bottom="0.5" header="0.47" footer="0.3"/>
  <pageSetup paperSize="9" scale="90" orientation="portrait" r:id="rId1"/>
  <headerFooter>
    <oddFoote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J235"/>
  <sheetViews>
    <sheetView topLeftCell="A4" zoomScaleNormal="100" workbookViewId="0">
      <pane xSplit="3" ySplit="4" topLeftCell="D127" activePane="bottomRight" state="frozen"/>
      <selection activeCell="A4" sqref="A4"/>
      <selection pane="topRight" activeCell="D4" sqref="D4"/>
      <selection pane="bottomLeft" activeCell="A8" sqref="A8"/>
      <selection pane="bottomRight" activeCell="B136" sqref="B136"/>
    </sheetView>
  </sheetViews>
  <sheetFormatPr defaultColWidth="9.08203125" defaultRowHeight="13"/>
  <cols>
    <col min="1" max="1" width="5.08203125" style="1075" customWidth="1"/>
    <col min="2" max="2" width="40.6640625" style="1076" customWidth="1"/>
    <col min="3" max="3" width="10.08203125" style="1059" customWidth="1"/>
    <col min="4" max="4" width="16.08203125" style="1059" customWidth="1"/>
    <col min="5" max="5" width="7.9140625" style="1059" customWidth="1"/>
    <col min="6" max="6" width="11.4140625" style="1059" customWidth="1"/>
    <col min="7" max="7" width="13" style="1059" customWidth="1"/>
    <col min="8" max="8" width="8.33203125" style="1059" customWidth="1"/>
    <col min="9" max="9" width="7.33203125" style="1059" customWidth="1"/>
    <col min="10" max="10" width="10.6640625" style="1059" customWidth="1"/>
    <col min="11" max="16384" width="9.08203125" style="1059"/>
  </cols>
  <sheetData>
    <row r="1" spans="1:10" ht="22.5" customHeight="1">
      <c r="A1" s="1704" t="s">
        <v>2910</v>
      </c>
      <c r="B1" s="1704"/>
      <c r="C1" s="1704"/>
      <c r="D1" s="1704"/>
      <c r="E1" s="1704"/>
      <c r="F1" s="1704"/>
      <c r="G1" s="1704"/>
      <c r="H1" s="1704"/>
      <c r="I1" s="1704"/>
      <c r="J1" s="1704"/>
    </row>
    <row r="2" spans="1:10" ht="28.5" customHeight="1">
      <c r="A2" s="1709" t="s">
        <v>2871</v>
      </c>
      <c r="B2" s="1709"/>
      <c r="C2" s="1709"/>
      <c r="D2" s="1709"/>
      <c r="E2" s="1709"/>
      <c r="F2" s="1709"/>
      <c r="G2" s="1709"/>
      <c r="H2" s="1709"/>
      <c r="I2" s="1709"/>
      <c r="J2" s="1709"/>
    </row>
    <row r="3" spans="1:10" ht="28.5" customHeight="1">
      <c r="A3" s="1705" t="e">
        <f>#REF!</f>
        <v>#REF!</v>
      </c>
      <c r="B3" s="1705"/>
      <c r="C3" s="1705"/>
      <c r="D3" s="1705"/>
      <c r="E3" s="1705"/>
      <c r="F3" s="1705"/>
      <c r="G3" s="1705"/>
      <c r="H3" s="1705"/>
      <c r="I3" s="1705"/>
      <c r="J3" s="1705"/>
    </row>
    <row r="4" spans="1:10" s="1062" customFormat="1" ht="28.5" customHeight="1">
      <c r="A4" s="1077"/>
      <c r="B4" s="1060"/>
      <c r="C4" s="1061"/>
      <c r="D4" s="1061"/>
      <c r="E4" s="1061"/>
      <c r="F4" s="1061"/>
      <c r="G4" s="1061"/>
      <c r="H4" s="1710" t="s">
        <v>3</v>
      </c>
      <c r="I4" s="1710"/>
      <c r="J4" s="1710"/>
    </row>
    <row r="5" spans="1:10" s="1062" customFormat="1" ht="27.75" customHeight="1">
      <c r="A5" s="1702" t="s">
        <v>894</v>
      </c>
      <c r="B5" s="1702" t="s">
        <v>2546</v>
      </c>
      <c r="C5" s="1702" t="s">
        <v>2958</v>
      </c>
      <c r="D5" s="1702" t="s">
        <v>32</v>
      </c>
      <c r="E5" s="1702" t="s">
        <v>2547</v>
      </c>
      <c r="F5" s="1702" t="s">
        <v>2538</v>
      </c>
      <c r="G5" s="1702"/>
      <c r="H5" s="1702"/>
      <c r="I5" s="1702"/>
      <c r="J5" s="1711" t="s">
        <v>2872</v>
      </c>
    </row>
    <row r="6" spans="1:10" s="1062" customFormat="1" ht="18.75" customHeight="1">
      <c r="A6" s="1702"/>
      <c r="B6" s="1702"/>
      <c r="C6" s="1702"/>
      <c r="D6" s="1702"/>
      <c r="E6" s="1702"/>
      <c r="F6" s="1702" t="s">
        <v>6</v>
      </c>
      <c r="G6" s="1702" t="s">
        <v>2548</v>
      </c>
      <c r="H6" s="1702"/>
      <c r="I6" s="1702" t="s">
        <v>2549</v>
      </c>
      <c r="J6" s="1712"/>
    </row>
    <row r="7" spans="1:10" s="1062" customFormat="1" ht="39.75" customHeight="1">
      <c r="A7" s="1702"/>
      <c r="B7" s="1702"/>
      <c r="C7" s="1702"/>
      <c r="D7" s="1702"/>
      <c r="E7" s="1702"/>
      <c r="F7" s="1702"/>
      <c r="G7" s="1214" t="s">
        <v>2550</v>
      </c>
      <c r="H7" s="1214" t="s">
        <v>898</v>
      </c>
      <c r="I7" s="1702"/>
      <c r="J7" s="1713"/>
    </row>
    <row r="8" spans="1:10" s="1062" customFormat="1" ht="18" customHeight="1">
      <c r="A8" s="1128"/>
      <c r="B8" s="1187" t="s">
        <v>7</v>
      </c>
      <c r="C8" s="1188"/>
      <c r="D8" s="1188"/>
      <c r="E8" s="1188"/>
      <c r="F8" s="1129">
        <f>F9+F147</f>
        <v>924272.80412371131</v>
      </c>
      <c r="G8" s="1129">
        <f>G9+G147</f>
        <v>895357</v>
      </c>
      <c r="H8" s="1129">
        <f>H9+H147</f>
        <v>27755.082474226805</v>
      </c>
      <c r="I8" s="1129">
        <f>I9+I147</f>
        <v>1700</v>
      </c>
      <c r="J8" s="1129">
        <f>J9+J147</f>
        <v>895357</v>
      </c>
    </row>
    <row r="9" spans="1:10" s="1062" customFormat="1" ht="38.25" customHeight="1">
      <c r="A9" s="1063" t="s">
        <v>37</v>
      </c>
      <c r="B9" s="1189" t="s">
        <v>2544</v>
      </c>
      <c r="C9" s="1190"/>
      <c r="D9" s="1190"/>
      <c r="E9" s="1190"/>
      <c r="F9" s="1064">
        <f>F10+F44+F72+F119</f>
        <v>837288.80412371131</v>
      </c>
      <c r="G9" s="1064">
        <f>G10+G44+G72+G119</f>
        <v>808373</v>
      </c>
      <c r="H9" s="1064">
        <f>H10+H44+H72+H119</f>
        <v>27755.082474226805</v>
      </c>
      <c r="I9" s="1064">
        <f>I10+I44+I72+I119</f>
        <v>1700</v>
      </c>
      <c r="J9" s="1064">
        <f>J10+J44+J72+J119</f>
        <v>808373</v>
      </c>
    </row>
    <row r="10" spans="1:10" s="1080" customFormat="1" ht="18" customHeight="1">
      <c r="A10" s="1063" t="s">
        <v>8</v>
      </c>
      <c r="B10" s="1189" t="s">
        <v>2551</v>
      </c>
      <c r="C10" s="1190"/>
      <c r="D10" s="1190"/>
      <c r="E10" s="1190"/>
      <c r="F10" s="1078">
        <f>F11+F13</f>
        <v>175790</v>
      </c>
      <c r="G10" s="1078">
        <f t="shared" ref="G10:J10" si="0">G11+G13</f>
        <v>172090</v>
      </c>
      <c r="H10" s="1078">
        <f t="shared" si="0"/>
        <v>2000</v>
      </c>
      <c r="I10" s="1078">
        <f t="shared" si="0"/>
        <v>1700</v>
      </c>
      <c r="J10" s="1078">
        <f t="shared" si="0"/>
        <v>172090</v>
      </c>
    </row>
    <row r="11" spans="1:10" s="1080" customFormat="1" ht="18" customHeight="1">
      <c r="A11" s="1063" t="s">
        <v>2552</v>
      </c>
      <c r="B11" s="1189" t="s">
        <v>2553</v>
      </c>
      <c r="C11" s="1190"/>
      <c r="D11" s="1190"/>
      <c r="E11" s="1190"/>
      <c r="F11" s="1078">
        <f>F12</f>
        <v>1946</v>
      </c>
      <c r="G11" s="1078">
        <f t="shared" ref="G11:J11" si="1">G12</f>
        <v>1946</v>
      </c>
      <c r="H11" s="1078">
        <f t="shared" si="1"/>
        <v>0</v>
      </c>
      <c r="I11" s="1078">
        <f t="shared" si="1"/>
        <v>0</v>
      </c>
      <c r="J11" s="1078">
        <f t="shared" si="1"/>
        <v>1946</v>
      </c>
    </row>
    <row r="12" spans="1:10" s="1080" customFormat="1">
      <c r="A12" s="1065">
        <v>1</v>
      </c>
      <c r="B12" s="1184" t="s">
        <v>2554</v>
      </c>
      <c r="C12" s="1190"/>
      <c r="D12" s="1190"/>
      <c r="E12" s="1190"/>
      <c r="F12" s="1078">
        <f>G12</f>
        <v>1946</v>
      </c>
      <c r="G12" s="1078">
        <v>1946</v>
      </c>
      <c r="H12" s="1078"/>
      <c r="I12" s="1078"/>
      <c r="J12" s="1078">
        <v>1946</v>
      </c>
    </row>
    <row r="13" spans="1:10" s="1125" customFormat="1" ht="18" customHeight="1">
      <c r="A13" s="1063" t="s">
        <v>2555</v>
      </c>
      <c r="B13" s="1185" t="s">
        <v>2556</v>
      </c>
      <c r="C13" s="1190"/>
      <c r="D13" s="1190"/>
      <c r="E13" s="1190"/>
      <c r="F13" s="1078">
        <f>SUM(F14:F43)</f>
        <v>173844</v>
      </c>
      <c r="G13" s="1078">
        <f t="shared" ref="G13:J13" si="2">SUM(G14:G43)</f>
        <v>170144</v>
      </c>
      <c r="H13" s="1078">
        <f t="shared" si="2"/>
        <v>2000</v>
      </c>
      <c r="I13" s="1078">
        <f t="shared" si="2"/>
        <v>1700</v>
      </c>
      <c r="J13" s="1078">
        <f t="shared" si="2"/>
        <v>170144</v>
      </c>
    </row>
    <row r="14" spans="1:10" s="1080" customFormat="1" ht="26">
      <c r="A14" s="1191">
        <v>1</v>
      </c>
      <c r="B14" s="1147" t="s">
        <v>2956</v>
      </c>
      <c r="C14" s="1135" t="s">
        <v>2796</v>
      </c>
      <c r="D14" s="1135" t="s">
        <v>2564</v>
      </c>
      <c r="E14" s="1135" t="s">
        <v>118</v>
      </c>
      <c r="F14" s="1079">
        <v>3000</v>
      </c>
      <c r="G14" s="1079">
        <v>3000</v>
      </c>
      <c r="H14" s="1079"/>
      <c r="I14" s="1079"/>
      <c r="J14" s="1079">
        <v>3000</v>
      </c>
    </row>
    <row r="15" spans="1:10" s="1080" customFormat="1" ht="26">
      <c r="A15" s="1191">
        <v>2</v>
      </c>
      <c r="B15" s="1147" t="s">
        <v>2957</v>
      </c>
      <c r="C15" s="1135" t="s">
        <v>2796</v>
      </c>
      <c r="D15" s="1135" t="s">
        <v>1485</v>
      </c>
      <c r="E15" s="1135" t="s">
        <v>118</v>
      </c>
      <c r="F15" s="1079">
        <v>2000</v>
      </c>
      <c r="G15" s="1079">
        <v>2000</v>
      </c>
      <c r="H15" s="1079"/>
      <c r="I15" s="1079"/>
      <c r="J15" s="1079">
        <v>2000</v>
      </c>
    </row>
    <row r="16" spans="1:10" s="1080" customFormat="1" ht="65">
      <c r="A16" s="1191">
        <v>3</v>
      </c>
      <c r="B16" s="1147" t="s">
        <v>2557</v>
      </c>
      <c r="C16" s="1135" t="s">
        <v>2797</v>
      </c>
      <c r="D16" s="1141" t="s">
        <v>2558</v>
      </c>
      <c r="E16" s="1135" t="s">
        <v>118</v>
      </c>
      <c r="F16" s="1079">
        <v>22000</v>
      </c>
      <c r="G16" s="1079">
        <v>22000</v>
      </c>
      <c r="H16" s="1079"/>
      <c r="I16" s="1079"/>
      <c r="J16" s="1079">
        <v>22000</v>
      </c>
    </row>
    <row r="17" spans="1:10" s="1080" customFormat="1" ht="26">
      <c r="A17" s="1191">
        <v>4</v>
      </c>
      <c r="B17" s="1147" t="s">
        <v>2559</v>
      </c>
      <c r="C17" s="1135" t="s">
        <v>2797</v>
      </c>
      <c r="D17" s="1192" t="s">
        <v>2560</v>
      </c>
      <c r="E17" s="1135" t="s">
        <v>118</v>
      </c>
      <c r="F17" s="1079">
        <v>20000</v>
      </c>
      <c r="G17" s="1079">
        <v>20000</v>
      </c>
      <c r="H17" s="1079"/>
      <c r="I17" s="1079"/>
      <c r="J17" s="1079">
        <v>20000</v>
      </c>
    </row>
    <row r="18" spans="1:10" s="1080" customFormat="1" ht="26">
      <c r="A18" s="1191">
        <v>5</v>
      </c>
      <c r="B18" s="1193" t="s">
        <v>2561</v>
      </c>
      <c r="C18" s="1135" t="s">
        <v>2797</v>
      </c>
      <c r="D18" s="1135" t="s">
        <v>2562</v>
      </c>
      <c r="E18" s="1135" t="s">
        <v>118</v>
      </c>
      <c r="F18" s="1079">
        <v>8000</v>
      </c>
      <c r="G18" s="1079">
        <v>7000</v>
      </c>
      <c r="H18" s="1079">
        <v>500</v>
      </c>
      <c r="I18" s="1079">
        <v>500</v>
      </c>
      <c r="J18" s="1079">
        <v>7000</v>
      </c>
    </row>
    <row r="19" spans="1:10" s="1080" customFormat="1" ht="26">
      <c r="A19" s="1191">
        <v>6</v>
      </c>
      <c r="B19" s="1194" t="s">
        <v>2563</v>
      </c>
      <c r="C19" s="1135" t="s">
        <v>2798</v>
      </c>
      <c r="D19" s="1192" t="s">
        <v>2564</v>
      </c>
      <c r="E19" s="1135" t="s">
        <v>118</v>
      </c>
      <c r="F19" s="1079">
        <v>2400</v>
      </c>
      <c r="G19" s="1079">
        <v>2000</v>
      </c>
      <c r="H19" s="1079">
        <v>200</v>
      </c>
      <c r="I19" s="1079">
        <v>200</v>
      </c>
      <c r="J19" s="1079">
        <v>2000</v>
      </c>
    </row>
    <row r="20" spans="1:10" s="1080" customFormat="1" ht="26">
      <c r="A20" s="1191">
        <v>7</v>
      </c>
      <c r="B20" s="1147" t="s">
        <v>2565</v>
      </c>
      <c r="C20" s="1135" t="s">
        <v>2796</v>
      </c>
      <c r="D20" s="1135" t="s">
        <v>2566</v>
      </c>
      <c r="E20" s="1135" t="s">
        <v>118</v>
      </c>
      <c r="F20" s="1079">
        <v>2200</v>
      </c>
      <c r="G20" s="1079">
        <v>2000</v>
      </c>
      <c r="H20" s="1079">
        <v>100</v>
      </c>
      <c r="I20" s="1079">
        <v>100</v>
      </c>
      <c r="J20" s="1079">
        <v>2000</v>
      </c>
    </row>
    <row r="21" spans="1:10" s="1080" customFormat="1" ht="26">
      <c r="A21" s="1191">
        <v>8</v>
      </c>
      <c r="B21" s="1147" t="s">
        <v>2567</v>
      </c>
      <c r="C21" s="1135" t="s">
        <v>2796</v>
      </c>
      <c r="D21" s="1135" t="s">
        <v>2568</v>
      </c>
      <c r="E21" s="1135" t="s">
        <v>118</v>
      </c>
      <c r="F21" s="1079">
        <v>5300</v>
      </c>
      <c r="G21" s="1079">
        <v>5000</v>
      </c>
      <c r="H21" s="1079">
        <v>200</v>
      </c>
      <c r="I21" s="1079">
        <v>100</v>
      </c>
      <c r="J21" s="1079">
        <v>5000</v>
      </c>
    </row>
    <row r="22" spans="1:10" s="1080" customFormat="1" ht="26">
      <c r="A22" s="1191">
        <v>9</v>
      </c>
      <c r="B22" s="1147" t="s">
        <v>2569</v>
      </c>
      <c r="C22" s="1135" t="s">
        <v>2796</v>
      </c>
      <c r="D22" s="1135" t="s">
        <v>2566</v>
      </c>
      <c r="E22" s="1135" t="s">
        <v>118</v>
      </c>
      <c r="F22" s="1079">
        <v>2300</v>
      </c>
      <c r="G22" s="1079">
        <v>2000</v>
      </c>
      <c r="H22" s="1079">
        <v>150</v>
      </c>
      <c r="I22" s="1079">
        <v>150</v>
      </c>
      <c r="J22" s="1079">
        <v>2000</v>
      </c>
    </row>
    <row r="23" spans="1:10" s="1126" customFormat="1" ht="26">
      <c r="A23" s="1191">
        <v>10</v>
      </c>
      <c r="B23" s="1147" t="s">
        <v>2570</v>
      </c>
      <c r="C23" s="1135" t="s">
        <v>2798</v>
      </c>
      <c r="D23" s="1186" t="s">
        <v>2571</v>
      </c>
      <c r="E23" s="1135" t="s">
        <v>118</v>
      </c>
      <c r="F23" s="1079">
        <v>2000</v>
      </c>
      <c r="G23" s="1079">
        <v>2000</v>
      </c>
      <c r="H23" s="1079"/>
      <c r="I23" s="1079"/>
      <c r="J23" s="1079">
        <v>2000</v>
      </c>
    </row>
    <row r="24" spans="1:10" s="1080" customFormat="1" ht="26">
      <c r="A24" s="1191">
        <v>11</v>
      </c>
      <c r="B24" s="1194" t="s">
        <v>2572</v>
      </c>
      <c r="C24" s="1135" t="s">
        <v>2797</v>
      </c>
      <c r="D24" s="1135" t="s">
        <v>2573</v>
      </c>
      <c r="E24" s="1135" t="s">
        <v>118</v>
      </c>
      <c r="F24" s="1079">
        <v>2000</v>
      </c>
      <c r="G24" s="1079">
        <v>2000</v>
      </c>
      <c r="H24" s="1079"/>
      <c r="I24" s="1079"/>
      <c r="J24" s="1079">
        <v>2000</v>
      </c>
    </row>
    <row r="25" spans="1:10" s="1080" customFormat="1" ht="39">
      <c r="A25" s="1191">
        <v>12</v>
      </c>
      <c r="B25" s="1147" t="s">
        <v>2574</v>
      </c>
      <c r="C25" s="1135" t="s">
        <v>2799</v>
      </c>
      <c r="D25" s="1135" t="s">
        <v>2575</v>
      </c>
      <c r="E25" s="1135" t="s">
        <v>118</v>
      </c>
      <c r="F25" s="1079">
        <v>10000</v>
      </c>
      <c r="G25" s="1079">
        <v>10000</v>
      </c>
      <c r="H25" s="1079"/>
      <c r="I25" s="1079"/>
      <c r="J25" s="1079">
        <v>10000</v>
      </c>
    </row>
    <row r="26" spans="1:10" s="1080" customFormat="1" ht="26">
      <c r="A26" s="1191">
        <v>13</v>
      </c>
      <c r="B26" s="1147" t="s">
        <v>2576</v>
      </c>
      <c r="C26" s="1135" t="s">
        <v>2798</v>
      </c>
      <c r="D26" s="1135" t="s">
        <v>2577</v>
      </c>
      <c r="E26" s="1135" t="s">
        <v>118</v>
      </c>
      <c r="F26" s="1079">
        <v>4944</v>
      </c>
      <c r="G26" s="1079">
        <v>4144</v>
      </c>
      <c r="H26" s="1079">
        <v>500</v>
      </c>
      <c r="I26" s="1079">
        <v>300</v>
      </c>
      <c r="J26" s="1079">
        <v>4144</v>
      </c>
    </row>
    <row r="27" spans="1:10" s="1080" customFormat="1" ht="26">
      <c r="A27" s="1191">
        <v>14</v>
      </c>
      <c r="B27" s="1147" t="s">
        <v>2578</v>
      </c>
      <c r="C27" s="1135" t="s">
        <v>2798</v>
      </c>
      <c r="D27" s="1135" t="s">
        <v>2579</v>
      </c>
      <c r="E27" s="1135" t="s">
        <v>118</v>
      </c>
      <c r="F27" s="1079">
        <v>2250</v>
      </c>
      <c r="G27" s="1079">
        <v>2000</v>
      </c>
      <c r="H27" s="1079">
        <v>125</v>
      </c>
      <c r="I27" s="1079">
        <v>125</v>
      </c>
      <c r="J27" s="1079">
        <v>2000</v>
      </c>
    </row>
    <row r="28" spans="1:10" s="1080" customFormat="1" ht="26">
      <c r="A28" s="1191">
        <v>15</v>
      </c>
      <c r="B28" s="1194" t="s">
        <v>2580</v>
      </c>
      <c r="C28" s="1135" t="s">
        <v>2798</v>
      </c>
      <c r="D28" s="1192" t="s">
        <v>2581</v>
      </c>
      <c r="E28" s="1135" t="s">
        <v>118</v>
      </c>
      <c r="F28" s="1079">
        <v>2450</v>
      </c>
      <c r="G28" s="1079">
        <v>2000</v>
      </c>
      <c r="H28" s="1079">
        <v>225</v>
      </c>
      <c r="I28" s="1079">
        <v>225</v>
      </c>
      <c r="J28" s="1079">
        <v>2000</v>
      </c>
    </row>
    <row r="29" spans="1:10" s="1080" customFormat="1" ht="26">
      <c r="A29" s="1191">
        <v>16</v>
      </c>
      <c r="B29" s="1194" t="s">
        <v>2582</v>
      </c>
      <c r="C29" s="1135" t="s">
        <v>2798</v>
      </c>
      <c r="D29" s="1192" t="s">
        <v>2583</v>
      </c>
      <c r="E29" s="1135" t="s">
        <v>118</v>
      </c>
      <c r="F29" s="1079">
        <v>4000</v>
      </c>
      <c r="G29" s="1079">
        <v>4000</v>
      </c>
      <c r="H29" s="1079"/>
      <c r="I29" s="1079"/>
      <c r="J29" s="1079">
        <v>4000</v>
      </c>
    </row>
    <row r="30" spans="1:10" s="1080" customFormat="1" ht="26">
      <c r="A30" s="1191">
        <v>17</v>
      </c>
      <c r="B30" s="1194" t="s">
        <v>2584</v>
      </c>
      <c r="C30" s="1135" t="s">
        <v>2799</v>
      </c>
      <c r="D30" s="1192" t="s">
        <v>2583</v>
      </c>
      <c r="E30" s="1135" t="s">
        <v>118</v>
      </c>
      <c r="F30" s="1079">
        <v>4000</v>
      </c>
      <c r="G30" s="1079">
        <v>4000</v>
      </c>
      <c r="H30" s="1079"/>
      <c r="I30" s="1079"/>
      <c r="J30" s="1079">
        <v>4000</v>
      </c>
    </row>
    <row r="31" spans="1:10" s="1080" customFormat="1" ht="39">
      <c r="A31" s="1191">
        <v>18</v>
      </c>
      <c r="B31" s="1147" t="s">
        <v>2585</v>
      </c>
      <c r="C31" s="1135" t="s">
        <v>2798</v>
      </c>
      <c r="D31" s="1135" t="s">
        <v>2586</v>
      </c>
      <c r="E31" s="1135" t="s">
        <v>118</v>
      </c>
      <c r="F31" s="1079">
        <v>3000</v>
      </c>
      <c r="G31" s="1079">
        <v>3000</v>
      </c>
      <c r="H31" s="1079"/>
      <c r="I31" s="1079"/>
      <c r="J31" s="1079">
        <v>3000</v>
      </c>
    </row>
    <row r="32" spans="1:10" s="1126" customFormat="1" ht="39">
      <c r="A32" s="1191">
        <v>19</v>
      </c>
      <c r="B32" s="1147" t="s">
        <v>2587</v>
      </c>
      <c r="C32" s="1135" t="s">
        <v>119</v>
      </c>
      <c r="D32" s="1135" t="s">
        <v>2588</v>
      </c>
      <c r="E32" s="1135" t="s">
        <v>118</v>
      </c>
      <c r="F32" s="1079">
        <v>5000</v>
      </c>
      <c r="G32" s="1079">
        <v>5000</v>
      </c>
      <c r="H32" s="1079"/>
      <c r="I32" s="1079"/>
      <c r="J32" s="1079">
        <v>5000</v>
      </c>
    </row>
    <row r="33" spans="1:10" s="1126" customFormat="1" ht="39">
      <c r="A33" s="1191">
        <v>20</v>
      </c>
      <c r="B33" s="1147" t="s">
        <v>2589</v>
      </c>
      <c r="C33" s="1135" t="s">
        <v>121</v>
      </c>
      <c r="D33" s="1135" t="s">
        <v>2588</v>
      </c>
      <c r="E33" s="1135" t="s">
        <v>118</v>
      </c>
      <c r="F33" s="1079">
        <v>3500</v>
      </c>
      <c r="G33" s="1079">
        <v>3500</v>
      </c>
      <c r="H33" s="1079"/>
      <c r="I33" s="1079"/>
      <c r="J33" s="1079">
        <v>3500</v>
      </c>
    </row>
    <row r="34" spans="1:10" s="1080" customFormat="1" ht="26">
      <c r="A34" s="1191">
        <v>21</v>
      </c>
      <c r="B34" s="1147" t="s">
        <v>2800</v>
      </c>
      <c r="C34" s="1135" t="s">
        <v>2801</v>
      </c>
      <c r="D34" s="1135" t="s">
        <v>2802</v>
      </c>
      <c r="E34" s="1135" t="s">
        <v>118</v>
      </c>
      <c r="F34" s="1079">
        <v>15000</v>
      </c>
      <c r="G34" s="1079">
        <v>15000</v>
      </c>
      <c r="H34" s="1079"/>
      <c r="I34" s="1079"/>
      <c r="J34" s="1079">
        <v>15000</v>
      </c>
    </row>
    <row r="35" spans="1:10" s="1080" customFormat="1" ht="26">
      <c r="A35" s="1191">
        <v>22</v>
      </c>
      <c r="B35" s="1147" t="s">
        <v>2803</v>
      </c>
      <c r="C35" s="1135" t="s">
        <v>2798</v>
      </c>
      <c r="D35" s="1135" t="s">
        <v>2566</v>
      </c>
      <c r="E35" s="1135" t="s">
        <v>118</v>
      </c>
      <c r="F35" s="1079">
        <v>2300</v>
      </c>
      <c r="G35" s="1079">
        <v>2300</v>
      </c>
      <c r="H35" s="1079"/>
      <c r="I35" s="1079"/>
      <c r="J35" s="1079">
        <v>2300</v>
      </c>
    </row>
    <row r="36" spans="1:10" s="1080" customFormat="1" ht="43.5" customHeight="1">
      <c r="A36" s="1191">
        <v>23</v>
      </c>
      <c r="B36" s="1147" t="s">
        <v>413</v>
      </c>
      <c r="C36" s="1135" t="s">
        <v>120</v>
      </c>
      <c r="D36" s="1186" t="s">
        <v>2804</v>
      </c>
      <c r="E36" s="1135" t="s">
        <v>118</v>
      </c>
      <c r="F36" s="1079">
        <v>29900</v>
      </c>
      <c r="G36" s="1079">
        <v>29900</v>
      </c>
      <c r="H36" s="1079"/>
      <c r="I36" s="1079"/>
      <c r="J36" s="1079">
        <v>29900</v>
      </c>
    </row>
    <row r="37" spans="1:10" s="1080" customFormat="1" ht="26">
      <c r="A37" s="1191">
        <v>24</v>
      </c>
      <c r="B37" s="1147" t="s">
        <v>2805</v>
      </c>
      <c r="C37" s="1135" t="s">
        <v>2797</v>
      </c>
      <c r="D37" s="1186" t="s">
        <v>2579</v>
      </c>
      <c r="E37" s="1135" t="s">
        <v>118</v>
      </c>
      <c r="F37" s="1079">
        <v>800</v>
      </c>
      <c r="G37" s="1079">
        <v>800</v>
      </c>
      <c r="H37" s="1079"/>
      <c r="I37" s="1079"/>
      <c r="J37" s="1079">
        <v>800</v>
      </c>
    </row>
    <row r="38" spans="1:10" s="1080" customFormat="1" ht="26">
      <c r="A38" s="1191">
        <v>25</v>
      </c>
      <c r="B38" s="1147" t="s">
        <v>2806</v>
      </c>
      <c r="C38" s="1135" t="s">
        <v>2797</v>
      </c>
      <c r="D38" s="1186" t="s">
        <v>2579</v>
      </c>
      <c r="E38" s="1135" t="s">
        <v>118</v>
      </c>
      <c r="F38" s="1079">
        <v>1500</v>
      </c>
      <c r="G38" s="1079">
        <v>1500</v>
      </c>
      <c r="H38" s="1079"/>
      <c r="I38" s="1079"/>
      <c r="J38" s="1079">
        <v>1500</v>
      </c>
    </row>
    <row r="39" spans="1:10" s="1080" customFormat="1" ht="26">
      <c r="A39" s="1191">
        <v>26</v>
      </c>
      <c r="B39" s="1147" t="s">
        <v>2807</v>
      </c>
      <c r="C39" s="1135" t="s">
        <v>2797</v>
      </c>
      <c r="D39" s="1186" t="s">
        <v>2808</v>
      </c>
      <c r="E39" s="1135" t="s">
        <v>118</v>
      </c>
      <c r="F39" s="1079">
        <v>1500</v>
      </c>
      <c r="G39" s="1079">
        <v>1500</v>
      </c>
      <c r="H39" s="1079"/>
      <c r="I39" s="1079"/>
      <c r="J39" s="1079">
        <v>1500</v>
      </c>
    </row>
    <row r="40" spans="1:10" s="1080" customFormat="1" ht="30" customHeight="1">
      <c r="A40" s="1191">
        <v>27</v>
      </c>
      <c r="B40" s="1147" t="s">
        <v>2809</v>
      </c>
      <c r="C40" s="1135" t="s">
        <v>119</v>
      </c>
      <c r="D40" s="1186" t="s">
        <v>2810</v>
      </c>
      <c r="E40" s="1135" t="s">
        <v>118</v>
      </c>
      <c r="F40" s="1079">
        <v>2000</v>
      </c>
      <c r="G40" s="1079">
        <v>2000</v>
      </c>
      <c r="H40" s="1079"/>
      <c r="I40" s="1079"/>
      <c r="J40" s="1079">
        <v>2000</v>
      </c>
    </row>
    <row r="41" spans="1:10" s="1080" customFormat="1" ht="30" customHeight="1">
      <c r="A41" s="1191">
        <v>28</v>
      </c>
      <c r="B41" s="1147" t="s">
        <v>2811</v>
      </c>
      <c r="C41" s="1135" t="s">
        <v>2962</v>
      </c>
      <c r="D41" s="1186" t="s">
        <v>2812</v>
      </c>
      <c r="E41" s="1135" t="s">
        <v>118</v>
      </c>
      <c r="F41" s="1079">
        <v>5000</v>
      </c>
      <c r="G41" s="1079">
        <v>5000</v>
      </c>
      <c r="H41" s="1079"/>
      <c r="I41" s="1079"/>
      <c r="J41" s="1079">
        <v>5000</v>
      </c>
    </row>
    <row r="42" spans="1:10" s="1080" customFormat="1" ht="30" customHeight="1">
      <c r="A42" s="1191">
        <v>29</v>
      </c>
      <c r="B42" s="1147" t="s">
        <v>2813</v>
      </c>
      <c r="C42" s="1135" t="s">
        <v>119</v>
      </c>
      <c r="D42" s="1186" t="s">
        <v>2814</v>
      </c>
      <c r="E42" s="1135" t="s">
        <v>118</v>
      </c>
      <c r="F42" s="1079">
        <v>3500</v>
      </c>
      <c r="G42" s="1079">
        <v>3500</v>
      </c>
      <c r="H42" s="1079"/>
      <c r="I42" s="1079"/>
      <c r="J42" s="1079">
        <v>3500</v>
      </c>
    </row>
    <row r="43" spans="1:10" s="1066" customFormat="1" ht="30" customHeight="1">
      <c r="A43" s="1191">
        <v>30</v>
      </c>
      <c r="B43" s="1147" t="s">
        <v>2815</v>
      </c>
      <c r="C43" s="1135" t="s">
        <v>120</v>
      </c>
      <c r="D43" s="1186" t="s">
        <v>2816</v>
      </c>
      <c r="E43" s="1135" t="s">
        <v>118</v>
      </c>
      <c r="F43" s="1079">
        <v>2000</v>
      </c>
      <c r="G43" s="1079">
        <v>2000</v>
      </c>
      <c r="H43" s="1079"/>
      <c r="I43" s="1079"/>
      <c r="J43" s="1079">
        <v>2000</v>
      </c>
    </row>
    <row r="44" spans="1:10" s="1080" customFormat="1" ht="18" customHeight="1">
      <c r="A44" s="1130" t="s">
        <v>26</v>
      </c>
      <c r="B44" s="1195" t="s">
        <v>2590</v>
      </c>
      <c r="C44" s="1196"/>
      <c r="D44" s="1197"/>
      <c r="E44" s="1135"/>
      <c r="F44" s="1310">
        <f>SUM(F45:F71)</f>
        <v>219056</v>
      </c>
      <c r="G44" s="1310">
        <f>SUM(G45:G71)</f>
        <v>206056</v>
      </c>
      <c r="H44" s="1310">
        <f>SUM(H45:H71)</f>
        <v>13000</v>
      </c>
      <c r="I44" s="1310">
        <f>SUM(I45:I71)</f>
        <v>0</v>
      </c>
      <c r="J44" s="1310">
        <f>SUM(J45:J71)</f>
        <v>206056</v>
      </c>
    </row>
    <row r="45" spans="1:10" s="1080" customFormat="1" ht="46">
      <c r="A45" s="1191">
        <v>1</v>
      </c>
      <c r="B45" s="1194" t="s">
        <v>2963</v>
      </c>
      <c r="C45" s="1318" t="s">
        <v>2959</v>
      </c>
      <c r="D45" s="1318" t="s">
        <v>2964</v>
      </c>
      <c r="E45" s="1135" t="s">
        <v>118</v>
      </c>
      <c r="F45" s="1309">
        <v>6000</v>
      </c>
      <c r="G45" s="1309">
        <v>5500</v>
      </c>
      <c r="H45" s="1309">
        <v>500</v>
      </c>
      <c r="I45" s="1309"/>
      <c r="J45" s="1309">
        <v>5500</v>
      </c>
    </row>
    <row r="46" spans="1:10" s="1080" customFormat="1" ht="26">
      <c r="A46" s="1191">
        <v>2</v>
      </c>
      <c r="B46" s="1194" t="s">
        <v>2965</v>
      </c>
      <c r="C46" s="1318" t="s">
        <v>2959</v>
      </c>
      <c r="D46" s="1317" t="s">
        <v>2966</v>
      </c>
      <c r="E46" s="1135" t="s">
        <v>118</v>
      </c>
      <c r="F46" s="1309">
        <v>4000</v>
      </c>
      <c r="G46" s="1067">
        <v>3500</v>
      </c>
      <c r="H46" s="1309">
        <v>500</v>
      </c>
      <c r="I46" s="1309"/>
      <c r="J46" s="1067">
        <v>3500</v>
      </c>
    </row>
    <row r="47" spans="1:10" s="1080" customFormat="1" ht="39">
      <c r="A47" s="1191">
        <v>3</v>
      </c>
      <c r="B47" s="1194" t="s">
        <v>2967</v>
      </c>
      <c r="C47" s="1317" t="s">
        <v>572</v>
      </c>
      <c r="D47" s="1317" t="s">
        <v>2602</v>
      </c>
      <c r="E47" s="1135" t="s">
        <v>118</v>
      </c>
      <c r="F47" s="1309">
        <v>7000</v>
      </c>
      <c r="G47" s="1067">
        <v>6000</v>
      </c>
      <c r="H47" s="1309">
        <v>1000</v>
      </c>
      <c r="I47" s="1309"/>
      <c r="J47" s="1067">
        <v>6000</v>
      </c>
    </row>
    <row r="48" spans="1:10" s="1062" customFormat="1" ht="34.5">
      <c r="A48" s="1191">
        <v>4</v>
      </c>
      <c r="B48" s="1194" t="s">
        <v>2968</v>
      </c>
      <c r="C48" s="1317" t="s">
        <v>572</v>
      </c>
      <c r="D48" s="1317" t="s">
        <v>2969</v>
      </c>
      <c r="E48" s="1135" t="s">
        <v>118</v>
      </c>
      <c r="F48" s="1309">
        <v>6000</v>
      </c>
      <c r="G48" s="1067">
        <v>5000</v>
      </c>
      <c r="H48" s="1309">
        <v>1000</v>
      </c>
      <c r="I48" s="1309"/>
      <c r="J48" s="1067">
        <v>5000</v>
      </c>
    </row>
    <row r="49" spans="1:10" s="1408" customFormat="1" ht="33.75" customHeight="1">
      <c r="A49" s="1402">
        <v>5</v>
      </c>
      <c r="B49" s="1403" t="s">
        <v>2989</v>
      </c>
      <c r="C49" s="1404" t="s">
        <v>572</v>
      </c>
      <c r="D49" s="1404" t="s">
        <v>3006</v>
      </c>
      <c r="E49" s="1405" t="s">
        <v>118</v>
      </c>
      <c r="F49" s="1406">
        <v>20000</v>
      </c>
      <c r="G49" s="1407">
        <v>20000</v>
      </c>
      <c r="H49" s="1406"/>
      <c r="I49" s="1406"/>
      <c r="J49" s="1407">
        <v>20000</v>
      </c>
    </row>
    <row r="50" spans="1:10" s="1408" customFormat="1" ht="34.5" customHeight="1">
      <c r="A50" s="1402">
        <v>6</v>
      </c>
      <c r="B50" s="1403" t="s">
        <v>2988</v>
      </c>
      <c r="C50" s="1404" t="s">
        <v>572</v>
      </c>
      <c r="D50" s="1404" t="s">
        <v>3007</v>
      </c>
      <c r="E50" s="1405" t="s">
        <v>118</v>
      </c>
      <c r="F50" s="1406">
        <v>35000</v>
      </c>
      <c r="G50" s="1407">
        <v>35000</v>
      </c>
      <c r="H50" s="1406"/>
      <c r="I50" s="1406"/>
      <c r="J50" s="1407">
        <v>35000</v>
      </c>
    </row>
    <row r="51" spans="1:10" s="1062" customFormat="1" ht="34.5">
      <c r="A51" s="1191">
        <v>7</v>
      </c>
      <c r="B51" s="1199" t="s">
        <v>2615</v>
      </c>
      <c r="C51" s="1318" t="s">
        <v>572</v>
      </c>
      <c r="D51" s="1318" t="s">
        <v>2616</v>
      </c>
      <c r="E51" s="1135" t="s">
        <v>118</v>
      </c>
      <c r="F51" s="1309">
        <v>35000</v>
      </c>
      <c r="G51" s="1067">
        <v>35000</v>
      </c>
      <c r="H51" s="1309"/>
      <c r="I51" s="1312"/>
      <c r="J51" s="1067">
        <v>35000</v>
      </c>
    </row>
    <row r="52" spans="1:10" s="1062" customFormat="1" ht="30" customHeight="1">
      <c r="A52" s="1191">
        <v>8</v>
      </c>
      <c r="B52" s="1147" t="s">
        <v>2603</v>
      </c>
      <c r="C52" s="1318" t="s">
        <v>2604</v>
      </c>
      <c r="D52" s="1318" t="s">
        <v>2605</v>
      </c>
      <c r="E52" s="1135" t="s">
        <v>118</v>
      </c>
      <c r="F52" s="1309">
        <v>3150</v>
      </c>
      <c r="G52" s="1067">
        <v>3150</v>
      </c>
      <c r="H52" s="1309"/>
      <c r="I52" s="1312"/>
      <c r="J52" s="1067">
        <v>3150</v>
      </c>
    </row>
    <row r="53" spans="1:10" s="1062" customFormat="1" ht="30" customHeight="1">
      <c r="A53" s="1191">
        <v>9</v>
      </c>
      <c r="B53" s="1194" t="s">
        <v>2606</v>
      </c>
      <c r="C53" s="1318" t="s">
        <v>689</v>
      </c>
      <c r="D53" s="1317" t="s">
        <v>2581</v>
      </c>
      <c r="E53" s="1135" t="s">
        <v>118</v>
      </c>
      <c r="F53" s="1309">
        <v>4500</v>
      </c>
      <c r="G53" s="1067">
        <v>4500</v>
      </c>
      <c r="H53" s="1309"/>
      <c r="I53" s="1312"/>
      <c r="J53" s="1067">
        <v>4500</v>
      </c>
    </row>
    <row r="54" spans="1:10" s="1062" customFormat="1" ht="57.5">
      <c r="A54" s="1191">
        <v>10</v>
      </c>
      <c r="B54" s="1194" t="s">
        <v>2593</v>
      </c>
      <c r="C54" s="1318" t="s">
        <v>2594</v>
      </c>
      <c r="D54" s="1317" t="s">
        <v>2595</v>
      </c>
      <c r="E54" s="1135" t="s">
        <v>118</v>
      </c>
      <c r="F54" s="1309">
        <v>4000</v>
      </c>
      <c r="G54" s="1067">
        <v>4000</v>
      </c>
      <c r="H54" s="1309"/>
      <c r="I54" s="1312"/>
      <c r="J54" s="1067">
        <v>4000</v>
      </c>
    </row>
    <row r="55" spans="1:10" s="1062" customFormat="1" ht="30" customHeight="1">
      <c r="A55" s="1191">
        <v>11</v>
      </c>
      <c r="B55" s="1194" t="s">
        <v>2596</v>
      </c>
      <c r="C55" s="1318" t="s">
        <v>694</v>
      </c>
      <c r="D55" s="1317" t="s">
        <v>2597</v>
      </c>
      <c r="E55" s="1135" t="s">
        <v>118</v>
      </c>
      <c r="F55" s="1309">
        <v>4556</v>
      </c>
      <c r="G55" s="1067">
        <v>4556</v>
      </c>
      <c r="H55" s="1312"/>
      <c r="I55" s="1312"/>
      <c r="J55" s="1067">
        <v>4556</v>
      </c>
    </row>
    <row r="56" spans="1:10" s="1062" customFormat="1" ht="30" customHeight="1">
      <c r="A56" s="1191">
        <v>12</v>
      </c>
      <c r="B56" s="1194" t="s">
        <v>2609</v>
      </c>
      <c r="C56" s="1317" t="s">
        <v>2594</v>
      </c>
      <c r="D56" s="1317" t="s">
        <v>2610</v>
      </c>
      <c r="E56" s="1135" t="s">
        <v>118</v>
      </c>
      <c r="F56" s="1309">
        <v>4000</v>
      </c>
      <c r="G56" s="1067">
        <v>4000</v>
      </c>
      <c r="H56" s="1312"/>
      <c r="I56" s="1312"/>
      <c r="J56" s="1067">
        <v>4000</v>
      </c>
    </row>
    <row r="57" spans="1:10" s="1062" customFormat="1" ht="30" customHeight="1">
      <c r="A57" s="1191">
        <v>13</v>
      </c>
      <c r="B57" s="1194" t="s">
        <v>2611</v>
      </c>
      <c r="C57" s="1318" t="s">
        <v>689</v>
      </c>
      <c r="D57" s="1317" t="s">
        <v>2612</v>
      </c>
      <c r="E57" s="1135" t="s">
        <v>118</v>
      </c>
      <c r="F57" s="1309">
        <v>5400</v>
      </c>
      <c r="G57" s="1067">
        <v>5400</v>
      </c>
      <c r="H57" s="1312"/>
      <c r="I57" s="1312"/>
      <c r="J57" s="1067">
        <v>5400</v>
      </c>
    </row>
    <row r="58" spans="1:10" s="1062" customFormat="1" ht="30" customHeight="1">
      <c r="A58" s="1191">
        <v>14</v>
      </c>
      <c r="B58" s="1194" t="s">
        <v>2613</v>
      </c>
      <c r="C58" s="1317" t="s">
        <v>694</v>
      </c>
      <c r="D58" s="1317" t="s">
        <v>2614</v>
      </c>
      <c r="E58" s="1135" t="s">
        <v>118</v>
      </c>
      <c r="F58" s="1309">
        <v>5000</v>
      </c>
      <c r="G58" s="1067">
        <v>5000</v>
      </c>
      <c r="H58" s="1312"/>
      <c r="I58" s="1312"/>
      <c r="J58" s="1067">
        <v>5000</v>
      </c>
    </row>
    <row r="59" spans="1:10" s="1062" customFormat="1" ht="26">
      <c r="A59" s="1191">
        <v>15</v>
      </c>
      <c r="B59" s="1147" t="s">
        <v>2598</v>
      </c>
      <c r="C59" s="1318" t="s">
        <v>2531</v>
      </c>
      <c r="D59" s="1318" t="s">
        <v>2599</v>
      </c>
      <c r="E59" s="1135" t="s">
        <v>118</v>
      </c>
      <c r="F59" s="1309">
        <v>2000</v>
      </c>
      <c r="G59" s="1067">
        <v>2000</v>
      </c>
      <c r="H59" s="1309"/>
      <c r="I59" s="1312"/>
      <c r="J59" s="1067">
        <v>2000</v>
      </c>
    </row>
    <row r="60" spans="1:10" s="1062" customFormat="1" ht="26">
      <c r="A60" s="1191">
        <v>16</v>
      </c>
      <c r="B60" s="1194" t="s">
        <v>2621</v>
      </c>
      <c r="C60" s="1318" t="s">
        <v>689</v>
      </c>
      <c r="D60" s="1317" t="s">
        <v>2622</v>
      </c>
      <c r="E60" s="1135" t="s">
        <v>118</v>
      </c>
      <c r="F60" s="1309">
        <v>2000</v>
      </c>
      <c r="G60" s="1067">
        <v>2000</v>
      </c>
      <c r="H60" s="1309"/>
      <c r="I60" s="1312"/>
      <c r="J60" s="1067">
        <v>2000</v>
      </c>
    </row>
    <row r="61" spans="1:10" s="1062" customFormat="1" ht="26">
      <c r="A61" s="1191">
        <v>17</v>
      </c>
      <c r="B61" s="1194" t="s">
        <v>2600</v>
      </c>
      <c r="C61" s="1318" t="s">
        <v>2594</v>
      </c>
      <c r="D61" s="1317" t="s">
        <v>2601</v>
      </c>
      <c r="E61" s="1135" t="s">
        <v>118</v>
      </c>
      <c r="F61" s="1309">
        <v>4500</v>
      </c>
      <c r="G61" s="1067">
        <v>2500</v>
      </c>
      <c r="H61" s="1309">
        <v>2000</v>
      </c>
      <c r="I61" s="1312"/>
      <c r="J61" s="1067">
        <v>2500</v>
      </c>
    </row>
    <row r="62" spans="1:10" s="1062" customFormat="1" ht="39">
      <c r="A62" s="1191">
        <v>18</v>
      </c>
      <c r="B62" s="1194" t="s">
        <v>2934</v>
      </c>
      <c r="C62" s="1318" t="s">
        <v>2935</v>
      </c>
      <c r="D62" s="1317" t="s">
        <v>2936</v>
      </c>
      <c r="E62" s="1135" t="s">
        <v>118</v>
      </c>
      <c r="F62" s="1309">
        <v>30000</v>
      </c>
      <c r="G62" s="1067">
        <v>25000</v>
      </c>
      <c r="H62" s="1309">
        <v>5000</v>
      </c>
      <c r="I62" s="1312"/>
      <c r="J62" s="1067">
        <v>25000</v>
      </c>
    </row>
    <row r="63" spans="1:10" s="1062" customFormat="1" ht="30" customHeight="1">
      <c r="A63" s="1191">
        <v>19</v>
      </c>
      <c r="B63" s="1194" t="s">
        <v>2607</v>
      </c>
      <c r="C63" s="1317" t="s">
        <v>689</v>
      </c>
      <c r="D63" s="1317" t="s">
        <v>2608</v>
      </c>
      <c r="E63" s="1135" t="s">
        <v>118</v>
      </c>
      <c r="F63" s="1309">
        <v>5000</v>
      </c>
      <c r="G63" s="1067">
        <v>5000</v>
      </c>
      <c r="H63" s="1309"/>
      <c r="I63" s="1312"/>
      <c r="J63" s="1067">
        <v>5000</v>
      </c>
    </row>
    <row r="64" spans="1:10" s="1062" customFormat="1" ht="39">
      <c r="A64" s="1191">
        <v>20</v>
      </c>
      <c r="B64" s="1147" t="s">
        <v>2970</v>
      </c>
      <c r="C64" s="1318" t="s">
        <v>572</v>
      </c>
      <c r="D64" s="1318" t="s">
        <v>2971</v>
      </c>
      <c r="E64" s="1135" t="s">
        <v>118</v>
      </c>
      <c r="F64" s="1309">
        <v>7000</v>
      </c>
      <c r="G64" s="1067">
        <v>5000</v>
      </c>
      <c r="H64" s="1309">
        <v>2000</v>
      </c>
      <c r="I64" s="1312"/>
      <c r="J64" s="1067">
        <v>5000</v>
      </c>
    </row>
    <row r="65" spans="1:10" s="1062" customFormat="1" ht="26">
      <c r="A65" s="1191">
        <v>21</v>
      </c>
      <c r="B65" s="1194" t="s">
        <v>2617</v>
      </c>
      <c r="C65" s="1318" t="s">
        <v>2604</v>
      </c>
      <c r="D65" s="1317" t="s">
        <v>2618</v>
      </c>
      <c r="E65" s="1135" t="s">
        <v>118</v>
      </c>
      <c r="F65" s="1309">
        <v>5000</v>
      </c>
      <c r="G65" s="1067">
        <v>5000</v>
      </c>
      <c r="H65" s="1309"/>
      <c r="I65" s="1312"/>
      <c r="J65" s="1067">
        <v>5000</v>
      </c>
    </row>
    <row r="66" spans="1:10" s="1062" customFormat="1" ht="30" customHeight="1">
      <c r="A66" s="1191">
        <v>22</v>
      </c>
      <c r="B66" s="1194" t="s">
        <v>2619</v>
      </c>
      <c r="C66" s="1318" t="s">
        <v>689</v>
      </c>
      <c r="D66" s="1317" t="s">
        <v>2620</v>
      </c>
      <c r="E66" s="1135" t="s">
        <v>118</v>
      </c>
      <c r="F66" s="1309">
        <v>4000</v>
      </c>
      <c r="G66" s="1067">
        <v>4000</v>
      </c>
      <c r="H66" s="1309"/>
      <c r="I66" s="1312"/>
      <c r="J66" s="1067">
        <v>4000</v>
      </c>
    </row>
    <row r="67" spans="1:10" s="1062" customFormat="1" ht="34.5">
      <c r="A67" s="1191">
        <v>23</v>
      </c>
      <c r="B67" s="1194" t="s">
        <v>2623</v>
      </c>
      <c r="C67" s="1318" t="s">
        <v>2594</v>
      </c>
      <c r="D67" s="1317" t="s">
        <v>2624</v>
      </c>
      <c r="E67" s="1135" t="s">
        <v>118</v>
      </c>
      <c r="F67" s="1309">
        <v>7450</v>
      </c>
      <c r="G67" s="1067">
        <v>6450</v>
      </c>
      <c r="H67" s="1309">
        <v>1000</v>
      </c>
      <c r="I67" s="1312"/>
      <c r="J67" s="1067">
        <v>6450</v>
      </c>
    </row>
    <row r="68" spans="1:10" s="1062" customFormat="1" ht="30" customHeight="1">
      <c r="A68" s="1191">
        <v>24</v>
      </c>
      <c r="B68" s="1194" t="s">
        <v>2625</v>
      </c>
      <c r="C68" s="1318" t="s">
        <v>2594</v>
      </c>
      <c r="D68" s="1317" t="s">
        <v>2626</v>
      </c>
      <c r="E68" s="1135" t="s">
        <v>118</v>
      </c>
      <c r="F68" s="1309">
        <v>4000</v>
      </c>
      <c r="G68" s="1067">
        <v>4000</v>
      </c>
      <c r="H68" s="1309"/>
      <c r="I68" s="1312"/>
      <c r="J68" s="1067">
        <v>4000</v>
      </c>
    </row>
    <row r="69" spans="1:10" s="1062" customFormat="1" ht="30" customHeight="1">
      <c r="A69" s="1191">
        <v>25</v>
      </c>
      <c r="B69" s="1194" t="s">
        <v>2627</v>
      </c>
      <c r="C69" s="1317" t="s">
        <v>2594</v>
      </c>
      <c r="D69" s="1317" t="s">
        <v>2628</v>
      </c>
      <c r="E69" s="1135" t="s">
        <v>118</v>
      </c>
      <c r="F69" s="1309">
        <v>1500</v>
      </c>
      <c r="G69" s="1067">
        <v>1500</v>
      </c>
      <c r="H69" s="1309"/>
      <c r="I69" s="1312"/>
      <c r="J69" s="1067">
        <v>1500</v>
      </c>
    </row>
    <row r="70" spans="1:10" s="1062" customFormat="1" ht="18" customHeight="1">
      <c r="A70" s="1191">
        <v>26</v>
      </c>
      <c r="B70" s="1194" t="s">
        <v>2629</v>
      </c>
      <c r="C70" s="1317" t="s">
        <v>2594</v>
      </c>
      <c r="D70" s="1317" t="s">
        <v>2628</v>
      </c>
      <c r="E70" s="1135" t="s">
        <v>118</v>
      </c>
      <c r="F70" s="1309">
        <v>2000</v>
      </c>
      <c r="G70" s="1067">
        <v>2000</v>
      </c>
      <c r="H70" s="1309"/>
      <c r="I70" s="1312"/>
      <c r="J70" s="1067">
        <v>2000</v>
      </c>
    </row>
    <row r="71" spans="1:10" s="1062" customFormat="1" ht="26">
      <c r="A71" s="1191">
        <v>27</v>
      </c>
      <c r="B71" s="1194" t="s">
        <v>2630</v>
      </c>
      <c r="C71" s="1317" t="s">
        <v>689</v>
      </c>
      <c r="D71" s="1317" t="s">
        <v>2631</v>
      </c>
      <c r="E71" s="1135" t="s">
        <v>118</v>
      </c>
      <c r="F71" s="1309">
        <v>1000</v>
      </c>
      <c r="G71" s="1067">
        <v>1000</v>
      </c>
      <c r="H71" s="1309"/>
      <c r="I71" s="1312"/>
      <c r="J71" s="1067">
        <v>1000</v>
      </c>
    </row>
    <row r="72" spans="1:10" s="1062" customFormat="1" ht="18" customHeight="1">
      <c r="A72" s="1130" t="s">
        <v>28</v>
      </c>
      <c r="B72" s="1195" t="s">
        <v>2632</v>
      </c>
      <c r="C72" s="1196"/>
      <c r="D72" s="1197"/>
      <c r="E72" s="1135"/>
      <c r="F72" s="1310">
        <f>SUM(F73:F118)</f>
        <v>219064.80412371131</v>
      </c>
      <c r="G72" s="1310">
        <f>SUM(G73:G118)</f>
        <v>212849</v>
      </c>
      <c r="H72" s="1310">
        <f>SUM(H73:H118)</f>
        <v>6755.0824742268051</v>
      </c>
      <c r="I72" s="1310">
        <f t="shared" ref="I72" si="3">SUM(I73:I118)</f>
        <v>0</v>
      </c>
      <c r="J72" s="1310">
        <f>SUM(J73:J118)</f>
        <v>212849</v>
      </c>
    </row>
    <row r="73" spans="1:10" s="1062" customFormat="1" ht="30" customHeight="1">
      <c r="A73" s="1311">
        <v>1</v>
      </c>
      <c r="B73" s="1319" t="s">
        <v>2633</v>
      </c>
      <c r="C73" s="1318" t="s">
        <v>235</v>
      </c>
      <c r="D73" s="1318" t="s">
        <v>2634</v>
      </c>
      <c r="E73" s="1135" t="s">
        <v>118</v>
      </c>
      <c r="F73" s="1312">
        <v>4123.7113402061859</v>
      </c>
      <c r="G73" s="1312">
        <v>4000</v>
      </c>
      <c r="H73" s="1312">
        <v>123.71134020618557</v>
      </c>
      <c r="I73" s="1312"/>
      <c r="J73" s="1312">
        <v>4000</v>
      </c>
    </row>
    <row r="74" spans="1:10" s="1062" customFormat="1" ht="26">
      <c r="A74" s="1311">
        <v>2</v>
      </c>
      <c r="B74" s="1319" t="s">
        <v>2635</v>
      </c>
      <c r="C74" s="1318" t="s">
        <v>235</v>
      </c>
      <c r="D74" s="1318" t="s">
        <v>2636</v>
      </c>
      <c r="E74" s="1135" t="s">
        <v>118</v>
      </c>
      <c r="F74" s="1312">
        <v>5670.1030927835054</v>
      </c>
      <c r="G74" s="1312">
        <v>5500</v>
      </c>
      <c r="H74" s="1312">
        <v>170.10309278350516</v>
      </c>
      <c r="I74" s="1312"/>
      <c r="J74" s="1312">
        <v>5500</v>
      </c>
    </row>
    <row r="75" spans="1:10" s="1062" customFormat="1" ht="26">
      <c r="A75" s="1311">
        <v>3</v>
      </c>
      <c r="B75" s="1319" t="s">
        <v>2637</v>
      </c>
      <c r="C75" s="1318" t="s">
        <v>218</v>
      </c>
      <c r="D75" s="1318" t="s">
        <v>2638</v>
      </c>
      <c r="E75" s="1135" t="s">
        <v>118</v>
      </c>
      <c r="F75" s="1312">
        <v>12371.134020618556</v>
      </c>
      <c r="G75" s="1312">
        <v>12000</v>
      </c>
      <c r="H75" s="1312">
        <v>371.13402061855669</v>
      </c>
      <c r="I75" s="1312"/>
      <c r="J75" s="1312">
        <v>12000</v>
      </c>
    </row>
    <row r="76" spans="1:10" s="1062" customFormat="1" ht="26">
      <c r="A76" s="1311">
        <v>4</v>
      </c>
      <c r="B76" s="1319" t="s">
        <v>2639</v>
      </c>
      <c r="C76" s="1318" t="s">
        <v>263</v>
      </c>
      <c r="D76" s="1318" t="s">
        <v>2640</v>
      </c>
      <c r="E76" s="1135" t="s">
        <v>118</v>
      </c>
      <c r="F76" s="1312">
        <v>15463.9175257732</v>
      </c>
      <c r="G76" s="1312">
        <v>15000</v>
      </c>
      <c r="H76" s="1312">
        <v>463.91752577319585</v>
      </c>
      <c r="I76" s="1312"/>
      <c r="J76" s="1312">
        <v>15000</v>
      </c>
    </row>
    <row r="77" spans="1:10" s="1062" customFormat="1" ht="30" customHeight="1">
      <c r="A77" s="1311">
        <v>5</v>
      </c>
      <c r="B77" s="1319" t="s">
        <v>2641</v>
      </c>
      <c r="C77" s="1318" t="s">
        <v>2642</v>
      </c>
      <c r="D77" s="1318" t="s">
        <v>2643</v>
      </c>
      <c r="E77" s="1135" t="s">
        <v>118</v>
      </c>
      <c r="F77" s="1312">
        <v>7216.4948453608249</v>
      </c>
      <c r="G77" s="1312">
        <v>7000</v>
      </c>
      <c r="H77" s="1312">
        <v>216.49484536082474</v>
      </c>
      <c r="I77" s="1312"/>
      <c r="J77" s="1312">
        <v>7000</v>
      </c>
    </row>
    <row r="78" spans="1:10" s="1062" customFormat="1" ht="26">
      <c r="A78" s="1311">
        <v>6</v>
      </c>
      <c r="B78" s="1319" t="s">
        <v>2644</v>
      </c>
      <c r="C78" s="1318" t="s">
        <v>219</v>
      </c>
      <c r="D78" s="1318" t="s">
        <v>2645</v>
      </c>
      <c r="E78" s="1135" t="s">
        <v>118</v>
      </c>
      <c r="F78" s="1312">
        <v>5154.6391752577319</v>
      </c>
      <c r="G78" s="1312">
        <v>5000</v>
      </c>
      <c r="H78" s="1312">
        <v>154.63917525773195</v>
      </c>
      <c r="I78" s="1312"/>
      <c r="J78" s="1312">
        <v>5000</v>
      </c>
    </row>
    <row r="79" spans="1:10" s="1062" customFormat="1" ht="26">
      <c r="A79" s="1311">
        <v>7</v>
      </c>
      <c r="B79" s="1319" t="s">
        <v>2646</v>
      </c>
      <c r="C79" s="1318" t="s">
        <v>2647</v>
      </c>
      <c r="D79" s="1318" t="s">
        <v>2648</v>
      </c>
      <c r="E79" s="1135" t="s">
        <v>118</v>
      </c>
      <c r="F79" s="1312">
        <v>5154.6391752577319</v>
      </c>
      <c r="G79" s="1312">
        <v>5000</v>
      </c>
      <c r="H79" s="1312">
        <v>154.63917525773195</v>
      </c>
      <c r="I79" s="1312"/>
      <c r="J79" s="1312">
        <v>5000</v>
      </c>
    </row>
    <row r="80" spans="1:10" s="1062" customFormat="1" ht="26">
      <c r="A80" s="1311">
        <v>8</v>
      </c>
      <c r="B80" s="1319" t="s">
        <v>2649</v>
      </c>
      <c r="C80" s="1318" t="s">
        <v>219</v>
      </c>
      <c r="D80" s="1318" t="s">
        <v>2650</v>
      </c>
      <c r="E80" s="1135" t="s">
        <v>118</v>
      </c>
      <c r="F80" s="1312">
        <v>2061.855670103093</v>
      </c>
      <c r="G80" s="1312">
        <v>2000</v>
      </c>
      <c r="H80" s="1312">
        <v>61.855670103092784</v>
      </c>
      <c r="I80" s="1312"/>
      <c r="J80" s="1312">
        <v>2000</v>
      </c>
    </row>
    <row r="81" spans="1:10" s="1062" customFormat="1" ht="26">
      <c r="A81" s="1311">
        <v>9</v>
      </c>
      <c r="B81" s="1319" t="s">
        <v>2651</v>
      </c>
      <c r="C81" s="1318" t="s">
        <v>2127</v>
      </c>
      <c r="D81" s="1318" t="s">
        <v>2652</v>
      </c>
      <c r="E81" s="1135" t="s">
        <v>118</v>
      </c>
      <c r="F81" s="1312">
        <v>2577.319587628866</v>
      </c>
      <c r="G81" s="1312">
        <v>2500</v>
      </c>
      <c r="H81" s="1312">
        <v>77.319587628865975</v>
      </c>
      <c r="I81" s="1312"/>
      <c r="J81" s="1312">
        <v>2500</v>
      </c>
    </row>
    <row r="82" spans="1:10" s="1062" customFormat="1" ht="26">
      <c r="A82" s="1311">
        <v>10</v>
      </c>
      <c r="B82" s="1319" t="s">
        <v>2653</v>
      </c>
      <c r="C82" s="1318" t="s">
        <v>213</v>
      </c>
      <c r="D82" s="1318" t="s">
        <v>2654</v>
      </c>
      <c r="E82" s="1135" t="s">
        <v>118</v>
      </c>
      <c r="F82" s="1312">
        <v>3092.783505154639</v>
      </c>
      <c r="G82" s="1312">
        <v>3000</v>
      </c>
      <c r="H82" s="1312">
        <v>92.783505154639172</v>
      </c>
      <c r="I82" s="1312"/>
      <c r="J82" s="1312">
        <v>3000</v>
      </c>
    </row>
    <row r="83" spans="1:10" s="1062" customFormat="1" ht="26">
      <c r="A83" s="1311">
        <v>11</v>
      </c>
      <c r="B83" s="1319" t="s">
        <v>2655</v>
      </c>
      <c r="C83" s="1318" t="s">
        <v>218</v>
      </c>
      <c r="D83" s="1318" t="s">
        <v>2656</v>
      </c>
      <c r="E83" s="1135" t="s">
        <v>118</v>
      </c>
      <c r="F83" s="1312">
        <v>2577.319587628866</v>
      </c>
      <c r="G83" s="1312">
        <v>2500</v>
      </c>
      <c r="H83" s="1312">
        <v>77.319587628865975</v>
      </c>
      <c r="I83" s="1312"/>
      <c r="J83" s="1312">
        <v>2500</v>
      </c>
    </row>
    <row r="84" spans="1:10" s="1062" customFormat="1" ht="26">
      <c r="A84" s="1311">
        <v>12</v>
      </c>
      <c r="B84" s="1319" t="s">
        <v>2657</v>
      </c>
      <c r="C84" s="1318" t="s">
        <v>210</v>
      </c>
      <c r="D84" s="1318" t="s">
        <v>2658</v>
      </c>
      <c r="E84" s="1135" t="s">
        <v>118</v>
      </c>
      <c r="F84" s="1312">
        <v>3608.2474226804125</v>
      </c>
      <c r="G84" s="1312">
        <v>3500</v>
      </c>
      <c r="H84" s="1312">
        <v>108.24742268041237</v>
      </c>
      <c r="I84" s="1312"/>
      <c r="J84" s="1312">
        <v>3500</v>
      </c>
    </row>
    <row r="85" spans="1:10" s="1062" customFormat="1" ht="30" customHeight="1">
      <c r="A85" s="1311">
        <v>13</v>
      </c>
      <c r="B85" s="1319" t="s">
        <v>2659</v>
      </c>
      <c r="C85" s="1318" t="s">
        <v>210</v>
      </c>
      <c r="D85" s="1318" t="s">
        <v>2660</v>
      </c>
      <c r="E85" s="1135" t="s">
        <v>118</v>
      </c>
      <c r="F85" s="1312">
        <v>3092.783505154639</v>
      </c>
      <c r="G85" s="1312">
        <v>3000</v>
      </c>
      <c r="H85" s="1312">
        <v>92.783505154639172</v>
      </c>
      <c r="I85" s="1312"/>
      <c r="J85" s="1312">
        <v>3000</v>
      </c>
    </row>
    <row r="86" spans="1:10" s="1062" customFormat="1" ht="30" customHeight="1">
      <c r="A86" s="1311">
        <v>14</v>
      </c>
      <c r="B86" s="1319" t="s">
        <v>2661</v>
      </c>
      <c r="C86" s="1318" t="s">
        <v>210</v>
      </c>
      <c r="D86" s="1318" t="s">
        <v>2662</v>
      </c>
      <c r="E86" s="1135" t="s">
        <v>118</v>
      </c>
      <c r="F86" s="1312">
        <v>3608.2474226804125</v>
      </c>
      <c r="G86" s="1312">
        <v>3500</v>
      </c>
      <c r="H86" s="1312">
        <v>108.24742268041237</v>
      </c>
      <c r="I86" s="1312"/>
      <c r="J86" s="1312">
        <v>3500</v>
      </c>
    </row>
    <row r="87" spans="1:10" s="1062" customFormat="1" ht="26">
      <c r="A87" s="1311">
        <v>15</v>
      </c>
      <c r="B87" s="1320" t="s">
        <v>2663</v>
      </c>
      <c r="C87" s="1318" t="s">
        <v>218</v>
      </c>
      <c r="D87" s="1318" t="s">
        <v>2634</v>
      </c>
      <c r="E87" s="1135" t="s">
        <v>118</v>
      </c>
      <c r="F87" s="1312">
        <v>4639.1752577319585</v>
      </c>
      <c r="G87" s="1312">
        <v>4500</v>
      </c>
      <c r="H87" s="1312">
        <v>139.17525773195877</v>
      </c>
      <c r="I87" s="1312"/>
      <c r="J87" s="1312">
        <v>4500</v>
      </c>
    </row>
    <row r="88" spans="1:10" s="1062" customFormat="1" ht="26">
      <c r="A88" s="1311">
        <v>16</v>
      </c>
      <c r="B88" s="1320" t="s">
        <v>2664</v>
      </c>
      <c r="C88" s="1318" t="s">
        <v>212</v>
      </c>
      <c r="D88" s="1318" t="s">
        <v>2665</v>
      </c>
      <c r="E88" s="1135" t="s">
        <v>118</v>
      </c>
      <c r="F88" s="1312">
        <v>4123.7113402061859</v>
      </c>
      <c r="G88" s="1312">
        <v>4000</v>
      </c>
      <c r="H88" s="1312">
        <v>123.71134020618557</v>
      </c>
      <c r="I88" s="1312"/>
      <c r="J88" s="1312">
        <v>4000</v>
      </c>
    </row>
    <row r="89" spans="1:10" s="1062" customFormat="1" ht="26">
      <c r="A89" s="1311">
        <v>17</v>
      </c>
      <c r="B89" s="1319" t="s">
        <v>2666</v>
      </c>
      <c r="C89" s="1318" t="s">
        <v>216</v>
      </c>
      <c r="D89" s="1318" t="s">
        <v>2667</v>
      </c>
      <c r="E89" s="1135" t="s">
        <v>118</v>
      </c>
      <c r="F89" s="1312">
        <v>3608.2474226804125</v>
      </c>
      <c r="G89" s="1312">
        <v>3500</v>
      </c>
      <c r="H89" s="1312">
        <v>108.24742268041237</v>
      </c>
      <c r="I89" s="1312"/>
      <c r="J89" s="1312">
        <v>3500</v>
      </c>
    </row>
    <row r="90" spans="1:10" s="1062" customFormat="1" ht="26">
      <c r="A90" s="1311">
        <v>18</v>
      </c>
      <c r="B90" s="1319" t="s">
        <v>2668</v>
      </c>
      <c r="C90" s="1318" t="s">
        <v>216</v>
      </c>
      <c r="D90" s="1318" t="s">
        <v>2669</v>
      </c>
      <c r="E90" s="1135" t="s">
        <v>118</v>
      </c>
      <c r="F90" s="1312">
        <v>6701.0309278350514</v>
      </c>
      <c r="G90" s="1312">
        <v>6500</v>
      </c>
      <c r="H90" s="1312">
        <v>201.03092783505156</v>
      </c>
      <c r="I90" s="1312"/>
      <c r="J90" s="1312">
        <v>6500</v>
      </c>
    </row>
    <row r="91" spans="1:10" s="1062" customFormat="1" ht="26">
      <c r="A91" s="1311">
        <v>19</v>
      </c>
      <c r="B91" s="1319" t="s">
        <v>2670</v>
      </c>
      <c r="C91" s="1318" t="s">
        <v>219</v>
      </c>
      <c r="D91" s="1318" t="s">
        <v>2671</v>
      </c>
      <c r="E91" s="1135" t="s">
        <v>118</v>
      </c>
      <c r="F91" s="1312">
        <v>3608.2474226804125</v>
      </c>
      <c r="G91" s="1312">
        <v>3500</v>
      </c>
      <c r="H91" s="1312">
        <v>108.24742268041237</v>
      </c>
      <c r="I91" s="1312"/>
      <c r="J91" s="1312">
        <v>3500</v>
      </c>
    </row>
    <row r="92" spans="1:10" s="1062" customFormat="1" ht="26">
      <c r="A92" s="1311">
        <v>20</v>
      </c>
      <c r="B92" s="1319" t="s">
        <v>2672</v>
      </c>
      <c r="C92" s="1318" t="s">
        <v>213</v>
      </c>
      <c r="D92" s="1318" t="s">
        <v>2673</v>
      </c>
      <c r="E92" s="1135" t="s">
        <v>118</v>
      </c>
      <c r="F92" s="1312">
        <v>4639.1752577319585</v>
      </c>
      <c r="G92" s="1312">
        <v>4500</v>
      </c>
      <c r="H92" s="1312">
        <v>139.17525773195877</v>
      </c>
      <c r="I92" s="1312"/>
      <c r="J92" s="1312">
        <v>4500</v>
      </c>
    </row>
    <row r="93" spans="1:10" s="1062" customFormat="1" ht="26">
      <c r="A93" s="1311">
        <v>21</v>
      </c>
      <c r="B93" s="1319" t="s">
        <v>2674</v>
      </c>
      <c r="C93" s="1318" t="s">
        <v>213</v>
      </c>
      <c r="D93" s="1318" t="s">
        <v>2675</v>
      </c>
      <c r="E93" s="1135" t="s">
        <v>118</v>
      </c>
      <c r="F93" s="1312">
        <v>2268.0412371134021</v>
      </c>
      <c r="G93" s="1312">
        <v>2200</v>
      </c>
      <c r="H93" s="1312">
        <v>68.041237113402062</v>
      </c>
      <c r="I93" s="1312"/>
      <c r="J93" s="1312">
        <v>2200</v>
      </c>
    </row>
    <row r="94" spans="1:10" s="1062" customFormat="1" ht="26">
      <c r="A94" s="1311">
        <v>22</v>
      </c>
      <c r="B94" s="1319" t="s">
        <v>2676</v>
      </c>
      <c r="C94" s="1318" t="s">
        <v>215</v>
      </c>
      <c r="D94" s="1318" t="s">
        <v>2677</v>
      </c>
      <c r="E94" s="1135" t="s">
        <v>118</v>
      </c>
      <c r="F94" s="1312">
        <v>3608.2474226804125</v>
      </c>
      <c r="G94" s="1312">
        <v>3500</v>
      </c>
      <c r="H94" s="1312">
        <v>108.24742268041237</v>
      </c>
      <c r="I94" s="1312"/>
      <c r="J94" s="1312">
        <v>3500</v>
      </c>
    </row>
    <row r="95" spans="1:10" s="1062" customFormat="1" ht="26">
      <c r="A95" s="1311">
        <v>23</v>
      </c>
      <c r="B95" s="1319" t="s">
        <v>2972</v>
      </c>
      <c r="C95" s="1318" t="s">
        <v>218</v>
      </c>
      <c r="D95" s="1318" t="s">
        <v>2678</v>
      </c>
      <c r="E95" s="1135" t="s">
        <v>118</v>
      </c>
      <c r="F95" s="1312">
        <v>2577.319587628866</v>
      </c>
      <c r="G95" s="1312">
        <v>2500</v>
      </c>
      <c r="H95" s="1312">
        <v>77.319587628865975</v>
      </c>
      <c r="I95" s="1312"/>
      <c r="J95" s="1312">
        <v>2500</v>
      </c>
    </row>
    <row r="96" spans="1:10" s="1062" customFormat="1" ht="26">
      <c r="A96" s="1311">
        <v>24</v>
      </c>
      <c r="B96" s="1319" t="s">
        <v>2973</v>
      </c>
      <c r="C96" s="1318" t="s">
        <v>229</v>
      </c>
      <c r="D96" s="1318" t="s">
        <v>2679</v>
      </c>
      <c r="E96" s="1135" t="s">
        <v>118</v>
      </c>
      <c r="F96" s="1312">
        <v>2577.319587628866</v>
      </c>
      <c r="G96" s="1312">
        <v>2500</v>
      </c>
      <c r="H96" s="1312">
        <v>77.319587628865975</v>
      </c>
      <c r="I96" s="1312"/>
      <c r="J96" s="1312">
        <v>2500</v>
      </c>
    </row>
    <row r="97" spans="1:10" s="1062" customFormat="1" ht="26">
      <c r="A97" s="1311">
        <v>25</v>
      </c>
      <c r="B97" s="1319" t="s">
        <v>2680</v>
      </c>
      <c r="C97" s="1318" t="s">
        <v>235</v>
      </c>
      <c r="D97" s="1318" t="s">
        <v>2681</v>
      </c>
      <c r="E97" s="1135" t="s">
        <v>118</v>
      </c>
      <c r="F97" s="1312">
        <v>2268.0412371134021</v>
      </c>
      <c r="G97" s="1312">
        <v>2200</v>
      </c>
      <c r="H97" s="1312">
        <v>68.041237113402062</v>
      </c>
      <c r="I97" s="1312"/>
      <c r="J97" s="1312">
        <v>2200</v>
      </c>
    </row>
    <row r="98" spans="1:10" s="1062" customFormat="1" ht="26">
      <c r="A98" s="1311">
        <v>26</v>
      </c>
      <c r="B98" s="1319" t="s">
        <v>2682</v>
      </c>
      <c r="C98" s="1318" t="s">
        <v>215</v>
      </c>
      <c r="D98" s="1318" t="s">
        <v>2662</v>
      </c>
      <c r="E98" s="1135" t="s">
        <v>118</v>
      </c>
      <c r="F98" s="1312">
        <v>2061.855670103093</v>
      </c>
      <c r="G98" s="1312">
        <v>2000</v>
      </c>
      <c r="H98" s="1312">
        <v>61.855670103092784</v>
      </c>
      <c r="I98" s="1312"/>
      <c r="J98" s="1312">
        <v>2000</v>
      </c>
    </row>
    <row r="99" spans="1:10" s="1062" customFormat="1" ht="30" customHeight="1">
      <c r="A99" s="1311">
        <v>27</v>
      </c>
      <c r="B99" s="1319" t="s">
        <v>2683</v>
      </c>
      <c r="C99" s="1318" t="s">
        <v>213</v>
      </c>
      <c r="D99" s="1318" t="s">
        <v>2684</v>
      </c>
      <c r="E99" s="1135" t="s">
        <v>118</v>
      </c>
      <c r="F99" s="1312">
        <v>2577.319587628866</v>
      </c>
      <c r="G99" s="1312">
        <v>2500</v>
      </c>
      <c r="H99" s="1312">
        <v>77.319587628865975</v>
      </c>
      <c r="I99" s="1312"/>
      <c r="J99" s="1312">
        <v>2500</v>
      </c>
    </row>
    <row r="100" spans="1:10" s="1062" customFormat="1" ht="30" customHeight="1">
      <c r="A100" s="1311">
        <v>28</v>
      </c>
      <c r="B100" s="1319" t="s">
        <v>2685</v>
      </c>
      <c r="C100" s="1318" t="s">
        <v>210</v>
      </c>
      <c r="D100" s="1318" t="s">
        <v>2686</v>
      </c>
      <c r="E100" s="1135" t="s">
        <v>118</v>
      </c>
      <c r="F100" s="1312">
        <v>3608.2474226804125</v>
      </c>
      <c r="G100" s="1312">
        <v>3500</v>
      </c>
      <c r="H100" s="1312">
        <v>108.24742268041237</v>
      </c>
      <c r="I100" s="1312"/>
      <c r="J100" s="1312">
        <v>3500</v>
      </c>
    </row>
    <row r="101" spans="1:10" s="1062" customFormat="1" ht="30" customHeight="1">
      <c r="A101" s="1311">
        <v>29</v>
      </c>
      <c r="B101" s="1320" t="s">
        <v>2687</v>
      </c>
      <c r="C101" s="1318" t="s">
        <v>212</v>
      </c>
      <c r="D101" s="1318" t="s">
        <v>2688</v>
      </c>
      <c r="E101" s="1135" t="s">
        <v>118</v>
      </c>
      <c r="F101" s="1312">
        <v>721.64948453608247</v>
      </c>
      <c r="G101" s="1312">
        <v>700</v>
      </c>
      <c r="H101" s="1312">
        <v>21.649484536082475</v>
      </c>
      <c r="I101" s="1312"/>
      <c r="J101" s="1312">
        <v>700</v>
      </c>
    </row>
    <row r="102" spans="1:10" s="1062" customFormat="1" ht="26">
      <c r="A102" s="1311">
        <v>30</v>
      </c>
      <c r="B102" s="1320" t="s">
        <v>2689</v>
      </c>
      <c r="C102" s="1318" t="s">
        <v>212</v>
      </c>
      <c r="D102" s="1318" t="s">
        <v>2688</v>
      </c>
      <c r="E102" s="1135" t="s">
        <v>118</v>
      </c>
      <c r="F102" s="1312">
        <v>721.64948453608247</v>
      </c>
      <c r="G102" s="1312">
        <v>700</v>
      </c>
      <c r="H102" s="1312">
        <v>21.649484536082475</v>
      </c>
      <c r="I102" s="1312"/>
      <c r="J102" s="1312">
        <v>700</v>
      </c>
    </row>
    <row r="103" spans="1:10" s="1062" customFormat="1" ht="26">
      <c r="A103" s="1311">
        <v>31</v>
      </c>
      <c r="B103" s="1320" t="s">
        <v>2690</v>
      </c>
      <c r="C103" s="1318" t="s">
        <v>212</v>
      </c>
      <c r="D103" s="1318" t="s">
        <v>2688</v>
      </c>
      <c r="E103" s="1135" t="s">
        <v>118</v>
      </c>
      <c r="F103" s="1312">
        <v>721.64948453608247</v>
      </c>
      <c r="G103" s="1312">
        <v>700</v>
      </c>
      <c r="H103" s="1312">
        <v>21.649484536082475</v>
      </c>
      <c r="I103" s="1312"/>
      <c r="J103" s="1312">
        <v>700</v>
      </c>
    </row>
    <row r="104" spans="1:10" s="1062" customFormat="1" ht="26">
      <c r="A104" s="1311">
        <v>32</v>
      </c>
      <c r="B104" s="1319" t="s">
        <v>2691</v>
      </c>
      <c r="C104" s="1318" t="s">
        <v>225</v>
      </c>
      <c r="D104" s="1318" t="s">
        <v>2692</v>
      </c>
      <c r="E104" s="1135" t="s">
        <v>118</v>
      </c>
      <c r="F104" s="1312">
        <v>8247.42268041237</v>
      </c>
      <c r="G104" s="1312">
        <v>8000</v>
      </c>
      <c r="H104" s="1312">
        <v>247.42268041237114</v>
      </c>
      <c r="I104" s="1312"/>
      <c r="J104" s="1312">
        <v>8000</v>
      </c>
    </row>
    <row r="105" spans="1:10" s="1062" customFormat="1" ht="26">
      <c r="A105" s="1311">
        <v>33</v>
      </c>
      <c r="B105" s="1319" t="s">
        <v>2817</v>
      </c>
      <c r="C105" s="1318" t="s">
        <v>229</v>
      </c>
      <c r="D105" s="1318" t="s">
        <v>2818</v>
      </c>
      <c r="E105" s="1135" t="s">
        <v>118</v>
      </c>
      <c r="F105" s="1312">
        <v>5155</v>
      </c>
      <c r="G105" s="1313">
        <v>5000</v>
      </c>
      <c r="H105" s="1313">
        <f t="shared" ref="H105:H106" si="4">3*G105/97</f>
        <v>154.63917525773195</v>
      </c>
      <c r="I105" s="1312"/>
      <c r="J105" s="1312">
        <v>5000</v>
      </c>
    </row>
    <row r="106" spans="1:10" s="1062" customFormat="1" ht="30" customHeight="1">
      <c r="A106" s="1311">
        <v>34</v>
      </c>
      <c r="B106" s="1319" t="s">
        <v>2819</v>
      </c>
      <c r="C106" s="1318" t="s">
        <v>220</v>
      </c>
      <c r="D106" s="1318" t="s">
        <v>2818</v>
      </c>
      <c r="E106" s="1135" t="s">
        <v>118</v>
      </c>
      <c r="F106" s="1312">
        <v>5155</v>
      </c>
      <c r="G106" s="1313">
        <v>5000</v>
      </c>
      <c r="H106" s="1313">
        <f t="shared" si="4"/>
        <v>154.63917525773195</v>
      </c>
      <c r="I106" s="1312"/>
      <c r="J106" s="1312">
        <v>5000</v>
      </c>
    </row>
    <row r="107" spans="1:10" s="1062" customFormat="1" ht="30" customHeight="1">
      <c r="A107" s="1311">
        <v>35</v>
      </c>
      <c r="B107" s="1319" t="s">
        <v>2693</v>
      </c>
      <c r="C107" s="1318" t="s">
        <v>225</v>
      </c>
      <c r="D107" s="1318" t="s">
        <v>2694</v>
      </c>
      <c r="E107" s="1135" t="s">
        <v>118</v>
      </c>
      <c r="F107" s="1312">
        <v>10178</v>
      </c>
      <c r="G107" s="1312">
        <v>10396</v>
      </c>
      <c r="H107" s="1312">
        <v>322</v>
      </c>
      <c r="I107" s="1312"/>
      <c r="J107" s="1312">
        <v>10396</v>
      </c>
    </row>
    <row r="108" spans="1:10" s="1062" customFormat="1" ht="30" customHeight="1">
      <c r="A108" s="1311">
        <v>36</v>
      </c>
      <c r="B108" s="1319" t="s">
        <v>2974</v>
      </c>
      <c r="C108" s="1318" t="s">
        <v>229</v>
      </c>
      <c r="D108" s="1318" t="s">
        <v>2695</v>
      </c>
      <c r="E108" s="1135" t="s">
        <v>118</v>
      </c>
      <c r="F108" s="1312">
        <v>3092.783505154639</v>
      </c>
      <c r="G108" s="1312">
        <v>3000</v>
      </c>
      <c r="H108" s="1312">
        <v>92.783505154639172</v>
      </c>
      <c r="I108" s="1312"/>
      <c r="J108" s="1312">
        <v>3000</v>
      </c>
    </row>
    <row r="109" spans="1:10" s="1062" customFormat="1" ht="26">
      <c r="A109" s="1311">
        <v>37</v>
      </c>
      <c r="B109" s="1319" t="s">
        <v>2975</v>
      </c>
      <c r="C109" s="1318" t="s">
        <v>229</v>
      </c>
      <c r="D109" s="1318" t="s">
        <v>2696</v>
      </c>
      <c r="E109" s="1135" t="s">
        <v>118</v>
      </c>
      <c r="F109" s="1312">
        <v>3092.783505154639</v>
      </c>
      <c r="G109" s="1312">
        <v>3000</v>
      </c>
      <c r="H109" s="1312">
        <v>92.783505154639172</v>
      </c>
      <c r="I109" s="1312"/>
      <c r="J109" s="1312">
        <v>3000</v>
      </c>
    </row>
    <row r="110" spans="1:10" s="1062" customFormat="1" ht="26">
      <c r="A110" s="1311">
        <v>38</v>
      </c>
      <c r="B110" s="1319" t="s">
        <v>2697</v>
      </c>
      <c r="C110" s="1318" t="s">
        <v>211</v>
      </c>
      <c r="D110" s="1318" t="s">
        <v>2698</v>
      </c>
      <c r="E110" s="1135" t="s">
        <v>118</v>
      </c>
      <c r="F110" s="1312">
        <v>2061.855670103093</v>
      </c>
      <c r="G110" s="1312">
        <v>2000</v>
      </c>
      <c r="H110" s="1312">
        <v>61.855670103092784</v>
      </c>
      <c r="I110" s="1312"/>
      <c r="J110" s="1312">
        <v>2000</v>
      </c>
    </row>
    <row r="111" spans="1:10" s="1062" customFormat="1" ht="26">
      <c r="A111" s="1311">
        <v>39</v>
      </c>
      <c r="B111" s="1319" t="s">
        <v>2699</v>
      </c>
      <c r="C111" s="1318" t="s">
        <v>216</v>
      </c>
      <c r="D111" s="1318" t="s">
        <v>2700</v>
      </c>
      <c r="E111" s="1135" t="s">
        <v>118</v>
      </c>
      <c r="F111" s="1312">
        <v>4123.7113402061859</v>
      </c>
      <c r="G111" s="1312">
        <v>4000</v>
      </c>
      <c r="H111" s="1312">
        <v>123.71134020618557</v>
      </c>
      <c r="I111" s="1312"/>
      <c r="J111" s="1312">
        <v>4000</v>
      </c>
    </row>
    <row r="112" spans="1:10" s="1062" customFormat="1" ht="26">
      <c r="A112" s="1311">
        <v>40</v>
      </c>
      <c r="B112" s="1319" t="s">
        <v>2701</v>
      </c>
      <c r="C112" s="1318" t="s">
        <v>214</v>
      </c>
      <c r="D112" s="1318" t="s">
        <v>2610</v>
      </c>
      <c r="E112" s="1135" t="s">
        <v>118</v>
      </c>
      <c r="F112" s="1312">
        <v>4123.7113402061859</v>
      </c>
      <c r="G112" s="1312">
        <v>4000</v>
      </c>
      <c r="H112" s="1312">
        <v>123.71134020618557</v>
      </c>
      <c r="I112" s="1312"/>
      <c r="J112" s="1312">
        <v>4000</v>
      </c>
    </row>
    <row r="113" spans="1:10" s="1062" customFormat="1" ht="26">
      <c r="A113" s="1311">
        <v>41</v>
      </c>
      <c r="B113" s="1319" t="s">
        <v>2702</v>
      </c>
      <c r="C113" s="1318" t="s">
        <v>263</v>
      </c>
      <c r="D113" s="1318" t="s">
        <v>2703</v>
      </c>
      <c r="E113" s="1135" t="s">
        <v>118</v>
      </c>
      <c r="F113" s="1312">
        <v>4639.1752577319585</v>
      </c>
      <c r="G113" s="1312">
        <v>4500</v>
      </c>
      <c r="H113" s="1312">
        <v>139.17525773195877</v>
      </c>
      <c r="I113" s="1312"/>
      <c r="J113" s="1312">
        <v>4500</v>
      </c>
    </row>
    <row r="114" spans="1:10" s="1062" customFormat="1" ht="26">
      <c r="A114" s="1311">
        <v>42</v>
      </c>
      <c r="B114" s="1319" t="s">
        <v>2704</v>
      </c>
      <c r="C114" s="1318" t="s">
        <v>212</v>
      </c>
      <c r="D114" s="1318" t="s">
        <v>2705</v>
      </c>
      <c r="E114" s="1135" t="s">
        <v>118</v>
      </c>
      <c r="F114" s="1312">
        <v>22680.412371134022</v>
      </c>
      <c r="G114" s="1312">
        <v>22000</v>
      </c>
      <c r="H114" s="1312">
        <v>680.41237113402065</v>
      </c>
      <c r="I114" s="1312"/>
      <c r="J114" s="1312">
        <v>22000</v>
      </c>
    </row>
    <row r="115" spans="1:10" s="1062" customFormat="1" ht="26">
      <c r="A115" s="1311">
        <v>43</v>
      </c>
      <c r="B115" s="1319" t="s">
        <v>2706</v>
      </c>
      <c r="C115" s="1318" t="s">
        <v>220</v>
      </c>
      <c r="D115" s="1318" t="s">
        <v>2707</v>
      </c>
      <c r="E115" s="1135" t="s">
        <v>118</v>
      </c>
      <c r="F115" s="1312">
        <v>2577.319587628866</v>
      </c>
      <c r="G115" s="1312">
        <v>2500</v>
      </c>
      <c r="H115" s="1312">
        <v>77.319587628865975</v>
      </c>
      <c r="I115" s="1312"/>
      <c r="J115" s="1312">
        <v>2500</v>
      </c>
    </row>
    <row r="116" spans="1:10" s="1062" customFormat="1" ht="26">
      <c r="A116" s="1311">
        <v>44</v>
      </c>
      <c r="B116" s="1319" t="s">
        <v>2708</v>
      </c>
      <c r="C116" s="1318" t="s">
        <v>220</v>
      </c>
      <c r="D116" s="1318" t="s">
        <v>2709</v>
      </c>
      <c r="E116" s="1135" t="s">
        <v>118</v>
      </c>
      <c r="F116" s="1312">
        <v>9450</v>
      </c>
      <c r="G116" s="1312">
        <v>9000</v>
      </c>
      <c r="H116" s="1312">
        <v>450</v>
      </c>
      <c r="I116" s="1312"/>
      <c r="J116" s="1312">
        <v>9000</v>
      </c>
    </row>
    <row r="117" spans="1:10" s="1062" customFormat="1" ht="18" customHeight="1">
      <c r="A117" s="1311">
        <v>45</v>
      </c>
      <c r="B117" s="1319" t="s">
        <v>2710</v>
      </c>
      <c r="C117" s="1318" t="s">
        <v>210</v>
      </c>
      <c r="D117" s="1318" t="s">
        <v>2711</v>
      </c>
      <c r="E117" s="1135" t="s">
        <v>118</v>
      </c>
      <c r="F117" s="1312">
        <v>3608.2474226804125</v>
      </c>
      <c r="G117" s="1312">
        <v>3500</v>
      </c>
      <c r="H117" s="1312">
        <v>108.24742268041237</v>
      </c>
      <c r="I117" s="1312"/>
      <c r="J117" s="1312">
        <v>3500</v>
      </c>
    </row>
    <row r="118" spans="1:10" s="1062" customFormat="1" ht="26">
      <c r="A118" s="1311">
        <v>46</v>
      </c>
      <c r="B118" s="1320" t="s">
        <v>2712</v>
      </c>
      <c r="C118" s="1318" t="s">
        <v>213</v>
      </c>
      <c r="D118" s="1318" t="s">
        <v>2713</v>
      </c>
      <c r="E118" s="1135" t="s">
        <v>118</v>
      </c>
      <c r="F118" s="1312">
        <v>4075.2577319587631</v>
      </c>
      <c r="G118" s="1312">
        <v>3953</v>
      </c>
      <c r="H118" s="1312">
        <v>122.25773195876289</v>
      </c>
      <c r="I118" s="1312"/>
      <c r="J118" s="1312">
        <v>3953</v>
      </c>
    </row>
    <row r="119" spans="1:10" s="1062" customFormat="1" ht="18" customHeight="1">
      <c r="A119" s="1130" t="s">
        <v>29</v>
      </c>
      <c r="B119" s="1195" t="s">
        <v>2714</v>
      </c>
      <c r="C119" s="1196"/>
      <c r="D119" s="1197"/>
      <c r="E119" s="1135"/>
      <c r="F119" s="1310">
        <f>SUM(F120:F146)</f>
        <v>223378</v>
      </c>
      <c r="G119" s="1310">
        <f>SUM(G120:G146)</f>
        <v>217378</v>
      </c>
      <c r="H119" s="1310">
        <f>SUM(H120:H146)</f>
        <v>6000</v>
      </c>
      <c r="I119" s="1310">
        <f>SUM(I120:I146)</f>
        <v>0</v>
      </c>
      <c r="J119" s="1310">
        <f>SUM(J120:J146)</f>
        <v>217378</v>
      </c>
    </row>
    <row r="120" spans="1:10" s="1062" customFormat="1" ht="26">
      <c r="A120" s="1191">
        <v>1</v>
      </c>
      <c r="B120" s="1200" t="s">
        <v>2951</v>
      </c>
      <c r="C120" s="1201" t="s">
        <v>2952</v>
      </c>
      <c r="D120" s="1198" t="s">
        <v>2954</v>
      </c>
      <c r="E120" s="1135" t="s">
        <v>118</v>
      </c>
      <c r="F120" s="1312">
        <v>8100</v>
      </c>
      <c r="G120" s="1312">
        <v>8100</v>
      </c>
      <c r="H120" s="1312"/>
      <c r="I120" s="1312"/>
      <c r="J120" s="1312">
        <v>8100</v>
      </c>
    </row>
    <row r="121" spans="1:10" s="1062" customFormat="1" ht="26">
      <c r="A121" s="1191">
        <v>2</v>
      </c>
      <c r="B121" s="1202" t="s">
        <v>2953</v>
      </c>
      <c r="C121" s="1135" t="s">
        <v>2952</v>
      </c>
      <c r="D121" s="1198" t="s">
        <v>2955</v>
      </c>
      <c r="E121" s="1135" t="s">
        <v>118</v>
      </c>
      <c r="F121" s="1312">
        <v>8900</v>
      </c>
      <c r="G121" s="1312">
        <v>8900</v>
      </c>
      <c r="H121" s="1312"/>
      <c r="I121" s="1312"/>
      <c r="J121" s="1312">
        <v>8900</v>
      </c>
    </row>
    <row r="122" spans="1:10" s="1062" customFormat="1" ht="26">
      <c r="A122" s="1191">
        <v>3</v>
      </c>
      <c r="B122" s="1200" t="s">
        <v>2717</v>
      </c>
      <c r="C122" s="1135" t="s">
        <v>454</v>
      </c>
      <c r="D122" s="1201" t="s">
        <v>2718</v>
      </c>
      <c r="E122" s="1135" t="s">
        <v>118</v>
      </c>
      <c r="F122" s="1312">
        <v>7000</v>
      </c>
      <c r="G122" s="1312">
        <v>7000</v>
      </c>
      <c r="H122" s="1312"/>
      <c r="I122" s="1312"/>
      <c r="J122" s="1312">
        <v>7000</v>
      </c>
    </row>
    <row r="123" spans="1:10" s="1062" customFormat="1" ht="26">
      <c r="A123" s="1191">
        <v>4</v>
      </c>
      <c r="B123" s="1202" t="s">
        <v>2719</v>
      </c>
      <c r="C123" s="1201" t="s">
        <v>454</v>
      </c>
      <c r="D123" s="1201" t="s">
        <v>2720</v>
      </c>
      <c r="E123" s="1135" t="s">
        <v>118</v>
      </c>
      <c r="F123" s="1312">
        <v>8000</v>
      </c>
      <c r="G123" s="1312">
        <v>8000</v>
      </c>
      <c r="H123" s="1312"/>
      <c r="I123" s="1312"/>
      <c r="J123" s="1312">
        <v>8000</v>
      </c>
    </row>
    <row r="124" spans="1:10" s="1062" customFormat="1" ht="26">
      <c r="A124" s="1191">
        <v>5</v>
      </c>
      <c r="B124" s="1200" t="s">
        <v>2721</v>
      </c>
      <c r="C124" s="1135" t="s">
        <v>459</v>
      </c>
      <c r="D124" s="1201" t="s">
        <v>2722</v>
      </c>
      <c r="E124" s="1135" t="s">
        <v>118</v>
      </c>
      <c r="F124" s="1312">
        <v>6000</v>
      </c>
      <c r="G124" s="1312">
        <v>6000</v>
      </c>
      <c r="H124" s="1312"/>
      <c r="I124" s="1312"/>
      <c r="J124" s="1312">
        <v>6000</v>
      </c>
    </row>
    <row r="125" spans="1:10" s="1062" customFormat="1" ht="26">
      <c r="A125" s="1191">
        <v>6</v>
      </c>
      <c r="B125" s="1202" t="s">
        <v>2723</v>
      </c>
      <c r="C125" s="1201" t="s">
        <v>456</v>
      </c>
      <c r="D125" s="1201" t="s">
        <v>2724</v>
      </c>
      <c r="E125" s="1135" t="s">
        <v>118</v>
      </c>
      <c r="F125" s="1312">
        <v>8000</v>
      </c>
      <c r="G125" s="1312">
        <v>8000</v>
      </c>
      <c r="H125" s="1312"/>
      <c r="I125" s="1312"/>
      <c r="J125" s="1312">
        <v>8000</v>
      </c>
    </row>
    <row r="126" spans="1:10" s="1062" customFormat="1" ht="39">
      <c r="A126" s="1191">
        <v>7</v>
      </c>
      <c r="B126" s="1202" t="s">
        <v>2725</v>
      </c>
      <c r="C126" s="1201" t="s">
        <v>2726</v>
      </c>
      <c r="D126" s="1201" t="s">
        <v>2727</v>
      </c>
      <c r="E126" s="1135" t="s">
        <v>118</v>
      </c>
      <c r="F126" s="1312">
        <v>25000</v>
      </c>
      <c r="G126" s="1312">
        <v>25000</v>
      </c>
      <c r="H126" s="1312"/>
      <c r="I126" s="1312"/>
      <c r="J126" s="1312">
        <v>25000</v>
      </c>
    </row>
    <row r="127" spans="1:10" s="1062" customFormat="1" ht="26">
      <c r="A127" s="1191">
        <v>8</v>
      </c>
      <c r="B127" s="1202" t="s">
        <v>2728</v>
      </c>
      <c r="C127" s="1201" t="s">
        <v>459</v>
      </c>
      <c r="D127" s="1201" t="s">
        <v>2729</v>
      </c>
      <c r="E127" s="1135" t="s">
        <v>118</v>
      </c>
      <c r="F127" s="1312">
        <v>18000</v>
      </c>
      <c r="G127" s="1312">
        <v>15000</v>
      </c>
      <c r="H127" s="1312">
        <v>3000</v>
      </c>
      <c r="I127" s="1312"/>
      <c r="J127" s="1312">
        <v>15000</v>
      </c>
    </row>
    <row r="128" spans="1:10" s="1062" customFormat="1" ht="39">
      <c r="A128" s="1191">
        <v>9</v>
      </c>
      <c r="B128" s="1202" t="s">
        <v>2730</v>
      </c>
      <c r="C128" s="1201" t="s">
        <v>2731</v>
      </c>
      <c r="D128" s="1201" t="s">
        <v>2732</v>
      </c>
      <c r="E128" s="1135" t="s">
        <v>118</v>
      </c>
      <c r="F128" s="1312">
        <v>36500</v>
      </c>
      <c r="G128" s="1312">
        <v>36500</v>
      </c>
      <c r="H128" s="1312"/>
      <c r="I128" s="1312"/>
      <c r="J128" s="1312">
        <v>36500</v>
      </c>
    </row>
    <row r="129" spans="1:10" s="1062" customFormat="1" ht="26">
      <c r="A129" s="1191">
        <v>10</v>
      </c>
      <c r="B129" s="1202" t="s">
        <v>2733</v>
      </c>
      <c r="C129" s="1201" t="s">
        <v>459</v>
      </c>
      <c r="D129" s="1201" t="s">
        <v>2734</v>
      </c>
      <c r="E129" s="1135" t="s">
        <v>118</v>
      </c>
      <c r="F129" s="1312">
        <v>13100</v>
      </c>
      <c r="G129" s="1312">
        <v>13100</v>
      </c>
      <c r="H129" s="1312"/>
      <c r="I129" s="1312"/>
      <c r="J129" s="1312">
        <v>13100</v>
      </c>
    </row>
    <row r="130" spans="1:10" s="1062" customFormat="1" ht="26">
      <c r="A130" s="1191">
        <v>11</v>
      </c>
      <c r="B130" s="1202" t="s">
        <v>2735</v>
      </c>
      <c r="C130" s="1201" t="s">
        <v>2715</v>
      </c>
      <c r="D130" s="1201" t="s">
        <v>2736</v>
      </c>
      <c r="E130" s="1135" t="s">
        <v>118</v>
      </c>
      <c r="F130" s="1312">
        <v>12000</v>
      </c>
      <c r="G130" s="1312">
        <v>12000</v>
      </c>
      <c r="H130" s="1312"/>
      <c r="I130" s="1312"/>
      <c r="J130" s="1312">
        <v>12000</v>
      </c>
    </row>
    <row r="131" spans="1:10" s="1062" customFormat="1" ht="26">
      <c r="A131" s="1191">
        <v>12</v>
      </c>
      <c r="B131" s="1200" t="s">
        <v>2737</v>
      </c>
      <c r="C131" s="1199" t="s">
        <v>2738</v>
      </c>
      <c r="D131" s="1198" t="s">
        <v>2739</v>
      </c>
      <c r="E131" s="1135" t="s">
        <v>118</v>
      </c>
      <c r="F131" s="1312">
        <v>3478</v>
      </c>
      <c r="G131" s="1312">
        <v>3478</v>
      </c>
      <c r="H131" s="1312"/>
      <c r="I131" s="1312"/>
      <c r="J131" s="1312">
        <v>3478</v>
      </c>
    </row>
    <row r="132" spans="1:10" s="1062" customFormat="1" ht="26">
      <c r="A132" s="1191">
        <v>13</v>
      </c>
      <c r="B132" s="1200" t="s">
        <v>2740</v>
      </c>
      <c r="C132" s="1201" t="s">
        <v>2741</v>
      </c>
      <c r="D132" s="1198" t="s">
        <v>2742</v>
      </c>
      <c r="E132" s="1135" t="s">
        <v>118</v>
      </c>
      <c r="F132" s="1312">
        <v>4000</v>
      </c>
      <c r="G132" s="1312">
        <v>4000</v>
      </c>
      <c r="H132" s="1312"/>
      <c r="I132" s="1312"/>
      <c r="J132" s="1312">
        <v>4000</v>
      </c>
    </row>
    <row r="133" spans="1:10" s="1062" customFormat="1" ht="26">
      <c r="A133" s="1191">
        <v>14</v>
      </c>
      <c r="B133" s="1200" t="s">
        <v>2743</v>
      </c>
      <c r="C133" s="1201" t="s">
        <v>459</v>
      </c>
      <c r="D133" s="1198" t="s">
        <v>2744</v>
      </c>
      <c r="E133" s="1135" t="s">
        <v>118</v>
      </c>
      <c r="F133" s="1312">
        <v>3000</v>
      </c>
      <c r="G133" s="1312">
        <v>3000</v>
      </c>
      <c r="H133" s="1312"/>
      <c r="I133" s="1312"/>
      <c r="J133" s="1312">
        <v>3000</v>
      </c>
    </row>
    <row r="134" spans="1:10" s="1062" customFormat="1" ht="26">
      <c r="A134" s="1191">
        <v>15</v>
      </c>
      <c r="B134" s="1200" t="s">
        <v>2745</v>
      </c>
      <c r="C134" s="1201" t="s">
        <v>2715</v>
      </c>
      <c r="D134" s="1198" t="s">
        <v>2746</v>
      </c>
      <c r="E134" s="1135" t="s">
        <v>118</v>
      </c>
      <c r="F134" s="1312">
        <v>3000</v>
      </c>
      <c r="G134" s="1312">
        <v>3000</v>
      </c>
      <c r="H134" s="1312"/>
      <c r="I134" s="1312"/>
      <c r="J134" s="1312">
        <v>3000</v>
      </c>
    </row>
    <row r="135" spans="1:10" s="1062" customFormat="1" ht="39">
      <c r="A135" s="1191">
        <v>16</v>
      </c>
      <c r="B135" s="1200" t="s">
        <v>2747</v>
      </c>
      <c r="C135" s="1135" t="s">
        <v>456</v>
      </c>
      <c r="D135" s="1201" t="s">
        <v>2748</v>
      </c>
      <c r="E135" s="1135" t="s">
        <v>118</v>
      </c>
      <c r="F135" s="1312">
        <v>3000</v>
      </c>
      <c r="G135" s="1312">
        <v>3000</v>
      </c>
      <c r="H135" s="1312"/>
      <c r="I135" s="1312"/>
      <c r="J135" s="1312">
        <v>3000</v>
      </c>
    </row>
    <row r="136" spans="1:10" s="1062" customFormat="1" ht="26">
      <c r="A136" s="1191">
        <v>20</v>
      </c>
      <c r="B136" s="1202" t="s">
        <v>2750</v>
      </c>
      <c r="C136" s="1201" t="s">
        <v>2741</v>
      </c>
      <c r="D136" s="1201" t="s">
        <v>2751</v>
      </c>
      <c r="E136" s="1135" t="s">
        <v>118</v>
      </c>
      <c r="F136" s="1312">
        <v>6000</v>
      </c>
      <c r="G136" s="1312">
        <v>6000</v>
      </c>
      <c r="H136" s="1312"/>
      <c r="I136" s="1312"/>
      <c r="J136" s="1312">
        <v>6000</v>
      </c>
    </row>
    <row r="137" spans="1:10" s="1062" customFormat="1" ht="52">
      <c r="A137" s="1191">
        <v>21</v>
      </c>
      <c r="B137" s="1202" t="s">
        <v>2752</v>
      </c>
      <c r="C137" s="1201" t="s">
        <v>2753</v>
      </c>
      <c r="D137" s="1201" t="s">
        <v>2754</v>
      </c>
      <c r="E137" s="1135" t="s">
        <v>118</v>
      </c>
      <c r="F137" s="1312">
        <v>11000</v>
      </c>
      <c r="G137" s="1312">
        <v>8000</v>
      </c>
      <c r="H137" s="1312">
        <v>3000</v>
      </c>
      <c r="I137" s="1312"/>
      <c r="J137" s="1312">
        <v>8000</v>
      </c>
    </row>
    <row r="138" spans="1:10" s="1062" customFormat="1" ht="39">
      <c r="A138" s="1191">
        <v>22</v>
      </c>
      <c r="B138" s="1202" t="s">
        <v>431</v>
      </c>
      <c r="C138" s="1201" t="s">
        <v>2755</v>
      </c>
      <c r="D138" s="1201" t="s">
        <v>2756</v>
      </c>
      <c r="E138" s="1135" t="s">
        <v>118</v>
      </c>
      <c r="F138" s="1312">
        <v>14000</v>
      </c>
      <c r="G138" s="1312">
        <v>14000</v>
      </c>
      <c r="H138" s="1312"/>
      <c r="I138" s="1312"/>
      <c r="J138" s="1312">
        <v>14000</v>
      </c>
    </row>
    <row r="139" spans="1:10" s="1062" customFormat="1" ht="26">
      <c r="A139" s="1191">
        <v>23</v>
      </c>
      <c r="B139" s="1202" t="s">
        <v>2757</v>
      </c>
      <c r="C139" s="1201" t="s">
        <v>456</v>
      </c>
      <c r="D139" s="1201" t="s">
        <v>2758</v>
      </c>
      <c r="E139" s="1135" t="s">
        <v>118</v>
      </c>
      <c r="F139" s="1312">
        <v>9000</v>
      </c>
      <c r="G139" s="1312">
        <v>9000</v>
      </c>
      <c r="H139" s="1312"/>
      <c r="I139" s="1312"/>
      <c r="J139" s="1312">
        <v>9000</v>
      </c>
    </row>
    <row r="140" spans="1:10" s="1062" customFormat="1" ht="26">
      <c r="A140" s="1191">
        <v>24</v>
      </c>
      <c r="B140" s="1200" t="s">
        <v>2759</v>
      </c>
      <c r="C140" s="1135" t="s">
        <v>454</v>
      </c>
      <c r="D140" s="1198" t="s">
        <v>2760</v>
      </c>
      <c r="E140" s="1135" t="s">
        <v>118</v>
      </c>
      <c r="F140" s="1312">
        <v>1700</v>
      </c>
      <c r="G140" s="1312">
        <v>1700</v>
      </c>
      <c r="H140" s="1312"/>
      <c r="I140" s="1312"/>
      <c r="J140" s="1312">
        <v>1700</v>
      </c>
    </row>
    <row r="141" spans="1:10" s="1062" customFormat="1" ht="26">
      <c r="A141" s="1191">
        <v>25</v>
      </c>
      <c r="B141" s="1200" t="s">
        <v>2761</v>
      </c>
      <c r="C141" s="1135" t="s">
        <v>454</v>
      </c>
      <c r="D141" s="1198" t="s">
        <v>2762</v>
      </c>
      <c r="E141" s="1135" t="s">
        <v>118</v>
      </c>
      <c r="F141" s="1312">
        <v>1600</v>
      </c>
      <c r="G141" s="1312">
        <v>1600</v>
      </c>
      <c r="H141" s="1312"/>
      <c r="I141" s="1312"/>
      <c r="J141" s="1312">
        <v>1600</v>
      </c>
    </row>
    <row r="142" spans="1:10" s="1062" customFormat="1" ht="26">
      <c r="A142" s="1191">
        <v>26</v>
      </c>
      <c r="B142" s="1200" t="s">
        <v>2763</v>
      </c>
      <c r="C142" s="1135" t="s">
        <v>454</v>
      </c>
      <c r="D142" s="1198" t="s">
        <v>2764</v>
      </c>
      <c r="E142" s="1135" t="s">
        <v>118</v>
      </c>
      <c r="F142" s="1312">
        <v>1800</v>
      </c>
      <c r="G142" s="1312">
        <v>1800</v>
      </c>
      <c r="H142" s="1312"/>
      <c r="I142" s="1312"/>
      <c r="J142" s="1312">
        <v>1800</v>
      </c>
    </row>
    <row r="143" spans="1:10" s="1062" customFormat="1" ht="26">
      <c r="A143" s="1191">
        <v>27</v>
      </c>
      <c r="B143" s="1200" t="s">
        <v>2765</v>
      </c>
      <c r="C143" s="1201" t="s">
        <v>2741</v>
      </c>
      <c r="D143" s="1198" t="s">
        <v>2766</v>
      </c>
      <c r="E143" s="1135" t="s">
        <v>118</v>
      </c>
      <c r="F143" s="1312">
        <v>1700</v>
      </c>
      <c r="G143" s="1312">
        <v>1700</v>
      </c>
      <c r="H143" s="1312"/>
      <c r="I143" s="1312"/>
      <c r="J143" s="1312">
        <v>1700</v>
      </c>
    </row>
    <row r="144" spans="1:10" s="1062" customFormat="1" ht="26">
      <c r="A144" s="1191">
        <v>28</v>
      </c>
      <c r="B144" s="1200" t="s">
        <v>2767</v>
      </c>
      <c r="C144" s="1201" t="s">
        <v>459</v>
      </c>
      <c r="D144" s="1198" t="s">
        <v>2768</v>
      </c>
      <c r="E144" s="1135" t="s">
        <v>118</v>
      </c>
      <c r="F144" s="1312">
        <v>2000</v>
      </c>
      <c r="G144" s="1312">
        <v>2000</v>
      </c>
      <c r="H144" s="1312"/>
      <c r="I144" s="1312"/>
      <c r="J144" s="1312">
        <v>2000</v>
      </c>
    </row>
    <row r="145" spans="1:10" s="1062" customFormat="1" ht="26">
      <c r="A145" s="1191">
        <v>29</v>
      </c>
      <c r="B145" s="1200" t="s">
        <v>2769</v>
      </c>
      <c r="C145" s="1135" t="s">
        <v>454</v>
      </c>
      <c r="D145" s="1198" t="s">
        <v>2770</v>
      </c>
      <c r="E145" s="1135" t="s">
        <v>118</v>
      </c>
      <c r="F145" s="1312">
        <v>2000</v>
      </c>
      <c r="G145" s="1312">
        <v>2000</v>
      </c>
      <c r="H145" s="1312"/>
      <c r="I145" s="1312"/>
      <c r="J145" s="1312">
        <v>2000</v>
      </c>
    </row>
    <row r="146" spans="1:10" s="1062" customFormat="1" ht="39">
      <c r="A146" s="1191">
        <v>30</v>
      </c>
      <c r="B146" s="1203" t="s">
        <v>2771</v>
      </c>
      <c r="C146" s="1135" t="s">
        <v>454</v>
      </c>
      <c r="D146" s="1201" t="s">
        <v>2772</v>
      </c>
      <c r="E146" s="1135" t="s">
        <v>118</v>
      </c>
      <c r="F146" s="1312">
        <v>5500</v>
      </c>
      <c r="G146" s="1312">
        <v>5500</v>
      </c>
      <c r="H146" s="1312"/>
      <c r="I146" s="1312"/>
      <c r="J146" s="1312">
        <v>5500</v>
      </c>
    </row>
    <row r="147" spans="1:10" s="1062" customFormat="1" ht="26">
      <c r="A147" s="1069" t="s">
        <v>38</v>
      </c>
      <c r="B147" s="1204" t="s">
        <v>2545</v>
      </c>
      <c r="C147" s="1196"/>
      <c r="D147" s="1196"/>
      <c r="E147" s="1196"/>
      <c r="F147" s="1314">
        <f>F148+F166</f>
        <v>86984</v>
      </c>
      <c r="G147" s="1314">
        <f t="shared" ref="G147:J147" si="5">G148+G166</f>
        <v>86984</v>
      </c>
      <c r="H147" s="1314">
        <f t="shared" si="5"/>
        <v>0</v>
      </c>
      <c r="I147" s="1314">
        <f t="shared" si="5"/>
        <v>0</v>
      </c>
      <c r="J147" s="1314">
        <f t="shared" si="5"/>
        <v>86984</v>
      </c>
    </row>
    <row r="148" spans="1:10" s="1062" customFormat="1" ht="26">
      <c r="A148" s="1069" t="s">
        <v>8</v>
      </c>
      <c r="B148" s="1204" t="s">
        <v>2773</v>
      </c>
      <c r="C148" s="1196"/>
      <c r="D148" s="1196"/>
      <c r="E148" s="1196"/>
      <c r="F148" s="1314">
        <f>F149+F152+F154+F156+F158+F160+F162+F164</f>
        <v>77506</v>
      </c>
      <c r="G148" s="1314">
        <f>G149+G152+G154+G156+G158+G160+G162+G164</f>
        <v>77506</v>
      </c>
      <c r="H148" s="1314">
        <f t="shared" ref="H148:J148" si="6">H149+H152+H154+H156+H158+H160+H162+H164</f>
        <v>0</v>
      </c>
      <c r="I148" s="1314">
        <f t="shared" si="6"/>
        <v>0</v>
      </c>
      <c r="J148" s="1314">
        <f t="shared" si="6"/>
        <v>77506</v>
      </c>
    </row>
    <row r="149" spans="1:10" s="1127" customFormat="1" ht="18" customHeight="1">
      <c r="A149" s="1070">
        <v>1</v>
      </c>
      <c r="B149" s="1205" t="s">
        <v>1928</v>
      </c>
      <c r="C149" s="1206"/>
      <c r="D149" s="1207"/>
      <c r="E149" s="1207"/>
      <c r="F149" s="1315">
        <f>F150+F151</f>
        <v>31001</v>
      </c>
      <c r="G149" s="1315">
        <f t="shared" ref="G149:J149" si="7">G150+G151</f>
        <v>31001</v>
      </c>
      <c r="H149" s="1315">
        <f t="shared" si="7"/>
        <v>0</v>
      </c>
      <c r="I149" s="1315">
        <f t="shared" si="7"/>
        <v>0</v>
      </c>
      <c r="J149" s="1315">
        <f t="shared" si="7"/>
        <v>31001</v>
      </c>
    </row>
    <row r="150" spans="1:10" s="1068" customFormat="1" ht="26">
      <c r="A150" s="1070" t="s">
        <v>742</v>
      </c>
      <c r="B150" s="1208" t="s">
        <v>2820</v>
      </c>
      <c r="C150" s="1206" t="s">
        <v>2774</v>
      </c>
      <c r="D150" s="1207"/>
      <c r="E150" s="1135" t="s">
        <v>118</v>
      </c>
      <c r="F150" s="1315">
        <v>14467</v>
      </c>
      <c r="G150" s="1315">
        <v>14467</v>
      </c>
      <c r="H150" s="1315"/>
      <c r="I150" s="1315"/>
      <c r="J150" s="1315">
        <v>14467</v>
      </c>
    </row>
    <row r="151" spans="1:10" s="1131" customFormat="1" ht="26">
      <c r="A151" s="1070" t="s">
        <v>742</v>
      </c>
      <c r="B151" s="1208" t="s">
        <v>2821</v>
      </c>
      <c r="C151" s="1206" t="s">
        <v>2774</v>
      </c>
      <c r="D151" s="1206" t="s">
        <v>2822</v>
      </c>
      <c r="E151" s="1135" t="s">
        <v>118</v>
      </c>
      <c r="F151" s="1315">
        <v>16534</v>
      </c>
      <c r="G151" s="1315">
        <v>16534</v>
      </c>
      <c r="H151" s="1315"/>
      <c r="I151" s="1315"/>
      <c r="J151" s="1315">
        <v>16534</v>
      </c>
    </row>
    <row r="152" spans="1:10" s="1068" customFormat="1" ht="18" customHeight="1">
      <c r="A152" s="1070">
        <v>2</v>
      </c>
      <c r="B152" s="1205" t="s">
        <v>23</v>
      </c>
      <c r="C152" s="1206"/>
      <c r="D152" s="1207"/>
      <c r="E152" s="1207"/>
      <c r="F152" s="1315">
        <v>6495</v>
      </c>
      <c r="G152" s="1315">
        <v>6495</v>
      </c>
      <c r="H152" s="1315"/>
      <c r="I152" s="1315"/>
      <c r="J152" s="1315">
        <v>6495</v>
      </c>
    </row>
    <row r="153" spans="1:10" s="1068" customFormat="1" ht="26">
      <c r="A153" s="1070"/>
      <c r="B153" s="1205" t="s">
        <v>2823</v>
      </c>
      <c r="C153" s="1206" t="s">
        <v>2775</v>
      </c>
      <c r="D153" s="1207"/>
      <c r="E153" s="1135" t="s">
        <v>118</v>
      </c>
      <c r="F153" s="1315">
        <v>6495</v>
      </c>
      <c r="G153" s="1315">
        <v>6495</v>
      </c>
      <c r="H153" s="1315"/>
      <c r="I153" s="1315"/>
      <c r="J153" s="1315">
        <v>6495</v>
      </c>
    </row>
    <row r="154" spans="1:10" s="1131" customFormat="1" ht="18" customHeight="1">
      <c r="A154" s="1070">
        <v>3</v>
      </c>
      <c r="B154" s="1205" t="s">
        <v>21</v>
      </c>
      <c r="C154" s="1206"/>
      <c r="D154" s="1207"/>
      <c r="E154" s="1207"/>
      <c r="F154" s="1315">
        <v>5864</v>
      </c>
      <c r="G154" s="1315">
        <v>5864</v>
      </c>
      <c r="H154" s="1315"/>
      <c r="I154" s="1315"/>
      <c r="J154" s="1315">
        <v>5864</v>
      </c>
    </row>
    <row r="155" spans="1:10" s="1068" customFormat="1" ht="26">
      <c r="A155" s="1070"/>
      <c r="B155" s="1205" t="s">
        <v>2823</v>
      </c>
      <c r="C155" s="1206" t="s">
        <v>2776</v>
      </c>
      <c r="D155" s="1207"/>
      <c r="E155" s="1135" t="s">
        <v>118</v>
      </c>
      <c r="F155" s="1315">
        <v>5864</v>
      </c>
      <c r="G155" s="1315">
        <v>5864</v>
      </c>
      <c r="H155" s="1315"/>
      <c r="I155" s="1315"/>
      <c r="J155" s="1315">
        <v>5864</v>
      </c>
    </row>
    <row r="156" spans="1:10" s="1131" customFormat="1" ht="18" customHeight="1">
      <c r="A156" s="1070">
        <v>4</v>
      </c>
      <c r="B156" s="1205" t="s">
        <v>19</v>
      </c>
      <c r="C156" s="1206"/>
      <c r="D156" s="1207"/>
      <c r="E156" s="1207"/>
      <c r="F156" s="1315">
        <v>6705</v>
      </c>
      <c r="G156" s="1315">
        <v>6705</v>
      </c>
      <c r="H156" s="1315"/>
      <c r="I156" s="1315"/>
      <c r="J156" s="1315">
        <v>6705</v>
      </c>
    </row>
    <row r="157" spans="1:10" s="1068" customFormat="1" ht="26">
      <c r="A157" s="1070"/>
      <c r="B157" s="1205" t="s">
        <v>2823</v>
      </c>
      <c r="C157" s="1206" t="s">
        <v>2777</v>
      </c>
      <c r="D157" s="1207"/>
      <c r="E157" s="1135" t="s">
        <v>118</v>
      </c>
      <c r="F157" s="1315">
        <v>6705</v>
      </c>
      <c r="G157" s="1315">
        <v>6705</v>
      </c>
      <c r="H157" s="1315"/>
      <c r="I157" s="1315"/>
      <c r="J157" s="1315">
        <v>6705</v>
      </c>
    </row>
    <row r="158" spans="1:10" s="1131" customFormat="1" ht="18" customHeight="1">
      <c r="A158" s="1070">
        <v>5</v>
      </c>
      <c r="B158" s="1205" t="s">
        <v>17</v>
      </c>
      <c r="C158" s="1206"/>
      <c r="D158" s="1207"/>
      <c r="E158" s="1207"/>
      <c r="F158" s="1315">
        <v>7120</v>
      </c>
      <c r="G158" s="1315">
        <v>7120</v>
      </c>
      <c r="H158" s="1315"/>
      <c r="I158" s="1315"/>
      <c r="J158" s="1315">
        <v>7120</v>
      </c>
    </row>
    <row r="159" spans="1:10" s="1068" customFormat="1" ht="26">
      <c r="A159" s="1070"/>
      <c r="B159" s="1205" t="s">
        <v>2823</v>
      </c>
      <c r="C159" s="1206" t="s">
        <v>2778</v>
      </c>
      <c r="D159" s="1207"/>
      <c r="E159" s="1135" t="s">
        <v>118</v>
      </c>
      <c r="F159" s="1315">
        <v>7120</v>
      </c>
      <c r="G159" s="1315">
        <v>7120</v>
      </c>
      <c r="H159" s="1315"/>
      <c r="I159" s="1315"/>
      <c r="J159" s="1315">
        <v>7120</v>
      </c>
    </row>
    <row r="160" spans="1:10" s="1131" customFormat="1" ht="18" customHeight="1">
      <c r="A160" s="1070">
        <v>6</v>
      </c>
      <c r="B160" s="1205" t="s">
        <v>15</v>
      </c>
      <c r="C160" s="1206"/>
      <c r="D160" s="1207"/>
      <c r="E160" s="1207"/>
      <c r="F160" s="1315">
        <v>7120</v>
      </c>
      <c r="G160" s="1315">
        <v>7120</v>
      </c>
      <c r="H160" s="1315"/>
      <c r="I160" s="1315"/>
      <c r="J160" s="1315">
        <v>7120</v>
      </c>
    </row>
    <row r="161" spans="1:10" s="1068" customFormat="1" ht="26">
      <c r="A161" s="1070"/>
      <c r="B161" s="1205" t="s">
        <v>2823</v>
      </c>
      <c r="C161" s="1206" t="s">
        <v>2779</v>
      </c>
      <c r="D161" s="1207"/>
      <c r="E161" s="1135" t="s">
        <v>118</v>
      </c>
      <c r="F161" s="1315">
        <v>7120</v>
      </c>
      <c r="G161" s="1315">
        <v>7120</v>
      </c>
      <c r="H161" s="1315"/>
      <c r="I161" s="1315"/>
      <c r="J161" s="1315">
        <v>7120</v>
      </c>
    </row>
    <row r="162" spans="1:10" s="1131" customFormat="1" ht="18" customHeight="1">
      <c r="A162" s="1070">
        <v>7</v>
      </c>
      <c r="B162" s="1205" t="s">
        <v>13</v>
      </c>
      <c r="C162" s="1206"/>
      <c r="D162" s="1207"/>
      <c r="E162" s="1207"/>
      <c r="F162" s="1315">
        <v>7120</v>
      </c>
      <c r="G162" s="1315">
        <v>7120</v>
      </c>
      <c r="H162" s="1315"/>
      <c r="I162" s="1315"/>
      <c r="J162" s="1315">
        <v>7120</v>
      </c>
    </row>
    <row r="163" spans="1:10" s="1068" customFormat="1" ht="26">
      <c r="A163" s="1070"/>
      <c r="B163" s="1205" t="s">
        <v>2823</v>
      </c>
      <c r="C163" s="1206" t="s">
        <v>2780</v>
      </c>
      <c r="D163" s="1207"/>
      <c r="E163" s="1135" t="s">
        <v>118</v>
      </c>
      <c r="F163" s="1315">
        <v>7120</v>
      </c>
      <c r="G163" s="1315">
        <v>7120</v>
      </c>
      <c r="H163" s="1315"/>
      <c r="I163" s="1315"/>
      <c r="J163" s="1315">
        <v>7120</v>
      </c>
    </row>
    <row r="164" spans="1:10" s="1131" customFormat="1" ht="18" customHeight="1">
      <c r="A164" s="1070">
        <v>8</v>
      </c>
      <c r="B164" s="1205" t="s">
        <v>11</v>
      </c>
      <c r="C164" s="1206"/>
      <c r="D164" s="1207"/>
      <c r="E164" s="1207"/>
      <c r="F164" s="1315">
        <v>6081</v>
      </c>
      <c r="G164" s="1315">
        <v>6081</v>
      </c>
      <c r="H164" s="1315"/>
      <c r="I164" s="1315"/>
      <c r="J164" s="1315">
        <v>6081</v>
      </c>
    </row>
    <row r="165" spans="1:10" s="1068" customFormat="1" ht="26">
      <c r="A165" s="1070"/>
      <c r="B165" s="1205" t="s">
        <v>2823</v>
      </c>
      <c r="C165" s="1206" t="s">
        <v>572</v>
      </c>
      <c r="D165" s="1207"/>
      <c r="E165" s="1135" t="s">
        <v>118</v>
      </c>
      <c r="F165" s="1315">
        <v>6081</v>
      </c>
      <c r="G165" s="1315">
        <v>6081</v>
      </c>
      <c r="H165" s="1315"/>
      <c r="I165" s="1315"/>
      <c r="J165" s="1315">
        <v>6081</v>
      </c>
    </row>
    <row r="166" spans="1:10" s="1131" customFormat="1" ht="18" customHeight="1">
      <c r="A166" s="1069" t="s">
        <v>26</v>
      </c>
      <c r="B166" s="1204" t="s">
        <v>2781</v>
      </c>
      <c r="C166" s="1196"/>
      <c r="D166" s="1196"/>
      <c r="E166" s="1196"/>
      <c r="F166" s="1314">
        <f>F167</f>
        <v>9478</v>
      </c>
      <c r="G166" s="1314">
        <f t="shared" ref="G166:J167" si="8">G167</f>
        <v>9478</v>
      </c>
      <c r="H166" s="1314">
        <f t="shared" si="8"/>
        <v>0</v>
      </c>
      <c r="I166" s="1314">
        <f t="shared" si="8"/>
        <v>0</v>
      </c>
      <c r="J166" s="1314">
        <f t="shared" si="8"/>
        <v>9478</v>
      </c>
    </row>
    <row r="167" spans="1:10" s="1072" customFormat="1" ht="18" customHeight="1">
      <c r="A167" s="1070">
        <v>1</v>
      </c>
      <c r="B167" s="1205" t="s">
        <v>910</v>
      </c>
      <c r="C167" s="1207"/>
      <c r="D167" s="1207"/>
      <c r="E167" s="1207"/>
      <c r="F167" s="1315">
        <f>F168</f>
        <v>9478</v>
      </c>
      <c r="G167" s="1315">
        <f t="shared" si="8"/>
        <v>9478</v>
      </c>
      <c r="H167" s="1315">
        <f t="shared" si="8"/>
        <v>0</v>
      </c>
      <c r="I167" s="1315">
        <f t="shared" si="8"/>
        <v>0</v>
      </c>
      <c r="J167" s="1315">
        <f t="shared" si="8"/>
        <v>9478</v>
      </c>
    </row>
    <row r="168" spans="1:10" s="1072" customFormat="1" ht="26">
      <c r="A168" s="1071" t="s">
        <v>742</v>
      </c>
      <c r="B168" s="1209" t="s">
        <v>2824</v>
      </c>
      <c r="C168" s="1210"/>
      <c r="D168" s="1210"/>
      <c r="E168" s="41" t="s">
        <v>118</v>
      </c>
      <c r="F168" s="1316">
        <v>9478</v>
      </c>
      <c r="G168" s="1316">
        <v>9478</v>
      </c>
      <c r="H168" s="1316"/>
      <c r="I168" s="1316"/>
      <c r="J168" s="1316">
        <v>9478</v>
      </c>
    </row>
    <row r="169" spans="1:10" s="1072" customFormat="1">
      <c r="A169" s="1073"/>
      <c r="B169" s="1074"/>
    </row>
    <row r="170" spans="1:10" s="1072" customFormat="1">
      <c r="A170" s="1073"/>
      <c r="B170" s="1074"/>
    </row>
    <row r="171" spans="1:10" s="1072" customFormat="1">
      <c r="A171" s="1073"/>
      <c r="B171" s="1074"/>
    </row>
    <row r="172" spans="1:10" s="1072" customFormat="1">
      <c r="A172" s="1073"/>
      <c r="B172" s="1074"/>
    </row>
    <row r="173" spans="1:10" s="1072" customFormat="1">
      <c r="A173" s="1073"/>
      <c r="B173" s="1074"/>
    </row>
    <row r="174" spans="1:10" s="1072" customFormat="1">
      <c r="A174" s="1073"/>
      <c r="B174" s="1074"/>
    </row>
    <row r="175" spans="1:10" s="1072" customFormat="1">
      <c r="A175" s="1073"/>
      <c r="B175" s="1074"/>
    </row>
    <row r="176" spans="1:10" s="1072" customFormat="1">
      <c r="A176" s="1073"/>
      <c r="B176" s="1074"/>
    </row>
    <row r="177" spans="1:10" s="1072" customFormat="1">
      <c r="A177" s="1073"/>
      <c r="B177" s="1074"/>
    </row>
    <row r="178" spans="1:10" s="1072" customFormat="1">
      <c r="A178" s="1073"/>
      <c r="B178" s="1074"/>
    </row>
    <row r="179" spans="1:10" s="1072" customFormat="1">
      <c r="A179" s="1073"/>
      <c r="B179" s="1074"/>
    </row>
    <row r="180" spans="1:10" s="1072" customFormat="1">
      <c r="A180" s="1073"/>
      <c r="B180" s="1074"/>
    </row>
    <row r="181" spans="1:10" s="1072" customFormat="1">
      <c r="A181" s="1073"/>
      <c r="B181" s="1074"/>
    </row>
    <row r="182" spans="1:10" s="1072" customFormat="1">
      <c r="A182" s="1073"/>
      <c r="B182" s="1074"/>
    </row>
    <row r="183" spans="1:10" s="1408" customFormat="1" ht="26">
      <c r="A183" s="1402">
        <v>5</v>
      </c>
      <c r="B183" s="1403" t="s">
        <v>2591</v>
      </c>
      <c r="C183" s="1404" t="s">
        <v>572</v>
      </c>
      <c r="D183" s="1404" t="s">
        <v>2592</v>
      </c>
      <c r="E183" s="1405" t="s">
        <v>118</v>
      </c>
      <c r="F183" s="1406">
        <v>55000</v>
      </c>
      <c r="G183" s="1407">
        <v>55000</v>
      </c>
      <c r="H183" s="1406"/>
      <c r="I183" s="1406"/>
      <c r="J183" s="1407">
        <v>55000</v>
      </c>
    </row>
    <row r="184" spans="1:10" s="1072" customFormat="1">
      <c r="A184" s="1073"/>
      <c r="B184" s="1074"/>
    </row>
    <row r="185" spans="1:10" s="1072" customFormat="1">
      <c r="A185" s="1073"/>
      <c r="B185" s="1074"/>
    </row>
    <row r="186" spans="1:10" s="1072" customFormat="1">
      <c r="A186" s="1073"/>
      <c r="B186" s="1074"/>
    </row>
    <row r="187" spans="1:10" s="1072" customFormat="1">
      <c r="A187" s="1073"/>
      <c r="B187" s="1074"/>
    </row>
    <row r="188" spans="1:10" s="1072" customFormat="1">
      <c r="A188" s="1073"/>
      <c r="B188" s="1074"/>
    </row>
    <row r="189" spans="1:10" s="1072" customFormat="1">
      <c r="A189" s="1073"/>
      <c r="B189" s="1074"/>
    </row>
    <row r="190" spans="1:10" s="1072" customFormat="1">
      <c r="A190" s="1073"/>
      <c r="B190" s="1074"/>
    </row>
    <row r="191" spans="1:10" s="1072" customFormat="1">
      <c r="A191" s="1073"/>
      <c r="B191" s="1074"/>
    </row>
    <row r="192" spans="1:10" s="1072" customFormat="1">
      <c r="A192" s="1073"/>
      <c r="B192" s="1074"/>
    </row>
    <row r="193" spans="1:2" s="1072" customFormat="1">
      <c r="A193" s="1073"/>
      <c r="B193" s="1074"/>
    </row>
    <row r="194" spans="1:2" s="1072" customFormat="1">
      <c r="A194" s="1073"/>
      <c r="B194" s="1074"/>
    </row>
    <row r="195" spans="1:2" s="1072" customFormat="1">
      <c r="A195" s="1073"/>
      <c r="B195" s="1074"/>
    </row>
    <row r="196" spans="1:2" s="1072" customFormat="1">
      <c r="A196" s="1073"/>
      <c r="B196" s="1074"/>
    </row>
    <row r="197" spans="1:2" s="1072" customFormat="1">
      <c r="A197" s="1073"/>
      <c r="B197" s="1074"/>
    </row>
    <row r="198" spans="1:2" s="1072" customFormat="1">
      <c r="A198" s="1073"/>
      <c r="B198" s="1074"/>
    </row>
    <row r="199" spans="1:2" s="1072" customFormat="1">
      <c r="A199" s="1073"/>
      <c r="B199" s="1074"/>
    </row>
    <row r="200" spans="1:2" s="1072" customFormat="1">
      <c r="A200" s="1073"/>
      <c r="B200" s="1074"/>
    </row>
    <row r="201" spans="1:2" s="1072" customFormat="1">
      <c r="A201" s="1073"/>
      <c r="B201" s="1074"/>
    </row>
    <row r="202" spans="1:2" s="1072" customFormat="1">
      <c r="A202" s="1073"/>
      <c r="B202" s="1074"/>
    </row>
    <row r="203" spans="1:2" s="1072" customFormat="1">
      <c r="A203" s="1073"/>
      <c r="B203" s="1074"/>
    </row>
    <row r="204" spans="1:2" s="1072" customFormat="1">
      <c r="A204" s="1073"/>
      <c r="B204" s="1074"/>
    </row>
    <row r="205" spans="1:2" s="1072" customFormat="1">
      <c r="A205" s="1073"/>
      <c r="B205" s="1074"/>
    </row>
    <row r="206" spans="1:2" s="1072" customFormat="1">
      <c r="A206" s="1073"/>
      <c r="B206" s="1074"/>
    </row>
    <row r="207" spans="1:2" s="1072" customFormat="1">
      <c r="A207" s="1073"/>
      <c r="B207" s="1074"/>
    </row>
    <row r="208" spans="1:2" s="1072" customFormat="1">
      <c r="A208" s="1073"/>
      <c r="B208" s="1074"/>
    </row>
    <row r="209" spans="1:2" s="1072" customFormat="1">
      <c r="A209" s="1073"/>
      <c r="B209" s="1074"/>
    </row>
    <row r="210" spans="1:2" s="1072" customFormat="1">
      <c r="A210" s="1073"/>
      <c r="B210" s="1074"/>
    </row>
    <row r="211" spans="1:2" s="1072" customFormat="1">
      <c r="A211" s="1073"/>
      <c r="B211" s="1074"/>
    </row>
    <row r="212" spans="1:2" s="1072" customFormat="1">
      <c r="A212" s="1073"/>
      <c r="B212" s="1074"/>
    </row>
    <row r="213" spans="1:2" s="1072" customFormat="1">
      <c r="A213" s="1073"/>
      <c r="B213" s="1074"/>
    </row>
    <row r="214" spans="1:2" s="1072" customFormat="1">
      <c r="A214" s="1073"/>
      <c r="B214" s="1074"/>
    </row>
    <row r="215" spans="1:2" s="1072" customFormat="1">
      <c r="A215" s="1073"/>
      <c r="B215" s="1074"/>
    </row>
    <row r="216" spans="1:2" s="1072" customFormat="1">
      <c r="A216" s="1073"/>
      <c r="B216" s="1074"/>
    </row>
    <row r="217" spans="1:2" s="1072" customFormat="1">
      <c r="A217" s="1073"/>
      <c r="B217" s="1074"/>
    </row>
    <row r="218" spans="1:2" s="1072" customFormat="1">
      <c r="A218" s="1073"/>
      <c r="B218" s="1074"/>
    </row>
    <row r="219" spans="1:2" s="1072" customFormat="1">
      <c r="A219" s="1073"/>
      <c r="B219" s="1074"/>
    </row>
    <row r="220" spans="1:2" s="1072" customFormat="1">
      <c r="A220" s="1073"/>
      <c r="B220" s="1074"/>
    </row>
    <row r="221" spans="1:2" s="1072" customFormat="1">
      <c r="A221" s="1073"/>
      <c r="B221" s="1074"/>
    </row>
    <row r="222" spans="1:2" s="1072" customFormat="1">
      <c r="A222" s="1073"/>
      <c r="B222" s="1074"/>
    </row>
    <row r="223" spans="1:2" s="1072" customFormat="1">
      <c r="A223" s="1073"/>
      <c r="B223" s="1074"/>
    </row>
    <row r="224" spans="1:2" s="1072" customFormat="1">
      <c r="A224" s="1073"/>
      <c r="B224" s="1074"/>
    </row>
    <row r="225" spans="1:2" s="1072" customFormat="1">
      <c r="A225" s="1073"/>
      <c r="B225" s="1074"/>
    </row>
    <row r="226" spans="1:2" s="1072" customFormat="1">
      <c r="A226" s="1073"/>
      <c r="B226" s="1074"/>
    </row>
    <row r="227" spans="1:2" s="1072" customFormat="1">
      <c r="A227" s="1073"/>
      <c r="B227" s="1074"/>
    </row>
    <row r="228" spans="1:2" s="1072" customFormat="1">
      <c r="A228" s="1073"/>
      <c r="B228" s="1074"/>
    </row>
    <row r="229" spans="1:2" s="1072" customFormat="1">
      <c r="A229" s="1073"/>
      <c r="B229" s="1074"/>
    </row>
    <row r="230" spans="1:2" s="1072" customFormat="1">
      <c r="A230" s="1073"/>
      <c r="B230" s="1074"/>
    </row>
    <row r="231" spans="1:2" s="1072" customFormat="1">
      <c r="A231" s="1073"/>
      <c r="B231" s="1074"/>
    </row>
    <row r="232" spans="1:2" s="1072" customFormat="1">
      <c r="A232" s="1073"/>
      <c r="B232" s="1074"/>
    </row>
    <row r="233" spans="1:2" s="1072" customFormat="1">
      <c r="A233" s="1073"/>
      <c r="B233" s="1074"/>
    </row>
    <row r="234" spans="1:2" s="1072" customFormat="1">
      <c r="A234" s="1073"/>
      <c r="B234" s="1074"/>
    </row>
    <row r="235" spans="1:2" s="1072" customFormat="1">
      <c r="A235" s="1073"/>
      <c r="B235" s="1074"/>
    </row>
  </sheetData>
  <autoFilter ref="A8:J8"/>
  <mergeCells count="14">
    <mergeCell ref="G6:H6"/>
    <mergeCell ref="I6:I7"/>
    <mergeCell ref="A1:J1"/>
    <mergeCell ref="A3:J3"/>
    <mergeCell ref="A2:J2"/>
    <mergeCell ref="H4:J4"/>
    <mergeCell ref="A5:A7"/>
    <mergeCell ref="B5:B7"/>
    <mergeCell ref="C5:C7"/>
    <mergeCell ref="D5:D7"/>
    <mergeCell ref="E5:E7"/>
    <mergeCell ref="F5:I5"/>
    <mergeCell ref="J5:J7"/>
    <mergeCell ref="F6:F7"/>
  </mergeCells>
  <pageMargins left="0.5" right="0.5" top="0.5" bottom="0.5" header="0.47" footer="0.3"/>
  <pageSetup paperSize="9" scale="70" orientation="portrait" r:id="rId1"/>
  <headerFooter>
    <oddFoote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S50"/>
  <sheetViews>
    <sheetView zoomScaleNormal="100" zoomScaleSheetLayoutView="100" workbookViewId="0">
      <selection activeCell="A3" sqref="A3:P3"/>
    </sheetView>
  </sheetViews>
  <sheetFormatPr defaultColWidth="9.08203125" defaultRowHeight="13"/>
  <cols>
    <col min="1" max="1" width="9.33203125" style="639" customWidth="1"/>
    <col min="2" max="2" width="50.9140625" style="639" customWidth="1"/>
    <col min="3" max="5" width="9.08203125" style="655" hidden="1" customWidth="1"/>
    <col min="6" max="8" width="9.08203125" style="639" hidden="1" customWidth="1"/>
    <col min="9" max="9" width="9" style="639" hidden="1" customWidth="1"/>
    <col min="10" max="10" width="2" style="639" hidden="1" customWidth="1"/>
    <col min="11" max="11" width="16.4140625" style="639" customWidth="1"/>
    <col min="12" max="15" width="7.4140625" style="639" hidden="1" customWidth="1"/>
    <col min="16" max="16" width="20" style="639" customWidth="1"/>
    <col min="17" max="17" width="10.6640625" style="639" customWidth="1"/>
    <col min="18" max="19" width="9.4140625" style="639" bestFit="1" customWidth="1"/>
    <col min="20" max="16384" width="9.08203125" style="639"/>
  </cols>
  <sheetData>
    <row r="1" spans="1:19" s="656" customFormat="1" ht="18.75" customHeight="1">
      <c r="A1" s="1714" t="s">
        <v>2879</v>
      </c>
      <c r="B1" s="1714"/>
      <c r="C1" s="1714"/>
      <c r="D1" s="1714"/>
      <c r="E1" s="1714"/>
      <c r="F1" s="1714"/>
      <c r="G1" s="1714"/>
      <c r="H1" s="1714"/>
      <c r="I1" s="1714"/>
      <c r="J1" s="1714"/>
      <c r="K1" s="1714"/>
      <c r="L1" s="1714"/>
      <c r="M1" s="1714"/>
      <c r="N1" s="1714"/>
      <c r="O1" s="1714"/>
      <c r="P1" s="1714"/>
      <c r="Q1" s="656" t="s">
        <v>2881</v>
      </c>
    </row>
    <row r="2" spans="1:19" ht="52.5" customHeight="1">
      <c r="A2" s="1715" t="s">
        <v>2783</v>
      </c>
      <c r="B2" s="1715"/>
      <c r="C2" s="1715"/>
      <c r="D2" s="1715"/>
      <c r="E2" s="1715"/>
      <c r="F2" s="1715"/>
      <c r="G2" s="1715"/>
      <c r="H2" s="1715"/>
      <c r="I2" s="1715"/>
      <c r="J2" s="1715"/>
      <c r="K2" s="1715"/>
      <c r="L2" s="1715"/>
      <c r="M2" s="1715"/>
      <c r="N2" s="1715"/>
      <c r="O2" s="1715"/>
      <c r="P2" s="1715"/>
      <c r="Q2" s="80"/>
    </row>
    <row r="3" spans="1:19" ht="31.5" customHeight="1">
      <c r="A3" s="1716" t="e">
        <f>#REF!</f>
        <v>#REF!</v>
      </c>
      <c r="B3" s="1716"/>
      <c r="C3" s="1716"/>
      <c r="D3" s="1716"/>
      <c r="E3" s="1716"/>
      <c r="F3" s="1716"/>
      <c r="G3" s="1716"/>
      <c r="H3" s="1716"/>
      <c r="I3" s="1716"/>
      <c r="J3" s="1716"/>
      <c r="K3" s="1716"/>
      <c r="L3" s="1716"/>
      <c r="M3" s="1716"/>
      <c r="N3" s="1716"/>
      <c r="O3" s="1716"/>
      <c r="P3" s="1716"/>
      <c r="Q3" s="80"/>
    </row>
    <row r="4" spans="1:19" ht="31.5" hidden="1" customHeight="1">
      <c r="A4" s="1716" t="e">
        <f>#REF!</f>
        <v>#REF!</v>
      </c>
      <c r="B4" s="1716"/>
      <c r="C4" s="1716"/>
      <c r="D4" s="1716"/>
      <c r="E4" s="1716"/>
      <c r="F4" s="1716"/>
      <c r="G4" s="1716"/>
      <c r="H4" s="1716"/>
      <c r="I4" s="1716"/>
      <c r="J4" s="1716"/>
      <c r="K4" s="1716"/>
      <c r="L4" s="1716"/>
      <c r="M4" s="1716"/>
      <c r="N4" s="1716"/>
      <c r="O4" s="1716"/>
      <c r="P4" s="1716"/>
      <c r="Q4" s="80"/>
    </row>
    <row r="5" spans="1:19" ht="17.25" customHeight="1">
      <c r="A5" s="656"/>
      <c r="G5" s="1717" t="s">
        <v>3</v>
      </c>
      <c r="H5" s="1717"/>
      <c r="I5" s="1717"/>
      <c r="J5" s="1717"/>
      <c r="K5" s="1717"/>
      <c r="L5" s="1717"/>
      <c r="M5" s="1717"/>
      <c r="N5" s="1717"/>
      <c r="O5" s="1717"/>
      <c r="P5" s="1717"/>
    </row>
    <row r="6" spans="1:19" ht="21" customHeight="1">
      <c r="A6" s="1718" t="s">
        <v>4</v>
      </c>
      <c r="B6" s="1721" t="s">
        <v>895</v>
      </c>
      <c r="C6" s="1730" t="s">
        <v>2346</v>
      </c>
      <c r="D6" s="1731"/>
      <c r="E6" s="1732"/>
      <c r="F6" s="1724" t="s">
        <v>2347</v>
      </c>
      <c r="G6" s="1725"/>
      <c r="H6" s="1726"/>
      <c r="I6" s="657" t="s">
        <v>1937</v>
      </c>
      <c r="J6" s="658"/>
      <c r="K6" s="1729" t="s">
        <v>2541</v>
      </c>
      <c r="L6" s="1727" t="s">
        <v>2320</v>
      </c>
      <c r="M6" s="1728"/>
      <c r="N6" s="1728"/>
      <c r="O6" s="1729"/>
      <c r="P6" s="1721" t="s">
        <v>33</v>
      </c>
      <c r="Q6" s="50"/>
    </row>
    <row r="7" spans="1:19" ht="12.75" customHeight="1">
      <c r="A7" s="1719"/>
      <c r="B7" s="1722"/>
      <c r="C7" s="1733" t="s">
        <v>741</v>
      </c>
      <c r="D7" s="1733" t="s">
        <v>720</v>
      </c>
      <c r="E7" s="1733" t="s">
        <v>719</v>
      </c>
      <c r="F7" s="1721" t="s">
        <v>741</v>
      </c>
      <c r="G7" s="1721" t="s">
        <v>720</v>
      </c>
      <c r="H7" s="1721" t="s">
        <v>719</v>
      </c>
      <c r="I7" s="1721" t="s">
        <v>741</v>
      </c>
      <c r="J7" s="1721" t="s">
        <v>720</v>
      </c>
      <c r="K7" s="1735"/>
      <c r="L7" s="1727" t="s">
        <v>756</v>
      </c>
      <c r="M7" s="1729"/>
      <c r="N7" s="1724" t="s">
        <v>757</v>
      </c>
      <c r="O7" s="1726"/>
      <c r="P7" s="1722"/>
      <c r="Q7" s="50"/>
    </row>
    <row r="8" spans="1:19" ht="1.5" customHeight="1">
      <c r="A8" s="1720"/>
      <c r="B8" s="1723"/>
      <c r="C8" s="1734"/>
      <c r="D8" s="1734"/>
      <c r="E8" s="1734"/>
      <c r="F8" s="1723"/>
      <c r="G8" s="1723"/>
      <c r="H8" s="1723"/>
      <c r="I8" s="1723"/>
      <c r="J8" s="1723"/>
      <c r="K8" s="1736"/>
      <c r="L8" s="65" t="s">
        <v>709</v>
      </c>
      <c r="M8" s="65" t="s">
        <v>1914</v>
      </c>
      <c r="N8" s="65" t="s">
        <v>709</v>
      </c>
      <c r="O8" s="65" t="s">
        <v>1914</v>
      </c>
      <c r="P8" s="1723"/>
      <c r="Q8" s="50"/>
    </row>
    <row r="9" spans="1:19" s="660" customFormat="1" ht="18" hidden="1" customHeight="1">
      <c r="A9" s="462" t="s">
        <v>10</v>
      </c>
      <c r="B9" s="462">
        <v>2</v>
      </c>
      <c r="C9" s="312"/>
      <c r="D9" s="312"/>
      <c r="E9" s="312"/>
      <c r="F9" s="462">
        <v>3</v>
      </c>
      <c r="G9" s="462">
        <v>4</v>
      </c>
      <c r="H9" s="462">
        <v>5</v>
      </c>
      <c r="I9" s="462">
        <v>6</v>
      </c>
      <c r="J9" s="462">
        <v>7</v>
      </c>
      <c r="K9" s="462">
        <v>8</v>
      </c>
      <c r="L9" s="462">
        <v>9</v>
      </c>
      <c r="M9" s="462">
        <v>10</v>
      </c>
      <c r="N9" s="462">
        <v>11</v>
      </c>
      <c r="O9" s="462">
        <v>12</v>
      </c>
      <c r="P9" s="462">
        <v>13</v>
      </c>
      <c r="Q9" s="659"/>
    </row>
    <row r="10" spans="1:19" ht="19.5" customHeight="1">
      <c r="A10" s="26"/>
      <c r="B10" s="26" t="s">
        <v>741</v>
      </c>
      <c r="C10" s="100">
        <v>4441185</v>
      </c>
      <c r="D10" s="100">
        <v>2267844</v>
      </c>
      <c r="E10" s="100">
        <v>2173341</v>
      </c>
      <c r="F10" s="21">
        <f>+'TH 88(NQ)'!F9</f>
        <v>4442868</v>
      </c>
      <c r="G10" s="21">
        <f>+'TH 88(NQ)'!G9</f>
        <v>2267845</v>
      </c>
      <c r="H10" s="21">
        <f>+'TH 88(NQ)'!H9</f>
        <v>2175023</v>
      </c>
      <c r="I10" s="21">
        <f>+I11+I31+I40</f>
        <v>4304325.1049999995</v>
      </c>
      <c r="J10" s="21">
        <f>+J11+J31+J40</f>
        <v>2129302.6049999995</v>
      </c>
      <c r="K10" s="21">
        <f>+K11+K31</f>
        <v>2175022.5</v>
      </c>
      <c r="L10" s="661">
        <f>+L11</f>
        <v>0.12035125857366795</v>
      </c>
      <c r="M10" s="661">
        <f>+M11</f>
        <v>0.22217374253053876</v>
      </c>
      <c r="N10" s="661">
        <f>+N31</f>
        <v>0.8185588543308735</v>
      </c>
      <c r="O10" s="661">
        <f>+O31</f>
        <v>0.77782602758683472</v>
      </c>
      <c r="P10" s="32"/>
      <c r="Q10" s="662"/>
      <c r="R10" s="663"/>
      <c r="S10" s="663"/>
    </row>
    <row r="11" spans="1:19" ht="21.75" customHeight="1">
      <c r="A11" s="664" t="s">
        <v>8</v>
      </c>
      <c r="B11" s="441" t="s">
        <v>733</v>
      </c>
      <c r="C11" s="665"/>
      <c r="D11" s="665"/>
      <c r="E11" s="665"/>
      <c r="F11" s="21"/>
      <c r="G11" s="21"/>
      <c r="H11" s="21"/>
      <c r="I11" s="21">
        <f>SUM(I12:I30)</f>
        <v>756171</v>
      </c>
      <c r="J11" s="21">
        <f t="shared" ref="J11:K11" si="0">SUM(J12:J30)</f>
        <v>272938</v>
      </c>
      <c r="K11" s="21">
        <f t="shared" si="0"/>
        <v>483233</v>
      </c>
      <c r="L11" s="661">
        <f>+J11/G10</f>
        <v>0.12035125857366795</v>
      </c>
      <c r="M11" s="661">
        <f>+K11/H10</f>
        <v>0.22217374253053876</v>
      </c>
      <c r="N11" s="666"/>
      <c r="O11" s="666"/>
      <c r="P11" s="95"/>
      <c r="Q11" s="667"/>
    </row>
    <row r="12" spans="1:19" ht="18" customHeight="1">
      <c r="A12" s="668">
        <f>IF(I12&gt;0,SUBTOTAL(3,$I$12:I12),"")</f>
        <v>1</v>
      </c>
      <c r="B12" s="669" t="s">
        <v>734</v>
      </c>
      <c r="C12" s="670"/>
      <c r="D12" s="670"/>
      <c r="E12" s="670"/>
      <c r="F12" s="20"/>
      <c r="G12" s="20"/>
      <c r="H12" s="20"/>
      <c r="I12" s="20">
        <f t="shared" ref="I12:I30" si="1">SUM(J12:K12)</f>
        <v>55067</v>
      </c>
      <c r="J12" s="20">
        <f>+'TH 88(NQ)'!K12+'TH 88(NQ)'!K51+'TH 88(NQ)'!K217</f>
        <v>20067</v>
      </c>
      <c r="K12" s="20">
        <f>+'TH 88(NQ)'!L12+'TH 88(NQ)'!L51+'TH 88(NQ)'!L217</f>
        <v>35000</v>
      </c>
      <c r="L12" s="671">
        <f>J12/$G$10</f>
        <v>8.8484883226146414E-3</v>
      </c>
      <c r="M12" s="671">
        <f>K12/$H$10</f>
        <v>1.6091783856998294E-2</v>
      </c>
      <c r="N12" s="671"/>
      <c r="O12" s="671"/>
      <c r="P12" s="95"/>
      <c r="Q12" s="667"/>
    </row>
    <row r="13" spans="1:19" ht="18" hidden="1" customHeight="1">
      <c r="A13" s="668">
        <f>IF(I13&gt;0,SUBTOTAL(3,$I$12:I13),"")</f>
        <v>2</v>
      </c>
      <c r="B13" s="669" t="s">
        <v>1723</v>
      </c>
      <c r="C13" s="670"/>
      <c r="D13" s="670"/>
      <c r="E13" s="670"/>
      <c r="F13" s="20"/>
      <c r="G13" s="20"/>
      <c r="H13" s="20"/>
      <c r="I13" s="20">
        <f t="shared" si="1"/>
        <v>29582</v>
      </c>
      <c r="J13" s="20">
        <f>+'TH 88(NQ)'!K90+'TH 88(NQ)'!K116+'TH 88(NQ)'!K183+'TH 88(NQ)'!K218</f>
        <v>29582</v>
      </c>
      <c r="K13" s="20">
        <f>+'TH 88(NQ)'!L90+'TH 88(NQ)'!L116+'TH 88(NQ)'!L183+'TH 88(NQ)'!L218</f>
        <v>0</v>
      </c>
      <c r="L13" s="671">
        <f>J13/$G$10</f>
        <v>1.3044101338495356E-2</v>
      </c>
      <c r="M13" s="671">
        <f t="shared" ref="M13:M16" si="2">K13/$H$10</f>
        <v>0</v>
      </c>
      <c r="N13" s="671"/>
      <c r="O13" s="671"/>
      <c r="P13" s="95"/>
      <c r="Q13" s="667"/>
    </row>
    <row r="14" spans="1:19" ht="18" customHeight="1">
      <c r="A14" s="668">
        <v>2</v>
      </c>
      <c r="B14" s="669" t="s">
        <v>1938</v>
      </c>
      <c r="C14" s="670"/>
      <c r="D14" s="670"/>
      <c r="E14" s="670"/>
      <c r="F14" s="20"/>
      <c r="G14" s="20"/>
      <c r="H14" s="20"/>
      <c r="I14" s="20">
        <f t="shared" si="1"/>
        <v>39993</v>
      </c>
      <c r="J14" s="20">
        <f>+'TH 88(NQ)'!K198+'TH 88(NQ)'!K211+'TH 88(NQ)'!K222</f>
        <v>12379</v>
      </c>
      <c r="K14" s="20">
        <f>+'TH 88(NQ)'!L198+'TH 88(NQ)'!L211</f>
        <v>27614</v>
      </c>
      <c r="L14" s="671">
        <f>J14/$G$10</f>
        <v>5.4584859194521671E-3</v>
      </c>
      <c r="M14" s="671">
        <f t="shared" si="2"/>
        <v>1.2695957697918597E-2</v>
      </c>
      <c r="N14" s="671"/>
      <c r="O14" s="671"/>
      <c r="P14" s="95"/>
      <c r="Q14" s="667"/>
    </row>
    <row r="15" spans="1:19" ht="20.25" customHeight="1">
      <c r="A15" s="668">
        <v>3</v>
      </c>
      <c r="B15" s="669" t="s">
        <v>1915</v>
      </c>
      <c r="C15" s="670"/>
      <c r="D15" s="670"/>
      <c r="E15" s="670"/>
      <c r="F15" s="20"/>
      <c r="G15" s="20"/>
      <c r="H15" s="20"/>
      <c r="I15" s="20">
        <f t="shared" si="1"/>
        <v>34740</v>
      </c>
      <c r="J15" s="20"/>
      <c r="K15" s="20">
        <f>+'TH 88(NQ)'!L13</f>
        <v>34740</v>
      </c>
      <c r="L15" s="671"/>
      <c r="M15" s="671">
        <f t="shared" si="2"/>
        <v>1.5972244891203448E-2</v>
      </c>
      <c r="N15" s="671"/>
      <c r="O15" s="671"/>
      <c r="P15" s="95"/>
      <c r="Q15" s="667"/>
    </row>
    <row r="16" spans="1:19" ht="31.5" customHeight="1">
      <c r="A16" s="668">
        <v>4</v>
      </c>
      <c r="B16" s="669" t="s">
        <v>1483</v>
      </c>
      <c r="C16" s="670"/>
      <c r="D16" s="670"/>
      <c r="E16" s="670"/>
      <c r="F16" s="20"/>
      <c r="G16" s="20"/>
      <c r="H16" s="20"/>
      <c r="I16" s="20">
        <f t="shared" si="1"/>
        <v>385879</v>
      </c>
      <c r="J16" s="20"/>
      <c r="K16" s="20">
        <f>+'TH 88(NQ)'!L77+'TH 88(NQ)'!L91+'TH 88(NQ)'!L150</f>
        <v>385879</v>
      </c>
      <c r="L16" s="671"/>
      <c r="M16" s="671">
        <f t="shared" si="2"/>
        <v>0.17741375608441842</v>
      </c>
      <c r="N16" s="671"/>
      <c r="O16" s="671"/>
      <c r="P16" s="95"/>
      <c r="Q16" s="667"/>
    </row>
    <row r="17" spans="1:17" ht="18" hidden="1" customHeight="1">
      <c r="A17" s="668">
        <f>IF(I17&gt;0,SUBTOTAL(3,$I$12:I17),"")</f>
        <v>6</v>
      </c>
      <c r="B17" s="669" t="s">
        <v>1721</v>
      </c>
      <c r="C17" s="670"/>
      <c r="D17" s="670"/>
      <c r="E17" s="670"/>
      <c r="F17" s="20"/>
      <c r="G17" s="20"/>
      <c r="H17" s="20"/>
      <c r="I17" s="20">
        <f t="shared" si="1"/>
        <v>66663</v>
      </c>
      <c r="J17" s="20">
        <f>+'TH 88(NQ)'!K133+'TH 88(NQ)'!K168+'TH 88(NQ)'!K181+'TH 88(NQ)'!K196+'TH 88(NQ)'!K215</f>
        <v>66663</v>
      </c>
      <c r="K17" s="20">
        <f>+'TH 88(NQ)'!L133+'TH 88(NQ)'!L168+'TH 88(NQ)'!L181+'TH 88(NQ)'!L196+'TH 88(NQ)'!L215</f>
        <v>0</v>
      </c>
      <c r="L17" s="671">
        <f t="shared" ref="L17:L30" si="3">J17/$G$10</f>
        <v>2.9394866051251297E-2</v>
      </c>
      <c r="M17" s="671"/>
      <c r="N17" s="671"/>
      <c r="O17" s="671"/>
      <c r="P17" s="95"/>
      <c r="Q17" s="667"/>
    </row>
    <row r="18" spans="1:17" ht="18" hidden="1" customHeight="1">
      <c r="A18" s="668">
        <f>IF(I18&gt;0,SUBTOTAL(3,$I$12:I18),"")</f>
        <v>7</v>
      </c>
      <c r="B18" s="669" t="s">
        <v>1722</v>
      </c>
      <c r="C18" s="670"/>
      <c r="D18" s="670"/>
      <c r="E18" s="670"/>
      <c r="F18" s="20"/>
      <c r="G18" s="20"/>
      <c r="H18" s="20"/>
      <c r="I18" s="20">
        <f t="shared" si="1"/>
        <v>464</v>
      </c>
      <c r="J18" s="20">
        <f>+'TH 88(NQ)'!K216</f>
        <v>464</v>
      </c>
      <c r="K18" s="20"/>
      <c r="L18" s="671">
        <f t="shared" si="3"/>
        <v>2.0459952069034701E-4</v>
      </c>
      <c r="M18" s="671"/>
      <c r="N18" s="671"/>
      <c r="O18" s="671"/>
      <c r="P18" s="95"/>
      <c r="Q18" s="667"/>
    </row>
    <row r="19" spans="1:17" ht="18" hidden="1" customHeight="1">
      <c r="A19" s="668">
        <f>IF(I19&gt;0,SUBTOTAL(3,$I$12:I19),"")</f>
        <v>8</v>
      </c>
      <c r="B19" s="669" t="s">
        <v>910</v>
      </c>
      <c r="C19" s="670"/>
      <c r="D19" s="670"/>
      <c r="E19" s="670"/>
      <c r="F19" s="20"/>
      <c r="G19" s="20"/>
      <c r="H19" s="20"/>
      <c r="I19" s="20">
        <f t="shared" si="1"/>
        <v>15665</v>
      </c>
      <c r="J19" s="20">
        <f>+'TH 88(NQ)'!K120+'TH 88(NQ)'!K155+'TH 88(NQ)'!K219</f>
        <v>15665</v>
      </c>
      <c r="K19" s="20"/>
      <c r="L19" s="671">
        <f t="shared" si="3"/>
        <v>6.9074385595135467E-3</v>
      </c>
      <c r="M19" s="671"/>
      <c r="N19" s="671"/>
      <c r="O19" s="671"/>
      <c r="P19" s="95"/>
      <c r="Q19" s="667"/>
    </row>
    <row r="20" spans="1:17" ht="18" hidden="1" customHeight="1">
      <c r="A20" s="668">
        <f>IF(I20&gt;0,SUBTOTAL(3,$I$12:I20),"")</f>
        <v>9</v>
      </c>
      <c r="B20" s="669" t="s">
        <v>1724</v>
      </c>
      <c r="C20" s="670"/>
      <c r="D20" s="670"/>
      <c r="E20" s="670"/>
      <c r="F20" s="20"/>
      <c r="G20" s="20"/>
      <c r="H20" s="20"/>
      <c r="I20" s="20">
        <f t="shared" si="1"/>
        <v>21391</v>
      </c>
      <c r="J20" s="20">
        <f>+'TH 88(NQ)'!K137+'TH 88(NQ)'!K220</f>
        <v>21391</v>
      </c>
      <c r="K20" s="20">
        <f>+'TH 88(NQ)'!L137+'TH 88(NQ)'!L220</f>
        <v>0</v>
      </c>
      <c r="L20" s="671">
        <f t="shared" si="3"/>
        <v>9.4323024721707175E-3</v>
      </c>
      <c r="M20" s="671"/>
      <c r="N20" s="671"/>
      <c r="O20" s="671"/>
      <c r="P20" s="95"/>
      <c r="Q20" s="667"/>
    </row>
    <row r="21" spans="1:17" ht="18" hidden="1" customHeight="1">
      <c r="A21" s="668">
        <f>IF(I21&gt;0,SUBTOTAL(3,$I$12:I21),"")</f>
        <v>10</v>
      </c>
      <c r="B21" s="669" t="s">
        <v>697</v>
      </c>
      <c r="C21" s="670"/>
      <c r="D21" s="670"/>
      <c r="E21" s="670"/>
      <c r="F21" s="20"/>
      <c r="G21" s="20"/>
      <c r="H21" s="20"/>
      <c r="I21" s="20">
        <f t="shared" si="1"/>
        <v>36202</v>
      </c>
      <c r="J21" s="20">
        <f>+'TH 88(NQ)'!K76+'TH 88(NQ)'!K149+'TH 88(NQ)'!K221</f>
        <v>36202</v>
      </c>
      <c r="K21" s="20">
        <f>+'TH 88(NQ)'!L76+'TH 88(NQ)'!L149+'TH 88(NQ)'!L221</f>
        <v>0</v>
      </c>
      <c r="L21" s="671">
        <f t="shared" si="3"/>
        <v>1.5963172086275738E-2</v>
      </c>
      <c r="M21" s="671"/>
      <c r="N21" s="671"/>
      <c r="O21" s="671"/>
      <c r="P21" s="95"/>
      <c r="Q21" s="667"/>
    </row>
    <row r="22" spans="1:17" ht="18" hidden="1" customHeight="1">
      <c r="A22" s="668">
        <f>IF(I22&gt;0,SUBTOTAL(3,$I$12:I22),"")</f>
        <v>11</v>
      </c>
      <c r="B22" s="669" t="s">
        <v>1725</v>
      </c>
      <c r="C22" s="670"/>
      <c r="D22" s="670"/>
      <c r="E22" s="670"/>
      <c r="F22" s="20"/>
      <c r="G22" s="20"/>
      <c r="H22" s="20"/>
      <c r="I22" s="20">
        <f t="shared" si="1"/>
        <v>15216</v>
      </c>
      <c r="J22" s="20">
        <f>+'TH 88(NQ)'!K154+'TH 88(NQ)'!K223</f>
        <v>15216</v>
      </c>
      <c r="K22" s="20"/>
      <c r="L22" s="671">
        <f t="shared" si="3"/>
        <v>6.709453247466207E-3</v>
      </c>
      <c r="M22" s="671"/>
      <c r="N22" s="671"/>
      <c r="O22" s="671"/>
      <c r="P22" s="95"/>
      <c r="Q22" s="667"/>
    </row>
    <row r="23" spans="1:17" ht="18" hidden="1" customHeight="1">
      <c r="A23" s="668">
        <f>IF(I23&gt;0,SUBTOTAL(3,$I$12:I23),"")</f>
        <v>12</v>
      </c>
      <c r="B23" s="669" t="s">
        <v>1726</v>
      </c>
      <c r="C23" s="670"/>
      <c r="D23" s="670"/>
      <c r="E23" s="670"/>
      <c r="F23" s="20"/>
      <c r="G23" s="20"/>
      <c r="H23" s="20"/>
      <c r="I23" s="20">
        <f t="shared" si="1"/>
        <v>93</v>
      </c>
      <c r="J23" s="20">
        <f>+'TH 88(NQ)'!K224</f>
        <v>93</v>
      </c>
      <c r="K23" s="20"/>
      <c r="L23" s="671">
        <f t="shared" si="3"/>
        <v>4.1008093586642828E-5</v>
      </c>
      <c r="M23" s="671"/>
      <c r="N23" s="671"/>
      <c r="O23" s="671"/>
      <c r="P23" s="95"/>
      <c r="Q23" s="667"/>
    </row>
    <row r="24" spans="1:17" ht="18" hidden="1" customHeight="1">
      <c r="A24" s="668">
        <f>IF(I24&gt;0,SUBTOTAL(3,$I$12:I24),"")</f>
        <v>13</v>
      </c>
      <c r="B24" s="669" t="s">
        <v>1727</v>
      </c>
      <c r="C24" s="670"/>
      <c r="D24" s="670"/>
      <c r="E24" s="670"/>
      <c r="F24" s="20"/>
      <c r="G24" s="20"/>
      <c r="H24" s="20"/>
      <c r="I24" s="20">
        <f t="shared" si="1"/>
        <v>93</v>
      </c>
      <c r="J24" s="20">
        <f>+'TH 88(NQ)'!K225</f>
        <v>93</v>
      </c>
      <c r="K24" s="20"/>
      <c r="L24" s="671">
        <f t="shared" si="3"/>
        <v>4.1008093586642828E-5</v>
      </c>
      <c r="M24" s="671"/>
      <c r="N24" s="671"/>
      <c r="O24" s="671"/>
      <c r="P24" s="95"/>
      <c r="Q24" s="667"/>
    </row>
    <row r="25" spans="1:17" ht="18" hidden="1" customHeight="1">
      <c r="A25" s="668">
        <f>IF(I25&gt;0,SUBTOTAL(3,$I$12:I25),"")</f>
        <v>14</v>
      </c>
      <c r="B25" s="669" t="s">
        <v>1309</v>
      </c>
      <c r="C25" s="670"/>
      <c r="D25" s="670"/>
      <c r="E25" s="670"/>
      <c r="F25" s="20"/>
      <c r="G25" s="20"/>
      <c r="H25" s="20"/>
      <c r="I25" s="20">
        <f t="shared" si="1"/>
        <v>6962</v>
      </c>
      <c r="J25" s="20">
        <f>+'TH 88(NQ)'!K182+'TH 88(NQ)'!K197+'TH 88(NQ)'!K226</f>
        <v>6962</v>
      </c>
      <c r="K25" s="20"/>
      <c r="L25" s="671">
        <f t="shared" si="3"/>
        <v>3.0698747048409393E-3</v>
      </c>
      <c r="M25" s="671"/>
      <c r="N25" s="671"/>
      <c r="O25" s="671"/>
      <c r="P25" s="95"/>
      <c r="Q25" s="667"/>
    </row>
    <row r="26" spans="1:17" ht="18" hidden="1" customHeight="1">
      <c r="A26" s="668">
        <f>IF(I26&gt;0,SUBTOTAL(3,$I$12:I26),"")</f>
        <v>15</v>
      </c>
      <c r="B26" s="669" t="s">
        <v>735</v>
      </c>
      <c r="C26" s="670"/>
      <c r="D26" s="670"/>
      <c r="E26" s="670"/>
      <c r="F26" s="20"/>
      <c r="G26" s="20"/>
      <c r="H26" s="20"/>
      <c r="I26" s="20">
        <f t="shared" si="1"/>
        <v>884</v>
      </c>
      <c r="J26" s="20">
        <f>+'TH 88(NQ)'!K52+'TH 88(NQ)'!K227</f>
        <v>884</v>
      </c>
      <c r="K26" s="20"/>
      <c r="L26" s="671">
        <f t="shared" si="3"/>
        <v>3.8979736269454041E-4</v>
      </c>
      <c r="M26" s="671"/>
      <c r="N26" s="671"/>
      <c r="O26" s="671"/>
      <c r="P26" s="95"/>
      <c r="Q26" s="667"/>
    </row>
    <row r="27" spans="1:17" ht="18" hidden="1" customHeight="1">
      <c r="A27" s="668">
        <f>IF(I27&gt;0,SUBTOTAL(3,$I$12:I27),"")</f>
        <v>16</v>
      </c>
      <c r="B27" s="669" t="s">
        <v>886</v>
      </c>
      <c r="C27" s="670"/>
      <c r="D27" s="670"/>
      <c r="E27" s="670"/>
      <c r="F27" s="20"/>
      <c r="G27" s="20"/>
      <c r="H27" s="20"/>
      <c r="I27" s="20">
        <f t="shared" si="1"/>
        <v>180</v>
      </c>
      <c r="J27" s="20">
        <f>+'TH 88(NQ)'!K104</f>
        <v>180</v>
      </c>
      <c r="K27" s="20"/>
      <c r="L27" s="671">
        <f t="shared" si="3"/>
        <v>7.937050371608289E-5</v>
      </c>
      <c r="M27" s="671"/>
      <c r="N27" s="671"/>
      <c r="O27" s="671"/>
      <c r="P27" s="95"/>
      <c r="Q27" s="667"/>
    </row>
    <row r="28" spans="1:17" ht="18" hidden="1" customHeight="1">
      <c r="A28" s="668">
        <f>IF(I28&gt;0,SUBTOTAL(3,$I$12:I28),"")</f>
        <v>17</v>
      </c>
      <c r="B28" s="669" t="s">
        <v>1728</v>
      </c>
      <c r="C28" s="670"/>
      <c r="D28" s="670"/>
      <c r="E28" s="670"/>
      <c r="F28" s="20"/>
      <c r="G28" s="20"/>
      <c r="H28" s="20"/>
      <c r="I28" s="20">
        <f t="shared" si="1"/>
        <v>1093</v>
      </c>
      <c r="J28" s="20">
        <f>+'TH 88(NQ)'!K199+'TH 88(NQ)'!K228</f>
        <v>1093</v>
      </c>
      <c r="K28" s="20"/>
      <c r="L28" s="671">
        <f t="shared" si="3"/>
        <v>4.8195533645377001E-4</v>
      </c>
      <c r="M28" s="671"/>
      <c r="N28" s="671"/>
      <c r="O28" s="671"/>
      <c r="P28" s="95"/>
      <c r="Q28" s="667"/>
    </row>
    <row r="29" spans="1:17" ht="18" hidden="1" customHeight="1">
      <c r="A29" s="668">
        <f>IF(I29&gt;0,SUBTOTAL(3,$I$12:I29),"")</f>
        <v>18</v>
      </c>
      <c r="B29" s="669" t="s">
        <v>1576</v>
      </c>
      <c r="C29" s="670"/>
      <c r="D29" s="670"/>
      <c r="E29" s="670"/>
      <c r="F29" s="20"/>
      <c r="G29" s="20"/>
      <c r="H29" s="20"/>
      <c r="I29" s="20">
        <f t="shared" si="1"/>
        <v>3893</v>
      </c>
      <c r="J29" s="20">
        <f>+'TH 88(NQ)'!K169+'TH 88(NQ)'!K229</f>
        <v>3893</v>
      </c>
      <c r="K29" s="20"/>
      <c r="L29" s="671">
        <f t="shared" si="3"/>
        <v>1.7166076164817261E-3</v>
      </c>
      <c r="M29" s="671"/>
      <c r="N29" s="671"/>
      <c r="O29" s="671"/>
      <c r="P29" s="95"/>
      <c r="Q29" s="667"/>
    </row>
    <row r="30" spans="1:17" ht="18" hidden="1" customHeight="1">
      <c r="A30" s="668">
        <f>IF(I30&gt;0,SUBTOTAL(3,$I$12:I30),"")</f>
        <v>19</v>
      </c>
      <c r="B30" s="669" t="s">
        <v>921</v>
      </c>
      <c r="C30" s="670"/>
      <c r="D30" s="670"/>
      <c r="E30" s="670"/>
      <c r="F30" s="20"/>
      <c r="G30" s="20"/>
      <c r="H30" s="20"/>
      <c r="I30" s="20">
        <f t="shared" si="1"/>
        <v>42111</v>
      </c>
      <c r="J30" s="20">
        <f>+'TH 88(NQ)'!K121</f>
        <v>42111</v>
      </c>
      <c r="K30" s="20"/>
      <c r="L30" s="671">
        <f t="shared" si="3"/>
        <v>1.8568729344377592E-2</v>
      </c>
      <c r="M30" s="671"/>
      <c r="N30" s="671"/>
      <c r="O30" s="671"/>
      <c r="P30" s="95"/>
      <c r="Q30" s="667"/>
    </row>
    <row r="31" spans="1:17" ht="18" customHeight="1">
      <c r="A31" s="664" t="s">
        <v>26</v>
      </c>
      <c r="B31" s="441" t="s">
        <v>901</v>
      </c>
      <c r="C31" s="665"/>
      <c r="D31" s="665"/>
      <c r="E31" s="665"/>
      <c r="F31" s="21"/>
      <c r="G31" s="21"/>
      <c r="H31" s="21"/>
      <c r="I31" s="21">
        <f>SUM(I32:I39)</f>
        <v>3548154.1049999995</v>
      </c>
      <c r="J31" s="21">
        <f t="shared" ref="J31:K31" si="4">SUM(J32:J39)</f>
        <v>1856364.6049999997</v>
      </c>
      <c r="K31" s="21">
        <f t="shared" si="4"/>
        <v>1691789.5</v>
      </c>
      <c r="L31" s="672"/>
      <c r="M31" s="672"/>
      <c r="N31" s="661">
        <f t="shared" ref="N31:N39" si="5">+J31/$G$10</f>
        <v>0.8185588543308735</v>
      </c>
      <c r="O31" s="661">
        <f>+K31/$H$10</f>
        <v>0.77782602758683472</v>
      </c>
      <c r="P31" s="93"/>
      <c r="Q31" s="667"/>
    </row>
    <row r="32" spans="1:17" ht="18" customHeight="1">
      <c r="A32" s="668">
        <f>IF(I32&gt;0,SUBTOTAL(3,$I$32:I32),"")</f>
        <v>1</v>
      </c>
      <c r="B32" s="673" t="s">
        <v>25</v>
      </c>
      <c r="C32" s="674"/>
      <c r="D32" s="674"/>
      <c r="E32" s="674"/>
      <c r="F32" s="641"/>
      <c r="G32" s="641"/>
      <c r="H32" s="641"/>
      <c r="I32" s="641">
        <f t="shared" ref="I32:I40" si="6">+J32+K32</f>
        <v>51487</v>
      </c>
      <c r="J32" s="641">
        <f>+'TH 88(NQ)'!K15+'TH 88(NQ)'!K27+'TH 88(NQ)'!K39+'TH 88(NQ)'!K54+'TH 88(NQ)'!K66+'TH 88(NQ)'!K79+'TH 88(NQ)'!K93+'TH 88(NQ)'!K106+'TH 88(NQ)'!K123+'TH 88(NQ)'!K139+'TH 88(NQ)'!K157+'TH 88(NQ)'!K171+'TH 88(NQ)'!K185+'TH 88(NQ)'!K201+'TH 88(NQ)'!K231</f>
        <v>25300</v>
      </c>
      <c r="K32" s="641">
        <f>+'TH 88(NQ)'!L15+'TH 88(NQ)'!L27+'TH 88(NQ)'!L39+'TH 88(NQ)'!L54+'TH 88(NQ)'!L66+'TH 88(NQ)'!L79+'TH 88(NQ)'!L93+'TH 88(NQ)'!L106+'TH 88(NQ)'!L123+'TH 88(NQ)'!L139+'TH 88(NQ)'!L157+'TH 88(NQ)'!L171+'TH 88(NQ)'!L185+'TH 88(NQ)'!L201+'TH 88(NQ)'!L231</f>
        <v>26187</v>
      </c>
      <c r="L32" s="675"/>
      <c r="M32" s="675"/>
      <c r="N32" s="671">
        <f t="shared" si="5"/>
        <v>1.1155965244538317E-2</v>
      </c>
      <c r="O32" s="671">
        <f t="shared" ref="O32:O39" si="7">+K32/$H$10</f>
        <v>1.2039872681806124E-2</v>
      </c>
      <c r="P32" s="95"/>
      <c r="Q32" s="667"/>
    </row>
    <row r="33" spans="1:17" ht="18" customHeight="1">
      <c r="A33" s="668">
        <f>IF(I33&gt;0,SUBTOTAL(3,$I$32:I33),"")</f>
        <v>2</v>
      </c>
      <c r="B33" s="673" t="s">
        <v>23</v>
      </c>
      <c r="C33" s="674"/>
      <c r="D33" s="674"/>
      <c r="E33" s="674"/>
      <c r="F33" s="641"/>
      <c r="G33" s="641"/>
      <c r="H33" s="641"/>
      <c r="I33" s="641">
        <f t="shared" si="6"/>
        <v>215166.5</v>
      </c>
      <c r="J33" s="641">
        <f>+'TH 88(NQ)'!K16+'TH 88(NQ)'!K28+'TH 88(NQ)'!K40+'TH 88(NQ)'!K55+'TH 88(NQ)'!K67+'TH 88(NQ)'!K80+'TH 88(NQ)'!K94+'TH 88(NQ)'!K107+'TH 88(NQ)'!K124+'TH 88(NQ)'!K140+'TH 88(NQ)'!K158+'TH 88(NQ)'!K172+'TH 88(NQ)'!K186+'TH 88(NQ)'!K202+'TH 88(NQ)'!K232</f>
        <v>109396</v>
      </c>
      <c r="K33" s="641">
        <f>+'TH 88(NQ)'!L16+'TH 88(NQ)'!L28+'TH 88(NQ)'!L40+'TH 88(NQ)'!L55+'TH 88(NQ)'!L67+'TH 88(NQ)'!L80+'TH 88(NQ)'!L94+'TH 88(NQ)'!L107+'TH 88(NQ)'!L124+'TH 88(NQ)'!L140+'TH 88(NQ)'!L158+'TH 88(NQ)'!L172+'TH 88(NQ)'!L186+'TH 88(NQ)'!L202+'TH 88(NQ)'!L232</f>
        <v>105770.5</v>
      </c>
      <c r="L33" s="675"/>
      <c r="M33" s="675"/>
      <c r="N33" s="671">
        <f t="shared" si="5"/>
        <v>4.8237864580692243E-2</v>
      </c>
      <c r="O33" s="671">
        <f t="shared" si="7"/>
        <v>4.862960069847537E-2</v>
      </c>
      <c r="P33" s="95"/>
      <c r="Q33" s="667"/>
    </row>
    <row r="34" spans="1:17" ht="18" customHeight="1">
      <c r="A34" s="668">
        <f>IF(I34&gt;0,SUBTOTAL(3,$I$32:I34),"")</f>
        <v>3</v>
      </c>
      <c r="B34" s="673" t="s">
        <v>21</v>
      </c>
      <c r="C34" s="674"/>
      <c r="D34" s="674"/>
      <c r="E34" s="674"/>
      <c r="F34" s="641"/>
      <c r="G34" s="641"/>
      <c r="H34" s="641"/>
      <c r="I34" s="641">
        <f t="shared" si="6"/>
        <v>106245.5</v>
      </c>
      <c r="J34" s="641">
        <f>+'TH 88(NQ)'!K17+'TH 88(NQ)'!K29+'TH 88(NQ)'!K41+'TH 88(NQ)'!K56+'TH 88(NQ)'!K68+'TH 88(NQ)'!K81+'TH 88(NQ)'!K95+'TH 88(NQ)'!K108+'TH 88(NQ)'!K125+'TH 88(NQ)'!K141+'TH 88(NQ)'!K159+'TH 88(NQ)'!K173+'TH 88(NQ)'!K187+'TH 88(NQ)'!K203+'TH 88(NQ)'!K233</f>
        <v>60416</v>
      </c>
      <c r="K34" s="641">
        <f>+'TH 88(NQ)'!L17+'TH 88(NQ)'!L29+'TH 88(NQ)'!L41+'TH 88(NQ)'!L56+'TH 88(NQ)'!L68+'TH 88(NQ)'!L81+'TH 88(NQ)'!L95+'TH 88(NQ)'!L108+'TH 88(NQ)'!L125+'TH 88(NQ)'!L141+'TH 88(NQ)'!L159+'TH 88(NQ)'!L173+'TH 88(NQ)'!L187+'TH 88(NQ)'!L203+'TH 88(NQ)'!L233</f>
        <v>45829.5</v>
      </c>
      <c r="L34" s="675"/>
      <c r="M34" s="675"/>
      <c r="N34" s="671">
        <f t="shared" si="5"/>
        <v>2.6640268625060356E-2</v>
      </c>
      <c r="O34" s="671">
        <f t="shared" si="7"/>
        <v>2.1070811664980094E-2</v>
      </c>
      <c r="P34" s="95"/>
      <c r="Q34" s="667"/>
    </row>
    <row r="35" spans="1:17" ht="18" customHeight="1">
      <c r="A35" s="668">
        <f>IF(I35&gt;0,SUBTOTAL(3,$I$32:I35),"")</f>
        <v>4</v>
      </c>
      <c r="B35" s="673" t="s">
        <v>19</v>
      </c>
      <c r="C35" s="674"/>
      <c r="D35" s="674"/>
      <c r="E35" s="674"/>
      <c r="F35" s="641"/>
      <c r="G35" s="641"/>
      <c r="H35" s="641"/>
      <c r="I35" s="641">
        <f t="shared" si="6"/>
        <v>348024.59499999997</v>
      </c>
      <c r="J35" s="641">
        <f>+'TH 88(NQ)'!K18+'TH 88(NQ)'!K30+'TH 88(NQ)'!K42+'TH 88(NQ)'!K57+'TH 88(NQ)'!K69+'TH 88(NQ)'!K82+'TH 88(NQ)'!K96+'TH 88(NQ)'!K109+'TH 88(NQ)'!K126+'TH 88(NQ)'!K142+'TH 88(NQ)'!K160+'TH 88(NQ)'!K174+'TH 88(NQ)'!K188+'TH 88(NQ)'!K204+'TH 88(NQ)'!K234</f>
        <v>146585.095</v>
      </c>
      <c r="K35" s="641">
        <f>+'TH 88(NQ)'!L18+'TH 88(NQ)'!L30+'TH 88(NQ)'!L42+'TH 88(NQ)'!L57+'TH 88(NQ)'!L69+'TH 88(NQ)'!L82+'TH 88(NQ)'!L96+'TH 88(NQ)'!L109+'TH 88(NQ)'!L126+'TH 88(NQ)'!L142+'TH 88(NQ)'!L160+'TH 88(NQ)'!L174+'TH 88(NQ)'!L188+'TH 88(NQ)'!L204+'TH 88(NQ)'!L234</f>
        <v>201439.5</v>
      </c>
      <c r="L35" s="675"/>
      <c r="M35" s="675"/>
      <c r="N35" s="671">
        <f t="shared" si="5"/>
        <v>6.4636293485665908E-2</v>
      </c>
      <c r="O35" s="671">
        <f t="shared" si="7"/>
        <v>9.2614882693194511E-2</v>
      </c>
      <c r="P35" s="95"/>
      <c r="Q35" s="667"/>
    </row>
    <row r="36" spans="1:17" ht="18" customHeight="1">
      <c r="A36" s="668">
        <f>IF(I36&gt;0,SUBTOTAL(3,$I$32:I36),"")</f>
        <v>5</v>
      </c>
      <c r="B36" s="673" t="s">
        <v>17</v>
      </c>
      <c r="C36" s="674"/>
      <c r="D36" s="674"/>
      <c r="E36" s="674"/>
      <c r="F36" s="641"/>
      <c r="G36" s="641"/>
      <c r="H36" s="641"/>
      <c r="I36" s="641">
        <f t="shared" si="6"/>
        <v>578555.62</v>
      </c>
      <c r="J36" s="641">
        <f>+'TH 88(NQ)'!K19+'TH 88(NQ)'!K31+'TH 88(NQ)'!K43+'TH 88(NQ)'!K58+'TH 88(NQ)'!K70+'TH 88(NQ)'!K83+'TH 88(NQ)'!K97+'TH 88(NQ)'!K110+'TH 88(NQ)'!K127+'TH 88(NQ)'!K143+'TH 88(NQ)'!K161+'TH 88(NQ)'!K175+'TH 88(NQ)'!K189+'TH 88(NQ)'!K205+'TH 88(NQ)'!K235</f>
        <v>299962.12</v>
      </c>
      <c r="K36" s="641">
        <f>+'TH 88(NQ)'!L19+'TH 88(NQ)'!L31+'TH 88(NQ)'!L43+'TH 88(NQ)'!L58+'TH 88(NQ)'!L70+'TH 88(NQ)'!L83+'TH 88(NQ)'!L97+'TH 88(NQ)'!L110+'TH 88(NQ)'!L127+'TH 88(NQ)'!L143+'TH 88(NQ)'!L161+'TH 88(NQ)'!L175+'TH 88(NQ)'!L189+'TH 88(NQ)'!L205+'TH 88(NQ)'!L235</f>
        <v>278593.5</v>
      </c>
      <c r="L36" s="675"/>
      <c r="M36" s="675"/>
      <c r="N36" s="671">
        <f t="shared" si="5"/>
        <v>0.13226746977857834</v>
      </c>
      <c r="O36" s="671">
        <f t="shared" si="7"/>
        <v>0.12808761102756155</v>
      </c>
      <c r="P36" s="95"/>
      <c r="Q36" s="667"/>
    </row>
    <row r="37" spans="1:17" ht="18" customHeight="1">
      <c r="A37" s="668">
        <f>IF(I37&gt;0,SUBTOTAL(3,$I$32:I37),"")</f>
        <v>6</v>
      </c>
      <c r="B37" s="673" t="s">
        <v>15</v>
      </c>
      <c r="C37" s="674"/>
      <c r="D37" s="674"/>
      <c r="E37" s="674"/>
      <c r="F37" s="641"/>
      <c r="G37" s="641"/>
      <c r="H37" s="641"/>
      <c r="I37" s="641">
        <f t="shared" si="6"/>
        <v>723547.64250000007</v>
      </c>
      <c r="J37" s="641">
        <f>+'TH 88(NQ)'!K20+'TH 88(NQ)'!K32+'TH 88(NQ)'!K44+'TH 88(NQ)'!K59+'TH 88(NQ)'!K71+'TH 88(NQ)'!K84+'TH 88(NQ)'!K98+'TH 88(NQ)'!K111+'TH 88(NQ)'!K128+'TH 88(NQ)'!K144+'TH 88(NQ)'!K162+'TH 88(NQ)'!K176+'TH 88(NQ)'!K190+'TH 88(NQ)'!K206+'TH 88(NQ)'!K236</f>
        <v>421380.14250000002</v>
      </c>
      <c r="K37" s="641">
        <f>+'TH 88(NQ)'!L20+'TH 88(NQ)'!L32+'TH 88(NQ)'!L44+'TH 88(NQ)'!L59+'TH 88(NQ)'!L71+'TH 88(NQ)'!L84+'TH 88(NQ)'!L98+'TH 88(NQ)'!L111+'TH 88(NQ)'!L128+'TH 88(NQ)'!L144+'TH 88(NQ)'!L162+'TH 88(NQ)'!L176+'TH 88(NQ)'!L190+'TH 88(NQ)'!L206+'TH 88(NQ)'!L236</f>
        <v>302167.5</v>
      </c>
      <c r="L37" s="675"/>
      <c r="M37" s="675"/>
      <c r="N37" s="671">
        <f t="shared" si="5"/>
        <v>0.18580641203433215</v>
      </c>
      <c r="O37" s="671">
        <f t="shared" si="7"/>
        <v>0.13892611710312949</v>
      </c>
      <c r="P37" s="95"/>
      <c r="Q37" s="667"/>
    </row>
    <row r="38" spans="1:17" ht="18" customHeight="1">
      <c r="A38" s="668">
        <f>IF(I38&gt;0,SUBTOTAL(3,$I$32:I38),"")</f>
        <v>7</v>
      </c>
      <c r="B38" s="673" t="s">
        <v>13</v>
      </c>
      <c r="C38" s="674"/>
      <c r="D38" s="674"/>
      <c r="E38" s="674"/>
      <c r="F38" s="641"/>
      <c r="G38" s="641"/>
      <c r="H38" s="641"/>
      <c r="I38" s="641">
        <f t="shared" si="6"/>
        <v>725942.4</v>
      </c>
      <c r="J38" s="641">
        <f>+'TH 88(NQ)'!K21+'TH 88(NQ)'!K33+'TH 88(NQ)'!K45+'TH 88(NQ)'!K60+'TH 88(NQ)'!K72+'TH 88(NQ)'!K85+'TH 88(NQ)'!K99+'TH 88(NQ)'!K112+'TH 88(NQ)'!K129+'TH 88(NQ)'!K145+'TH 88(NQ)'!K163+'TH 88(NQ)'!K177+'TH 88(NQ)'!K191+'TH 88(NQ)'!K207+'TH 88(NQ)'!K237</f>
        <v>361718.4</v>
      </c>
      <c r="K38" s="641">
        <f>+'TH 88(NQ)'!L21+'TH 88(NQ)'!L33+'TH 88(NQ)'!L45+'TH 88(NQ)'!L60+'TH 88(NQ)'!L72+'TH 88(NQ)'!L85+'TH 88(NQ)'!L99+'TH 88(NQ)'!L112+'TH 88(NQ)'!L129+'TH 88(NQ)'!L145+'TH 88(NQ)'!L163+'TH 88(NQ)'!L177+'TH 88(NQ)'!L191+'TH 88(NQ)'!L207+'TH 88(NQ)'!L237</f>
        <v>364224</v>
      </c>
      <c r="L38" s="675"/>
      <c r="M38" s="675"/>
      <c r="N38" s="671">
        <f t="shared" si="5"/>
        <v>0.15949873117430866</v>
      </c>
      <c r="O38" s="671">
        <f t="shared" si="7"/>
        <v>0.16745753952946704</v>
      </c>
      <c r="P38" s="95"/>
      <c r="Q38" s="667"/>
    </row>
    <row r="39" spans="1:17" ht="18" customHeight="1">
      <c r="A39" s="668">
        <f>IF(I39&gt;0,SUBTOTAL(3,$I$32:I39),"")</f>
        <v>8</v>
      </c>
      <c r="B39" s="673" t="s">
        <v>11</v>
      </c>
      <c r="C39" s="674"/>
      <c r="D39" s="674"/>
      <c r="E39" s="674"/>
      <c r="F39" s="641"/>
      <c r="G39" s="641"/>
      <c r="H39" s="641"/>
      <c r="I39" s="641">
        <f t="shared" si="6"/>
        <v>799184.84749999992</v>
      </c>
      <c r="J39" s="641">
        <f>+'TH 88(NQ)'!K22+'TH 88(NQ)'!K34+'TH 88(NQ)'!K46+'TH 88(NQ)'!K61+'TH 88(NQ)'!K73+'TH 88(NQ)'!K86+'TH 88(NQ)'!K100+'TH 88(NQ)'!K113+'TH 88(NQ)'!K130+'TH 88(NQ)'!K146+'TH 88(NQ)'!K164+'TH 88(NQ)'!K178+'TH 88(NQ)'!K192+'TH 88(NQ)'!K208+'TH 88(NQ)'!K238</f>
        <v>431606.84749999997</v>
      </c>
      <c r="K39" s="641">
        <f>+'TH 88(NQ)'!L22+'TH 88(NQ)'!L34+'TH 88(NQ)'!L46+'TH 88(NQ)'!L61+'TH 88(NQ)'!L73+'TH 88(NQ)'!L86+'TH 88(NQ)'!L100+'TH 88(NQ)'!L113+'TH 88(NQ)'!L130+'TH 88(NQ)'!L146+'TH 88(NQ)'!L164+'TH 88(NQ)'!L178+'TH 88(NQ)'!L192+'TH 88(NQ)'!L208+'TH 88(NQ)'!L238</f>
        <v>367578</v>
      </c>
      <c r="L39" s="675"/>
      <c r="M39" s="675"/>
      <c r="N39" s="671">
        <f t="shared" si="5"/>
        <v>0.19031584940769761</v>
      </c>
      <c r="O39" s="671">
        <f t="shared" si="7"/>
        <v>0.16899959218822053</v>
      </c>
      <c r="P39" s="95"/>
      <c r="Q39" s="667"/>
    </row>
    <row r="40" spans="1:17" s="175" customFormat="1" ht="18" hidden="1" customHeight="1">
      <c r="A40" s="676" t="s">
        <v>28</v>
      </c>
      <c r="B40" s="677" t="s">
        <v>1912</v>
      </c>
      <c r="C40" s="678"/>
      <c r="D40" s="678"/>
      <c r="E40" s="678"/>
      <c r="F40" s="679"/>
      <c r="G40" s="679"/>
      <c r="H40" s="679"/>
      <c r="I40" s="679">
        <f t="shared" si="6"/>
        <v>0</v>
      </c>
      <c r="J40" s="679">
        <f>+'TH 88(NQ)'!K47+'TH 88(NQ)'!K62</f>
        <v>0</v>
      </c>
      <c r="K40" s="679">
        <f>+'TH 88(NQ)'!L47+'TH 88(NQ)'!L62</f>
        <v>0</v>
      </c>
      <c r="L40" s="680"/>
      <c r="M40" s="680"/>
      <c r="N40" s="681">
        <f>+J40/G10</f>
        <v>0</v>
      </c>
      <c r="O40" s="682"/>
      <c r="P40" s="683"/>
      <c r="Q40" s="684"/>
    </row>
    <row r="41" spans="1:17" ht="15" customHeight="1">
      <c r="A41" s="654"/>
      <c r="B41" s="654"/>
      <c r="C41" s="685"/>
      <c r="D41" s="685"/>
      <c r="E41" s="685"/>
      <c r="F41" s="654"/>
      <c r="G41" s="654"/>
      <c r="H41" s="654"/>
      <c r="I41" s="654"/>
      <c r="J41" s="654"/>
      <c r="K41" s="654"/>
      <c r="L41" s="654"/>
      <c r="M41" s="654"/>
      <c r="N41" s="654"/>
      <c r="O41" s="654"/>
    </row>
    <row r="42" spans="1:17" ht="15.75" customHeight="1">
      <c r="A42" s="80"/>
    </row>
    <row r="43" spans="1:17" ht="15" customHeight="1">
      <c r="A43" s="686"/>
      <c r="B43" s="686"/>
      <c r="C43" s="687"/>
      <c r="D43" s="687"/>
      <c r="E43" s="687"/>
      <c r="F43" s="686"/>
      <c r="G43" s="686"/>
      <c r="H43" s="686"/>
      <c r="I43" s="653"/>
      <c r="J43" s="653"/>
      <c r="K43" s="653"/>
      <c r="L43" s="653"/>
      <c r="M43" s="653"/>
      <c r="N43" s="653"/>
      <c r="O43" s="653"/>
    </row>
    <row r="44" spans="1:17">
      <c r="A44" s="1737"/>
      <c r="B44" s="1737"/>
      <c r="C44" s="1737"/>
      <c r="D44" s="1737"/>
      <c r="E44" s="1737"/>
      <c r="F44" s="1737"/>
      <c r="G44" s="1737"/>
      <c r="H44" s="1737"/>
      <c r="I44" s="653"/>
      <c r="J44" s="653"/>
      <c r="K44" s="653"/>
      <c r="L44" s="653"/>
      <c r="M44" s="653"/>
      <c r="N44" s="653"/>
      <c r="O44" s="653"/>
    </row>
    <row r="45" spans="1:17">
      <c r="A45" s="1737"/>
      <c r="B45" s="1737"/>
      <c r="C45" s="1737"/>
      <c r="D45" s="1737"/>
      <c r="E45" s="1737"/>
      <c r="F45" s="1737"/>
      <c r="G45" s="1737"/>
      <c r="H45" s="1737"/>
      <c r="I45" s="653"/>
      <c r="J45" s="653"/>
      <c r="K45" s="653"/>
      <c r="L45" s="653"/>
      <c r="M45" s="653"/>
      <c r="N45" s="653"/>
      <c r="O45" s="653"/>
    </row>
    <row r="46" spans="1:17">
      <c r="A46" s="1737"/>
      <c r="B46" s="1737"/>
      <c r="C46" s="1737"/>
      <c r="D46" s="1737"/>
      <c r="E46" s="1737"/>
      <c r="F46" s="1737"/>
      <c r="G46" s="1737"/>
      <c r="H46" s="1737"/>
      <c r="I46" s="653"/>
      <c r="J46" s="653"/>
      <c r="K46" s="653"/>
      <c r="L46" s="653"/>
      <c r="M46" s="653"/>
      <c r="N46" s="653"/>
      <c r="O46" s="653"/>
    </row>
    <row r="47" spans="1:17">
      <c r="A47" s="1737"/>
      <c r="B47" s="1737"/>
      <c r="C47" s="1737"/>
      <c r="D47" s="1737"/>
      <c r="E47" s="1737"/>
      <c r="F47" s="1737"/>
      <c r="G47" s="1737"/>
      <c r="H47" s="1737"/>
      <c r="I47" s="86"/>
      <c r="J47" s="86"/>
      <c r="K47" s="86"/>
      <c r="L47" s="86"/>
      <c r="M47" s="86"/>
      <c r="N47" s="86"/>
      <c r="O47" s="86"/>
    </row>
    <row r="48" spans="1:17">
      <c r="A48" s="1737"/>
      <c r="B48" s="1737"/>
      <c r="C48" s="1737"/>
      <c r="D48" s="1737"/>
      <c r="E48" s="1737"/>
      <c r="F48" s="1737"/>
      <c r="G48" s="1737"/>
      <c r="H48" s="1737"/>
      <c r="I48" s="653"/>
      <c r="J48" s="653"/>
      <c r="K48" s="653"/>
      <c r="L48" s="653"/>
      <c r="M48" s="653"/>
      <c r="N48" s="653"/>
      <c r="O48" s="653"/>
    </row>
    <row r="49" spans="1:15">
      <c r="A49" s="653"/>
      <c r="B49" s="653"/>
      <c r="C49" s="688"/>
      <c r="D49" s="688"/>
      <c r="E49" s="688"/>
      <c r="F49" s="653"/>
      <c r="G49" s="653"/>
      <c r="H49" s="653"/>
      <c r="I49" s="653"/>
      <c r="J49" s="653"/>
      <c r="K49" s="653"/>
      <c r="L49" s="653"/>
      <c r="M49" s="653"/>
      <c r="N49" s="653"/>
      <c r="O49" s="653"/>
    </row>
    <row r="50" spans="1:15">
      <c r="A50" s="653"/>
      <c r="B50" s="653"/>
      <c r="C50" s="688"/>
      <c r="D50" s="688"/>
      <c r="E50" s="688"/>
      <c r="F50" s="653"/>
      <c r="G50" s="653"/>
      <c r="H50" s="653"/>
      <c r="I50" s="653"/>
      <c r="J50" s="653"/>
      <c r="K50" s="653"/>
      <c r="L50" s="653"/>
      <c r="M50" s="653"/>
      <c r="N50" s="653"/>
      <c r="O50" s="653"/>
    </row>
  </sheetData>
  <autoFilter ref="A9:Q40"/>
  <mergeCells count="27">
    <mergeCell ref="A45:H45"/>
    <mergeCell ref="A46:H46"/>
    <mergeCell ref="A47:H47"/>
    <mergeCell ref="A48:H48"/>
    <mergeCell ref="J7:J8"/>
    <mergeCell ref="A44:H44"/>
    <mergeCell ref="F7:F8"/>
    <mergeCell ref="D7:D8"/>
    <mergeCell ref="G7:G8"/>
    <mergeCell ref="E7:E8"/>
    <mergeCell ref="H7:H8"/>
    <mergeCell ref="A1:P1"/>
    <mergeCell ref="A2:P2"/>
    <mergeCell ref="A3:P3"/>
    <mergeCell ref="G5:P5"/>
    <mergeCell ref="A6:A8"/>
    <mergeCell ref="B6:B8"/>
    <mergeCell ref="F6:H6"/>
    <mergeCell ref="L6:O6"/>
    <mergeCell ref="P6:P8"/>
    <mergeCell ref="L7:M7"/>
    <mergeCell ref="N7:O7"/>
    <mergeCell ref="I7:I8"/>
    <mergeCell ref="C6:E6"/>
    <mergeCell ref="C7:C8"/>
    <mergeCell ref="A4:P4"/>
    <mergeCell ref="K6:K8"/>
  </mergeCells>
  <pageMargins left="0.64" right="0.5" top="0.5" bottom="0.5" header="0.47" footer="0.3"/>
  <pageSetup paperSize="9" scale="90" orientation="portrait" r:id="rId1"/>
  <headerFooter>
    <oddFooter>Page &amp;P</oddFooter>
  </headerFooter>
  <ignoredErrors>
    <ignoredError sqref="A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62</vt:i4>
      </vt:variant>
      <vt:variant>
        <vt:lpstr>Named Ranges</vt:lpstr>
      </vt:variant>
      <vt:variant>
        <vt:i4>106</vt:i4>
      </vt:variant>
    </vt:vector>
  </HeadingPairs>
  <TitlesOfParts>
    <vt:vector size="168" baseType="lpstr">
      <vt:lpstr>Bieu TH</vt:lpstr>
      <vt:lpstr>Theo QĐ 652</vt:lpstr>
      <vt:lpstr>TH</vt:lpstr>
      <vt:lpstr>TH-NTM(NQ)</vt:lpstr>
      <vt:lpstr>Chi tiết NTM</vt:lpstr>
      <vt:lpstr>Danh muc NTM</vt:lpstr>
      <vt:lpstr>TH-GN(NQ)</vt:lpstr>
      <vt:lpstr>Chi tiết GN</vt:lpstr>
      <vt:lpstr>TH 88 Theo DV(NQ)</vt:lpstr>
      <vt:lpstr>TH 88(NQ)</vt:lpstr>
      <vt:lpstr>1</vt:lpstr>
      <vt:lpstr>1.1</vt:lpstr>
      <vt:lpstr>2</vt:lpstr>
      <vt:lpstr>3</vt:lpstr>
      <vt:lpstr>3.1</vt:lpstr>
      <vt:lpstr>3.2</vt:lpstr>
      <vt:lpstr>3.2.a</vt:lpstr>
      <vt:lpstr>D.A3</vt:lpstr>
      <vt:lpstr>3.2.b</vt:lpstr>
      <vt:lpstr>3.2.c</vt:lpstr>
      <vt:lpstr>4</vt:lpstr>
      <vt:lpstr>4.1-ĐT</vt:lpstr>
      <vt:lpstr>4.2</vt:lpstr>
      <vt:lpstr>4.3</vt:lpstr>
      <vt:lpstr>4.4</vt:lpstr>
      <vt:lpstr>4.5</vt:lpstr>
      <vt:lpstr>4.1-SN</vt:lpstr>
      <vt:lpstr>5</vt:lpstr>
      <vt:lpstr>5.1-DT</vt:lpstr>
      <vt:lpstr>5.1-SN</vt:lpstr>
      <vt:lpstr>5-2.A</vt:lpstr>
      <vt:lpstr>5.2.B</vt:lpstr>
      <vt:lpstr>5-3</vt:lpstr>
      <vt:lpstr>5-4</vt:lpstr>
      <vt:lpstr>6</vt:lpstr>
      <vt:lpstr>6 ĐT</vt:lpstr>
      <vt:lpstr>6 SN</vt:lpstr>
      <vt:lpstr>7</vt:lpstr>
      <vt:lpstr>7-ĐT</vt:lpstr>
      <vt:lpstr>7-SN</vt:lpstr>
      <vt:lpstr>D.A8</vt:lpstr>
      <vt:lpstr>8 SN</vt:lpstr>
      <vt:lpstr>9</vt:lpstr>
      <vt:lpstr>9.1-ĐT</vt:lpstr>
      <vt:lpstr>9.1-SN</vt:lpstr>
      <vt:lpstr>9.2-SN</vt:lpstr>
      <vt:lpstr>10</vt:lpstr>
      <vt:lpstr>10-1 SN</vt:lpstr>
      <vt:lpstr>10-2 ĐT</vt:lpstr>
      <vt:lpstr>DA 10 t (21-25)</vt:lpstr>
      <vt:lpstr>DA 15T(21-25)</vt:lpstr>
      <vt:lpstr>DA 10 T kcm</vt:lpstr>
      <vt:lpstr>10-2 SN</vt:lpstr>
      <vt:lpstr>10-3 SN</vt:lpstr>
      <vt:lpstr>DA 15 T kcm</vt:lpstr>
      <vt:lpstr>b 01 KH đt công</vt:lpstr>
      <vt:lpstr>biểu 02 SN </vt:lpstr>
      <vt:lpstr>Biểu Phân bổ 03 Đt</vt:lpstr>
      <vt:lpstr>biểu 04 SN</vt:lpstr>
      <vt:lpstr>biểu 02</vt:lpstr>
      <vt:lpstr>Sheet1</vt:lpstr>
      <vt:lpstr>Sheet2</vt:lpstr>
      <vt:lpstr>'1'!Print_Area</vt:lpstr>
      <vt:lpstr>'1.1'!Print_Area</vt:lpstr>
      <vt:lpstr>'10'!Print_Area</vt:lpstr>
      <vt:lpstr>'10-1 SN'!Print_Area</vt:lpstr>
      <vt:lpstr>'10-2 ĐT'!Print_Area</vt:lpstr>
      <vt:lpstr>'10-2 SN'!Print_Area</vt:lpstr>
      <vt:lpstr>'10-3 SN'!Print_Area</vt:lpstr>
      <vt:lpstr>'2'!Print_Area</vt:lpstr>
      <vt:lpstr>'3'!Print_Area</vt:lpstr>
      <vt:lpstr>'3.1'!Print_Area</vt:lpstr>
      <vt:lpstr>'3.2'!Print_Area</vt:lpstr>
      <vt:lpstr>'3.2.a'!Print_Area</vt:lpstr>
      <vt:lpstr>'3.2.b'!Print_Area</vt:lpstr>
      <vt:lpstr>'3.2.c'!Print_Area</vt:lpstr>
      <vt:lpstr>'4'!Print_Area</vt:lpstr>
      <vt:lpstr>'4.1-ĐT'!Print_Area</vt:lpstr>
      <vt:lpstr>'4.1-SN'!Print_Area</vt:lpstr>
      <vt:lpstr>'4.2'!Print_Area</vt:lpstr>
      <vt:lpstr>'4.3'!Print_Area</vt:lpstr>
      <vt:lpstr>'4.4'!Print_Area</vt:lpstr>
      <vt:lpstr>'4.5'!Print_Area</vt:lpstr>
      <vt:lpstr>'5'!Print_Area</vt:lpstr>
      <vt:lpstr>'5.1-DT'!Print_Area</vt:lpstr>
      <vt:lpstr>'5.1-SN'!Print_Area</vt:lpstr>
      <vt:lpstr>'5.2.B'!Print_Area</vt:lpstr>
      <vt:lpstr>'5-2.A'!Print_Area</vt:lpstr>
      <vt:lpstr>'5-3'!Print_Area</vt:lpstr>
      <vt:lpstr>'5-4'!Print_Area</vt:lpstr>
      <vt:lpstr>'6'!Print_Area</vt:lpstr>
      <vt:lpstr>'6 ĐT'!Print_Area</vt:lpstr>
      <vt:lpstr>'6 SN'!Print_Area</vt:lpstr>
      <vt:lpstr>'7'!Print_Area</vt:lpstr>
      <vt:lpstr>'7-ĐT'!Print_Area</vt:lpstr>
      <vt:lpstr>'7-SN'!Print_Area</vt:lpstr>
      <vt:lpstr>'8 SN'!Print_Area</vt:lpstr>
      <vt:lpstr>'9'!Print_Area</vt:lpstr>
      <vt:lpstr>'9.1-ĐT'!Print_Area</vt:lpstr>
      <vt:lpstr>'9.1-SN'!Print_Area</vt:lpstr>
      <vt:lpstr>'9.2-SN'!Print_Area</vt:lpstr>
      <vt:lpstr>'b 01 KH đt công'!Print_Area</vt:lpstr>
      <vt:lpstr>'Bieu TH'!Print_Area</vt:lpstr>
      <vt:lpstr>'biểu 02 SN '!Print_Area</vt:lpstr>
      <vt:lpstr>'biểu 04 SN'!Print_Area</vt:lpstr>
      <vt:lpstr>'Biểu Phân bổ 03 Đt'!Print_Area</vt:lpstr>
      <vt:lpstr>'Chi tiết GN'!Print_Area</vt:lpstr>
      <vt:lpstr>'Chi tiết NTM'!Print_Area</vt:lpstr>
      <vt:lpstr>D.A3!Print_Area</vt:lpstr>
      <vt:lpstr>D.A8!Print_Area</vt:lpstr>
      <vt:lpstr>'DA 10 t (21-25)'!Print_Area</vt:lpstr>
      <vt:lpstr>'DA 10 T kcm'!Print_Area</vt:lpstr>
      <vt:lpstr>'DA 15 T kcm'!Print_Area</vt:lpstr>
      <vt:lpstr>'DA 15T(21-25)'!Print_Area</vt:lpstr>
      <vt:lpstr>'Danh muc NTM'!Print_Area</vt:lpstr>
      <vt:lpstr>TH!Print_Area</vt:lpstr>
      <vt:lpstr>'TH 88 Theo DV(NQ)'!Print_Area</vt:lpstr>
      <vt:lpstr>'TH 88(NQ)'!Print_Area</vt:lpstr>
      <vt:lpstr>'Theo QĐ 652'!Print_Area</vt:lpstr>
      <vt:lpstr>'TH-GN(NQ)'!Print_Area</vt:lpstr>
      <vt:lpstr>'TH-NTM(NQ)'!Print_Area</vt:lpstr>
      <vt:lpstr>'1'!Print_Titles</vt:lpstr>
      <vt:lpstr>'1.1'!Print_Titles</vt:lpstr>
      <vt:lpstr>'10'!Print_Titles</vt:lpstr>
      <vt:lpstr>'10-1 SN'!Print_Titles</vt:lpstr>
      <vt:lpstr>'10-2 SN'!Print_Titles</vt:lpstr>
      <vt:lpstr>'10-3 SN'!Print_Titles</vt:lpstr>
      <vt:lpstr>'2'!Print_Titles</vt:lpstr>
      <vt:lpstr>'3'!Print_Titles</vt:lpstr>
      <vt:lpstr>'3.2'!Print_Titles</vt:lpstr>
      <vt:lpstr>'3.2.a'!Print_Titles</vt:lpstr>
      <vt:lpstr>'3.2.b'!Print_Titles</vt:lpstr>
      <vt:lpstr>'3.2.c'!Print_Titles</vt:lpstr>
      <vt:lpstr>'4.1-ĐT'!Print_Titles</vt:lpstr>
      <vt:lpstr>'4.1-SN'!Print_Titles</vt:lpstr>
      <vt:lpstr>'4.2'!Print_Titles</vt:lpstr>
      <vt:lpstr>'4.3'!Print_Titles</vt:lpstr>
      <vt:lpstr>'4.4'!Print_Titles</vt:lpstr>
      <vt:lpstr>'4.5'!Print_Titles</vt:lpstr>
      <vt:lpstr>'5'!Print_Titles</vt:lpstr>
      <vt:lpstr>'5.1-DT'!Print_Titles</vt:lpstr>
      <vt:lpstr>'5.1-SN'!Print_Titles</vt:lpstr>
      <vt:lpstr>'5-2.A'!Print_Titles</vt:lpstr>
      <vt:lpstr>'5-3'!Print_Titles</vt:lpstr>
      <vt:lpstr>'5-4'!Print_Titles</vt:lpstr>
      <vt:lpstr>'6'!Print_Titles</vt:lpstr>
      <vt:lpstr>'6 ĐT'!Print_Titles</vt:lpstr>
      <vt:lpstr>'6 SN'!Print_Titles</vt:lpstr>
      <vt:lpstr>'7'!Print_Titles</vt:lpstr>
      <vt:lpstr>'7-ĐT'!Print_Titles</vt:lpstr>
      <vt:lpstr>'7-SN'!Print_Titles</vt:lpstr>
      <vt:lpstr>'8 SN'!Print_Titles</vt:lpstr>
      <vt:lpstr>'9'!Print_Titles</vt:lpstr>
      <vt:lpstr>'9.1-ĐT'!Print_Titles</vt:lpstr>
      <vt:lpstr>'9.2-SN'!Print_Titles</vt:lpstr>
      <vt:lpstr>'biểu 02 SN '!Print_Titles</vt:lpstr>
      <vt:lpstr>'Chi tiết GN'!Print_Titles</vt:lpstr>
      <vt:lpstr>'Chi tiết NTM'!Print_Titles</vt:lpstr>
      <vt:lpstr>D.A3!Print_Titles</vt:lpstr>
      <vt:lpstr>'DA 10 t (21-25)'!Print_Titles</vt:lpstr>
      <vt:lpstr>'DA 10 T kcm'!Print_Titles</vt:lpstr>
      <vt:lpstr>'DA 15 T kcm'!Print_Titles</vt:lpstr>
      <vt:lpstr>'DA 15T(21-25)'!Print_Titles</vt:lpstr>
      <vt:lpstr>TH!Print_Titles</vt:lpstr>
      <vt:lpstr>'TH 88 Theo DV(NQ)'!Print_Titles</vt:lpstr>
      <vt:lpstr>'TH 88(NQ)'!Print_Titles</vt:lpstr>
      <vt:lpstr>'TH-GN(NQ)'!Print_Titles</vt:lpstr>
      <vt:lpstr>'TH-NTM(NQ)'!Print_Titles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dc:creator>
  <cp:lastModifiedBy>Admin</cp:lastModifiedBy>
  <cp:lastPrinted>2026-08-14T16:26:15Z</cp:lastPrinted>
  <dcterms:created xsi:type="dcterms:W3CDTF">2015-06-05T18:17:20Z</dcterms:created>
  <dcterms:modified xsi:type="dcterms:W3CDTF">2026-08-16T01:31:20Z</dcterms:modified>
</cp:coreProperties>
</file>